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3.xml" ContentType="application/vnd.openxmlformats-officedocument.drawingml.chartshapes+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5.xml" ContentType="application/vnd.openxmlformats-officedocument.drawingml.chartshapes+xml"/>
  <Override PartName="/xl/charts/chart2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23.xml" ContentType="application/vnd.openxmlformats-officedocument.drawingml.chart+xml"/>
  <Override PartName="/xl/drawings/drawing8.xml" ContentType="application/vnd.openxmlformats-officedocument.drawingml.chartshapes+xml"/>
  <Override PartName="/xl/charts/chart24.xml" ContentType="application/vnd.openxmlformats-officedocument.drawingml.chart+xml"/>
  <Override PartName="/xl/drawings/drawing9.xml" ContentType="application/vnd.openxmlformats-officedocument.drawingml.chartshap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drawings/drawing10.xml" ContentType="application/vnd.openxmlformats-officedocument.drawingml.chartshapes+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drawings/drawing11.xml" ContentType="application/vnd.openxmlformats-officedocument.drawingml.chartshapes+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4.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drawings/drawing15.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16.xml" ContentType="application/vnd.openxmlformats-officedocument.drawing+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drawings/drawing17.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drawings/drawing18.xml" ContentType="application/vnd.openxmlformats-officedocument.drawing+xml"/>
  <Override PartName="/xl/charts/chart82.xml" ContentType="application/vnd.openxmlformats-officedocument.drawingml.chart+xml"/>
  <Override PartName="/xl/charts/chart83.xml" ContentType="application/vnd.openxmlformats-officedocument.drawingml.chart+xml"/>
  <Override PartName="/xl/drawings/drawing19.xml" ContentType="application/vnd.openxmlformats-officedocument.drawing+xml"/>
  <Override PartName="/xl/charts/chart84.xml" ContentType="application/vnd.openxmlformats-officedocument.drawingml.chart+xml"/>
  <Override PartName="/xl/drawings/drawing20.xml" ContentType="application/vnd.openxmlformats-officedocument.drawingml.chartshapes+xml"/>
  <Override PartName="/xl/charts/chart85.xml" ContentType="application/vnd.openxmlformats-officedocument.drawingml.chart+xml"/>
  <Override PartName="/xl/drawings/drawing21.xml" ContentType="application/vnd.openxmlformats-officedocument.drawingml.chartshapes+xml"/>
  <Override PartName="/xl/charts/chart86.xml" ContentType="application/vnd.openxmlformats-officedocument.drawingml.chart+xml"/>
  <Override PartName="/xl/drawings/drawing22.xml" ContentType="application/vnd.openxmlformats-officedocument.drawingml.chartshapes+xml"/>
  <Override PartName="/xl/charts/chart87.xml" ContentType="application/vnd.openxmlformats-officedocument.drawingml.chart+xml"/>
  <Override PartName="/xl/drawings/drawing23.xml" ContentType="application/vnd.openxmlformats-officedocument.drawingml.chartshapes+xml"/>
  <Override PartName="/xl/charts/chart88.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drawings/drawing26.xml" ContentType="application/vnd.openxmlformats-officedocument.drawingml.chartshapes+xml"/>
  <Override PartName="/xl/charts/chart91.xml" ContentType="application/vnd.openxmlformats-officedocument.drawingml.chart+xml"/>
  <Override PartName="/xl/charts/chart92.xml" ContentType="application/vnd.openxmlformats-officedocument.drawingml.chart+xml"/>
  <Override PartName="/xl/drawings/drawing27.xml" ContentType="application/vnd.openxmlformats-officedocument.drawingml.chartshapes+xml"/>
  <Override PartName="/xl/charts/chart93.xml" ContentType="application/vnd.openxmlformats-officedocument.drawingml.chart+xml"/>
  <Override PartName="/xl/drawings/drawing28.xml" ContentType="application/vnd.openxmlformats-officedocument.drawingml.chartshapes+xml"/>
  <Override PartName="/xl/charts/chart94.xml" ContentType="application/vnd.openxmlformats-officedocument.drawingml.chart+xml"/>
  <Override PartName="/xl/drawings/drawing29.xml" ContentType="application/vnd.openxmlformats-officedocument.drawingml.chartshapes+xml"/>
  <Override PartName="/xl/charts/chart95.xml" ContentType="application/vnd.openxmlformats-officedocument.drawingml.chart+xml"/>
  <Override PartName="/xl/drawings/drawing30.xml" ContentType="application/vnd.openxmlformats-officedocument.drawingml.chartshapes+xml"/>
  <Override PartName="/xl/charts/chart96.xml" ContentType="application/vnd.openxmlformats-officedocument.drawingml.chart+xml"/>
  <Override PartName="/xl/drawings/drawing31.xml" ContentType="application/vnd.openxmlformats-officedocument.drawingml.chartshapes+xml"/>
  <Override PartName="/xl/charts/chart97.xml" ContentType="application/vnd.openxmlformats-officedocument.drawingml.chart+xml"/>
  <Override PartName="/xl/drawings/drawing32.xml" ContentType="application/vnd.openxmlformats-officedocument.drawingml.chartshapes+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drawings/drawing33.xml" ContentType="application/vnd.openxmlformats-officedocument.drawingml.chartshapes+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drawings/drawing34.xml" ContentType="application/vnd.openxmlformats-officedocument.drawingml.chartshapes+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drawings/drawing35.xml" ContentType="application/vnd.openxmlformats-officedocument.drawingml.chartshapes+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12.xml" ContentType="application/vnd.openxmlformats-officedocument.drawingml.chart+xml"/>
  <Override PartName="/xl/charts/chart113.xml" ContentType="application/vnd.openxmlformats-officedocument.drawingml.chart+xml"/>
  <Override PartName="/xl/drawings/drawing38.xml" ContentType="application/vnd.openxmlformats-officedocument.drawingml.chartshapes+xml"/>
  <Override PartName="/xl/charts/chart114.xml" ContentType="application/vnd.openxmlformats-officedocument.drawingml.chart+xml"/>
  <Override PartName="/xl/drawings/drawing39.xml" ContentType="application/vnd.openxmlformats-officedocument.drawingml.chartshapes+xml"/>
  <Override PartName="/xl/drawings/drawing40.xml" ContentType="application/vnd.openxmlformats-officedocument.drawing+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drawings/drawing41.xml" ContentType="application/vnd.openxmlformats-officedocument.drawing+xml"/>
  <Override PartName="/xl/charts/chart144.xml" ContentType="application/vnd.openxmlformats-officedocument.drawingml.chart+xml"/>
  <Override PartName="/xl/drawings/drawing42.xml" ContentType="application/vnd.openxmlformats-officedocument.drawingml.chartshapes+xml"/>
  <Override PartName="/xl/charts/chart145.xml" ContentType="application/vnd.openxmlformats-officedocument.drawingml.chart+xml"/>
  <Override PartName="/xl/drawings/drawing43.xml" ContentType="application/vnd.openxmlformats-officedocument.drawingml.chartshapes+xml"/>
  <Override PartName="/xl/charts/chart146.xml" ContentType="application/vnd.openxmlformats-officedocument.drawingml.chart+xml"/>
  <Override PartName="/xl/charts/chart14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705" yWindow="7140" windowWidth="12510" windowHeight="6555" tabRatio="975" firstSheet="2" activeTab="2"/>
  </bookViews>
  <sheets>
    <sheet name="ERfigures" sheetId="52" r:id="rId1"/>
    <sheet name="Master escapements" sheetId="48" r:id="rId2"/>
    <sheet name="Survival" sheetId="53" r:id="rId3"/>
    <sheet name="Master smolts" sheetId="49" r:id="rId4"/>
    <sheet name="Master goals" sheetId="50" r:id="rId5"/>
    <sheet name="Table 1 GoalSheet" sheetId="47" r:id="rId6"/>
    <sheet name="Table 2 SEAKCohoEsc" sheetId="46" r:id="rId7"/>
    <sheet name="Fig 4 Table 3 NSEinside" sheetId="45" r:id="rId8"/>
    <sheet name="Fig 5 Fig 6 Table 4 Sitka" sheetId="44" r:id="rId9"/>
    <sheet name="Fig 7 table 6 YakutatFig" sheetId="43" r:id="rId10"/>
    <sheet name="table 5 Ketchikan" sheetId="42" r:id="rId11"/>
    <sheet name="Berners River" sheetId="41" r:id="rId12"/>
    <sheet name="FordArm" sheetId="40" r:id="rId13"/>
    <sheet name="HughSmith" sheetId="39" r:id="rId14"/>
    <sheet name="AukeCr" sheetId="38" r:id="rId15"/>
    <sheet name="MainlandRiverFig" sheetId="36" r:id="rId16"/>
    <sheet name="ReportGraphs" sheetId="5" r:id="rId17"/>
    <sheet name="Catch_Escapement Data" sheetId="3" r:id="rId18"/>
    <sheet name="Taku Table" sheetId="10" r:id="rId19"/>
    <sheet name="ChilkatTable" sheetId="4"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_123Graph_A" localSheetId="14" hidden="1">[1]EXPLRATE!$B$15:$B$24</definedName>
    <definedName name="__123Graph_A" localSheetId="11" hidden="1">[1]EXPLRATE!$B$15:$B$24</definedName>
    <definedName name="__123Graph_A" localSheetId="12" hidden="1">[1]EXPLRATE!$B$15:$B$24</definedName>
    <definedName name="__123Graph_A" localSheetId="13" hidden="1">[1]EXPLRATE!$B$15:$B$24</definedName>
    <definedName name="__123Graph_A" hidden="1">[2]EXPLRATE!$B$15:$B$24</definedName>
    <definedName name="__123Graph_A95PRED3.PIC" hidden="1">[3]FPDWILD!$AW$130:$AW$143</definedName>
    <definedName name="__123Graph_A95TPRED" hidden="1">[3]FPDWILD!$AW$130:$AW$143</definedName>
    <definedName name="__123Graph_A96WPRED" hidden="1">[3]FPDWILD!$AK$130:$AK$144</definedName>
    <definedName name="__123Graph_ACATCHAUKE" hidden="1">[3]FPDWILD!$B$129:$B$163</definedName>
    <definedName name="__123Graph_ACATCHHS" hidden="1">[3]FPDWILD!$B$129:$B$163</definedName>
    <definedName name="__123Graph_ACATCHSURV" hidden="1">[3]FPDWILD!$B$129:$B$163</definedName>
    <definedName name="__123Graph_AHSTROL2" localSheetId="14" hidden="1">[1]EXPLRATE!$E$15:$E$24</definedName>
    <definedName name="__123Graph_AHSTROL2" localSheetId="11" hidden="1">[1]EXPLRATE!$E$15:$E$24</definedName>
    <definedName name="__123Graph_AHSTROL2" localSheetId="12" hidden="1">[1]EXPLRATE!$E$15:$E$24</definedName>
    <definedName name="__123Graph_AHSTROL2" localSheetId="13" hidden="1">[1]EXPLRATE!$E$15:$E$24</definedName>
    <definedName name="__123Graph_AHSTROL2" hidden="1">[2]EXPLRATE!$E$15:$E$24</definedName>
    <definedName name="__123Graph_AHSTROL3" localSheetId="14" hidden="1">[1]EXPLRATE!$E$12:$E$24</definedName>
    <definedName name="__123Graph_AHSTROL3" localSheetId="11" hidden="1">[1]EXPLRATE!$E$12:$E$24</definedName>
    <definedName name="__123Graph_AHSTROL3" localSheetId="12" hidden="1">[1]EXPLRATE!$E$12:$E$24</definedName>
    <definedName name="__123Graph_AHSTROL3" localSheetId="13" hidden="1">[1]EXPLRATE!$E$12:$E$24</definedName>
    <definedName name="__123Graph_AHSTROL3" hidden="1">[2]EXPLRATE!$E$12:$E$24</definedName>
    <definedName name="__123Graph_AHSTROLL" localSheetId="14" hidden="1">[1]EXPLRATE!$E$15:$E$24</definedName>
    <definedName name="__123Graph_AHSTROLL" localSheetId="11" hidden="1">[1]EXPLRATE!$E$15:$E$24</definedName>
    <definedName name="__123Graph_AHSTROLL" localSheetId="12" hidden="1">[1]EXPLRATE!$E$15:$E$24</definedName>
    <definedName name="__123Graph_AHSTROLL" localSheetId="13" hidden="1">[1]EXPLRATE!$E$15:$E$24</definedName>
    <definedName name="__123Graph_AHSTROLL" hidden="1">[2]EXPLRATE!$E$15:$E$24</definedName>
    <definedName name="__123Graph_ANTROLL_HR" localSheetId="14" hidden="1">[1]EXPLRATE!$B$15:$B$24</definedName>
    <definedName name="__123Graph_ANTROLL_HR" localSheetId="11" hidden="1">[1]EXPLRATE!$B$15:$B$24</definedName>
    <definedName name="__123Graph_ANTROLL_HR" localSheetId="12" hidden="1">[1]EXPLRATE!$B$15:$B$24</definedName>
    <definedName name="__123Graph_ANTROLL_HR" localSheetId="13" hidden="1">[1]EXPLRATE!$B$15:$B$24</definedName>
    <definedName name="__123Graph_ANTROLL_HR" hidden="1">[2]EXPLRATE!$B$15:$B$24</definedName>
    <definedName name="__123Graph_B" localSheetId="14" hidden="1">[1]EXPLRATE!$D$15:$D$24</definedName>
    <definedName name="__123Graph_B" localSheetId="11" hidden="1">[1]EXPLRATE!$D$15:$D$24</definedName>
    <definedName name="__123Graph_B" localSheetId="12" hidden="1">[1]EXPLRATE!$D$15:$D$24</definedName>
    <definedName name="__123Graph_B" localSheetId="13" hidden="1">[1]EXPLRATE!$D$15:$D$24</definedName>
    <definedName name="__123Graph_B" hidden="1">[2]EXPLRATE!$D$15:$D$24</definedName>
    <definedName name="__123Graph_B95PRED3.PIC" hidden="1">[3]FPDWILD!$AX$130:$AX$143</definedName>
    <definedName name="__123Graph_B95TPRED" hidden="1">[3]FPDWILD!$AX$130:$AX$143</definedName>
    <definedName name="__123Graph_B96WPRED" hidden="1">[3]FPDWILD!$AL$130:$AL$144</definedName>
    <definedName name="__123Graph_BCATCHAUKE" hidden="1">[3]FPDWILD!$AY$130:$AY$164</definedName>
    <definedName name="__123Graph_BCATCHHS" hidden="1">[3]FPDWILD!$BA$130:$BA$164</definedName>
    <definedName name="__123Graph_BCATCHSURV" hidden="1">[3]FPDWILD!$AZ$130:$AZ$164</definedName>
    <definedName name="__123Graph_BHSTROL2" localSheetId="14" hidden="1">[1]EXPLRATE!$I$15:$I$24</definedName>
    <definedName name="__123Graph_BHSTROL2" localSheetId="11" hidden="1">[1]EXPLRATE!$I$15:$I$24</definedName>
    <definedName name="__123Graph_BHSTROL2" localSheetId="12" hidden="1">[1]EXPLRATE!$I$15:$I$24</definedName>
    <definedName name="__123Graph_BHSTROL2" localSheetId="13" hidden="1">[1]EXPLRATE!$I$15:$I$24</definedName>
    <definedName name="__123Graph_BHSTROL2" hidden="1">[2]EXPLRATE!$I$15:$I$24</definedName>
    <definedName name="__123Graph_BHSTROL3" localSheetId="14" hidden="1">[1]EXPLRATE!$I$12:$I$24</definedName>
    <definedName name="__123Graph_BHSTROL3" localSheetId="11" hidden="1">[1]EXPLRATE!$I$12:$I$24</definedName>
    <definedName name="__123Graph_BHSTROL3" localSheetId="12" hidden="1">[1]EXPLRATE!$I$12:$I$24</definedName>
    <definedName name="__123Graph_BHSTROL3" localSheetId="13" hidden="1">[1]EXPLRATE!$I$12:$I$24</definedName>
    <definedName name="__123Graph_BHSTROL3" hidden="1">[2]EXPLRATE!$I$12:$I$24</definedName>
    <definedName name="__123Graph_BHSTROLL" localSheetId="14" hidden="1">[1]EXPLRATE!$I$15:$I$24</definedName>
    <definedName name="__123Graph_BHSTROLL" localSheetId="11" hidden="1">[1]EXPLRATE!$I$15:$I$24</definedName>
    <definedName name="__123Graph_BHSTROLL" localSheetId="12" hidden="1">[1]EXPLRATE!$I$15:$I$24</definedName>
    <definedName name="__123Graph_BHSTROLL" localSheetId="13" hidden="1">[1]EXPLRATE!$I$15:$I$24</definedName>
    <definedName name="__123Graph_BHSTROLL" hidden="1">[2]EXPLRATE!$I$15:$I$24</definedName>
    <definedName name="__123Graph_BNTROLL_HR" localSheetId="14" hidden="1">[1]EXPLRATE!$D$15:$D$24</definedName>
    <definedName name="__123Graph_BNTROLL_HR" localSheetId="11" hidden="1">[1]EXPLRATE!$D$15:$D$24</definedName>
    <definedName name="__123Graph_BNTROLL_HR" localSheetId="12" hidden="1">[1]EXPLRATE!$D$15:$D$24</definedName>
    <definedName name="__123Graph_BNTROLL_HR" localSheetId="13" hidden="1">[1]EXPLRATE!$D$15:$D$24</definedName>
    <definedName name="__123Graph_BNTROLL_HR" hidden="1">[2]EXPLRATE!$D$15:$D$24</definedName>
    <definedName name="__123Graph_C" localSheetId="14" hidden="1">[1]EXPLRATE!$I$15:$I$24</definedName>
    <definedName name="__123Graph_C" localSheetId="11" hidden="1">[1]EXPLRATE!$I$15:$I$24</definedName>
    <definedName name="__123Graph_C" localSheetId="12" hidden="1">[1]EXPLRATE!$I$15:$I$24</definedName>
    <definedName name="__123Graph_C" localSheetId="13" hidden="1">[1]EXPLRATE!$I$15:$I$24</definedName>
    <definedName name="__123Graph_C" hidden="1">[2]EXPLRATE!$I$15:$I$24</definedName>
    <definedName name="__123Graph_CHSTROL2" localSheetId="14" hidden="1">[1]EXPLRATE!$J$13:$J$22</definedName>
    <definedName name="__123Graph_CHSTROL2" localSheetId="11" hidden="1">[1]EXPLRATE!$J$13:$J$22</definedName>
    <definedName name="__123Graph_CHSTROL2" localSheetId="12" hidden="1">[1]EXPLRATE!$J$13:$J$22</definedName>
    <definedName name="__123Graph_CHSTROL2" localSheetId="13" hidden="1">[1]EXPLRATE!$J$13:$J$22</definedName>
    <definedName name="__123Graph_CHSTROL2" hidden="1">[2]EXPLRATE!$J$13:$J$22</definedName>
    <definedName name="__123Graph_CHSTROL3" localSheetId="14" hidden="1">[1]EXPLRATE!$J$12:$J$22</definedName>
    <definedName name="__123Graph_CHSTROL3" localSheetId="11" hidden="1">[1]EXPLRATE!$J$12:$J$22</definedName>
    <definedName name="__123Graph_CHSTROL3" localSheetId="12" hidden="1">[1]EXPLRATE!$J$12:$J$22</definedName>
    <definedName name="__123Graph_CHSTROL3" localSheetId="13" hidden="1">[1]EXPLRATE!$J$12:$J$22</definedName>
    <definedName name="__123Graph_CHSTROL3" hidden="1">[2]EXPLRATE!$J$12:$J$22</definedName>
    <definedName name="__123Graph_CHSTROLL" localSheetId="14" hidden="1">[1]EXPLRATE!$J$13:$J$22</definedName>
    <definedName name="__123Graph_CHSTROLL" localSheetId="11" hidden="1">[1]EXPLRATE!$J$13:$J$22</definedName>
    <definedName name="__123Graph_CHSTROLL" localSheetId="12" hidden="1">[1]EXPLRATE!$J$13:$J$22</definedName>
    <definedName name="__123Graph_CHSTROLL" localSheetId="13" hidden="1">[1]EXPLRATE!$J$13:$J$22</definedName>
    <definedName name="__123Graph_CHSTROLL" hidden="1">[2]EXPLRATE!$J$13:$J$22</definedName>
    <definedName name="__123Graph_CNTROLL_HR" localSheetId="14" hidden="1">[1]EXPLRATE!$I$15:$I$24</definedName>
    <definedName name="__123Graph_CNTROLL_HR" localSheetId="11" hidden="1">[1]EXPLRATE!$I$15:$I$24</definedName>
    <definedName name="__123Graph_CNTROLL_HR" localSheetId="12" hidden="1">[1]EXPLRATE!$I$15:$I$24</definedName>
    <definedName name="__123Graph_CNTROLL_HR" localSheetId="13" hidden="1">[1]EXPLRATE!$I$15:$I$24</definedName>
    <definedName name="__123Graph_CNTROLL_HR" hidden="1">[2]EXPLRATE!$I$15:$I$24</definedName>
    <definedName name="__123Graph_D" localSheetId="14" hidden="1">[1]EXPLRATE!#REF!</definedName>
    <definedName name="__123Graph_D" localSheetId="11" hidden="1">[1]EXPLRATE!#REF!</definedName>
    <definedName name="__123Graph_D" localSheetId="12" hidden="1">[1]EXPLRATE!#REF!</definedName>
    <definedName name="__123Graph_D" localSheetId="13" hidden="1">[1]EXPLRATE!#REF!</definedName>
    <definedName name="__123Graph_D" hidden="1">[2]EXPLRATE!#REF!</definedName>
    <definedName name="__123Graph_DCATCHAUKE" hidden="1">[3]FPDWILD!$BB$130:$BB$164</definedName>
    <definedName name="__123Graph_DHSTROL2" localSheetId="14" hidden="1">[1]EXPLRATE!#REF!</definedName>
    <definedName name="__123Graph_DHSTROL2" localSheetId="11" hidden="1">[1]EXPLRATE!#REF!</definedName>
    <definedName name="__123Graph_DHSTROL2" localSheetId="12" hidden="1">[1]EXPLRATE!#REF!</definedName>
    <definedName name="__123Graph_DHSTROL2" localSheetId="13" hidden="1">[1]EXPLRATE!#REF!</definedName>
    <definedName name="__123Graph_DHSTROL2" hidden="1">[2]EXPLRATE!#REF!</definedName>
    <definedName name="__123Graph_DHSTROL3" localSheetId="14" hidden="1">[1]EXPLRATE!#REF!</definedName>
    <definedName name="__123Graph_DHSTROL3" localSheetId="11" hidden="1">[1]EXPLRATE!#REF!</definedName>
    <definedName name="__123Graph_DHSTROL3" localSheetId="12" hidden="1">[1]EXPLRATE!#REF!</definedName>
    <definedName name="__123Graph_DHSTROL3" localSheetId="13" hidden="1">[1]EXPLRATE!#REF!</definedName>
    <definedName name="__123Graph_DHSTROL3" hidden="1">[2]EXPLRATE!#REF!</definedName>
    <definedName name="__123Graph_DHSTROLL" localSheetId="14" hidden="1">[1]EXPLRATE!#REF!</definedName>
    <definedName name="__123Graph_DHSTROLL" localSheetId="11" hidden="1">[1]EXPLRATE!#REF!</definedName>
    <definedName name="__123Graph_DHSTROLL" localSheetId="12" hidden="1">[1]EXPLRATE!#REF!</definedName>
    <definedName name="__123Graph_DHSTROLL" localSheetId="13" hidden="1">[1]EXPLRATE!#REF!</definedName>
    <definedName name="__123Graph_DHSTROLL" hidden="1">[2]EXPLRATE!#REF!</definedName>
    <definedName name="__123Graph_DNTROLL_HR" localSheetId="14" hidden="1">[1]EXPLRATE!#REF!</definedName>
    <definedName name="__123Graph_DNTROLL_HR" localSheetId="11" hidden="1">[1]EXPLRATE!#REF!</definedName>
    <definedName name="__123Graph_DNTROLL_HR" localSheetId="12" hidden="1">[1]EXPLRATE!#REF!</definedName>
    <definedName name="__123Graph_DNTROLL_HR" localSheetId="13" hidden="1">[1]EXPLRATE!#REF!</definedName>
    <definedName name="__123Graph_DNTROLL_HR" hidden="1">[2]EXPLRATE!#REF!</definedName>
    <definedName name="__123Graph_X" localSheetId="14" hidden="1">[1]EXPLRATE!$G$15:$G$24</definedName>
    <definedName name="__123Graph_X" localSheetId="11" hidden="1">[1]EXPLRATE!$G$15:$G$24</definedName>
    <definedName name="__123Graph_X" localSheetId="12" hidden="1">[1]EXPLRATE!$G$15:$G$24</definedName>
    <definedName name="__123Graph_X" localSheetId="13" hidden="1">[1]EXPLRATE!$G$15:$G$24</definedName>
    <definedName name="__123Graph_X" hidden="1">[2]EXPLRATE!$G$15:$G$24</definedName>
    <definedName name="__123Graph_X95PRED3.PIC" hidden="1">[3]FPDWILD!$AV$130:$AV$143</definedName>
    <definedName name="__123Graph_X95TPRED" hidden="1">[3]FPDWILD!$AV$130:$AV$143</definedName>
    <definedName name="__123Graph_X96WPRED" hidden="1">[3]FPDWILD!$AJ$130:$AJ$144</definedName>
    <definedName name="__123Graph_XCATCHAUKE" hidden="1">[3]FPDWILD!$AX$129:$AX$164</definedName>
    <definedName name="__123Graph_XCATCHHS" hidden="1">[3]FPDWILD!$AX$129:$AX$164</definedName>
    <definedName name="__123Graph_XCATCHSURV" hidden="1">[3]FPDWILD!$AX$129:$AX$164</definedName>
    <definedName name="__123Graph_XHSTROL2" localSheetId="14" hidden="1">[1]EXPLRATE!$G$15:$G$24</definedName>
    <definedName name="__123Graph_XHSTROL2" localSheetId="11" hidden="1">[1]EXPLRATE!$G$15:$G$24</definedName>
    <definedName name="__123Graph_XHSTROL2" localSheetId="12" hidden="1">[1]EXPLRATE!$G$15:$G$24</definedName>
    <definedName name="__123Graph_XHSTROL2" localSheetId="13" hidden="1">[1]EXPLRATE!$G$15:$G$24</definedName>
    <definedName name="__123Graph_XHSTROL2" hidden="1">[2]EXPLRATE!$G$15:$G$24</definedName>
    <definedName name="__123Graph_XHSTROL3" localSheetId="14" hidden="1">[1]EXPLRATE!$G$12:$G$24</definedName>
    <definedName name="__123Graph_XHSTROL3" localSheetId="11" hidden="1">[1]EXPLRATE!$G$12:$G$24</definedName>
    <definedName name="__123Graph_XHSTROL3" localSheetId="12" hidden="1">[1]EXPLRATE!$G$12:$G$24</definedName>
    <definedName name="__123Graph_XHSTROL3" localSheetId="13" hidden="1">[1]EXPLRATE!$G$12:$G$24</definedName>
    <definedName name="__123Graph_XHSTROL3" hidden="1">[2]EXPLRATE!$G$12:$G$24</definedName>
    <definedName name="__123Graph_XHSTROLL" localSheetId="14" hidden="1">[1]EXPLRATE!$G$15:$G$24</definedName>
    <definedName name="__123Graph_XHSTROLL" localSheetId="11" hidden="1">[1]EXPLRATE!$G$15:$G$24</definedName>
    <definedName name="__123Graph_XHSTROLL" localSheetId="12" hidden="1">[1]EXPLRATE!$G$15:$G$24</definedName>
    <definedName name="__123Graph_XHSTROLL" localSheetId="13" hidden="1">[1]EXPLRATE!$G$15:$G$24</definedName>
    <definedName name="__123Graph_XHSTROLL" hidden="1">[2]EXPLRATE!$G$15:$G$24</definedName>
    <definedName name="__123Graph_XNTROLL_HR" localSheetId="14" hidden="1">[1]EXPLRATE!$G$15:$G$24</definedName>
    <definedName name="__123Graph_XNTROLL_HR" localSheetId="11" hidden="1">[1]EXPLRATE!$G$15:$G$24</definedName>
    <definedName name="__123Graph_XNTROLL_HR" localSheetId="12" hidden="1">[1]EXPLRATE!$G$15:$G$24</definedName>
    <definedName name="__123Graph_XNTROLL_HR" localSheetId="13" hidden="1">[1]EXPLRATE!$G$15:$G$24</definedName>
    <definedName name="__123Graph_XNTROLL_HR" hidden="1">[2]EXPLRATE!$G$15:$G$24</definedName>
    <definedName name="_Key1" hidden="1">[3]FPDWILD!$AV$130</definedName>
    <definedName name="_Key2" hidden="1">[3]FPDWILD!$AU$130</definedName>
    <definedName name="_Order1" hidden="1">255</definedName>
    <definedName name="_Order2" hidden="1">255</definedName>
    <definedName name="_Parse_Out" hidden="1">'[4]111GILLH'!$AC$7732</definedName>
    <definedName name="_Regression_Int" localSheetId="12" hidden="1">1</definedName>
    <definedName name="_Regression_Out" localSheetId="14" hidden="1">#REF!</definedName>
    <definedName name="_Regression_Out" localSheetId="11" hidden="1">#REF!</definedName>
    <definedName name="_Regression_Out" localSheetId="7" hidden="1">#REF!</definedName>
    <definedName name="_Regression_Out" localSheetId="8" hidden="1">#REF!</definedName>
    <definedName name="_Regression_Out" localSheetId="9" hidden="1">#REF!</definedName>
    <definedName name="_Regression_Out" localSheetId="12" hidden="1">#REF!</definedName>
    <definedName name="_Regression_Out" localSheetId="13" hidden="1">#REF!</definedName>
    <definedName name="_Regression_Out" localSheetId="16" hidden="1">#N/A</definedName>
    <definedName name="_Regression_Out" localSheetId="5" hidden="1">#REF!</definedName>
    <definedName name="_Regression_Out" localSheetId="6" hidden="1">#REF!</definedName>
    <definedName name="_Regression_Out" localSheetId="10" hidden="1">#REF!</definedName>
    <definedName name="_Regression_Out" hidden="1">#REF!</definedName>
    <definedName name="_Regression_X" localSheetId="14" hidden="1">#REF!</definedName>
    <definedName name="_Regression_X" localSheetId="11" hidden="1">#REF!</definedName>
    <definedName name="_Regression_X" localSheetId="7" hidden="1">#REF!</definedName>
    <definedName name="_Regression_X" localSheetId="8" hidden="1">#REF!</definedName>
    <definedName name="_Regression_X" localSheetId="9" hidden="1">#REF!</definedName>
    <definedName name="_Regression_X" localSheetId="12" hidden="1">#REF!</definedName>
    <definedName name="_Regression_X" localSheetId="13" hidden="1">#REF!</definedName>
    <definedName name="_Regression_X" localSheetId="5" hidden="1">#REF!</definedName>
    <definedName name="_Regression_X" localSheetId="6" hidden="1">#REF!</definedName>
    <definedName name="_Regression_X" localSheetId="10" hidden="1">#REF!</definedName>
    <definedName name="_Regression_X" hidden="1">#REF!</definedName>
    <definedName name="_Regression_Y" localSheetId="14" hidden="1">#REF!</definedName>
    <definedName name="_Regression_Y" localSheetId="11" hidden="1">#REF!</definedName>
    <definedName name="_Regression_Y" localSheetId="7" hidden="1">#REF!</definedName>
    <definedName name="_Regression_Y" localSheetId="8" hidden="1">#REF!</definedName>
    <definedName name="_Regression_Y" localSheetId="9" hidden="1">#REF!</definedName>
    <definedName name="_Regression_Y" localSheetId="12" hidden="1">#REF!</definedName>
    <definedName name="_Regression_Y" localSheetId="13" hidden="1">#REF!</definedName>
    <definedName name="_Regression_Y" localSheetId="5" hidden="1">#REF!</definedName>
    <definedName name="_Regression_Y" localSheetId="6" hidden="1">#REF!</definedName>
    <definedName name="_Regression_Y" localSheetId="10" hidden="1">#REF!</definedName>
    <definedName name="_Regression_Y" hidden="1">#REF!</definedName>
    <definedName name="_Sort" hidden="1">[3]FPDWILD!$AU$130:$AW$144</definedName>
    <definedName name="_Toc115830991" localSheetId="14">AukeCr!$L$3</definedName>
    <definedName name="_Toc115830993" localSheetId="12">FordArm!$A$1</definedName>
    <definedName name="_Toc115830995" localSheetId="18">'Taku Table'!$A$1</definedName>
    <definedName name="_Toc115831000" localSheetId="14">AukeCr!$A$47</definedName>
    <definedName name="_Toc212195049" localSheetId="8">'Fig 5 Fig 6 Table 4 Sitka'!$A$87</definedName>
    <definedName name="_Toc212195051" localSheetId="9">'Fig 7 table 6 YakutatFig'!$A$94</definedName>
    <definedName name="_Toc219528648" localSheetId="10">'table 5 Ketchikan'!$A$1</definedName>
    <definedName name="_Toc219528661" localSheetId="12">FordArm!$A$42</definedName>
    <definedName name="_Toc219528663" localSheetId="18">'Taku Table'!$A$42</definedName>
    <definedName name="_Toc219528664" localSheetId="19">ChilkatTable!$A$41</definedName>
    <definedName name="_Toc314230014" localSheetId="5">'Table 1 GoalSheet'!$A$4</definedName>
    <definedName name="_Toc314230023" localSheetId="11">'Berners River'!$M$3</definedName>
    <definedName name="_Toc314230025" localSheetId="13">HughSmith!$A$46</definedName>
    <definedName name="_Toc314230027" localSheetId="19">ChilkatTable!$A$1</definedName>
    <definedName name="_Toc314230031" localSheetId="11">'Berners River'!$A$49</definedName>
    <definedName name="_Toc314230033" localSheetId="13">HughSmith!$Q$52</definedName>
    <definedName name="_Toc315428358" localSheetId="16">ReportGraphs!$A$47</definedName>
    <definedName name="_Toc315428363" localSheetId="0">ERfigures!$A$92</definedName>
    <definedName name="AUKE" localSheetId="14">#REF!</definedName>
    <definedName name="AUKE" localSheetId="11">#REF!</definedName>
    <definedName name="AUKE" localSheetId="12">#REF!</definedName>
    <definedName name="AUKE" localSheetId="13">#REF!</definedName>
    <definedName name="AUKE">#REF!</definedName>
    <definedName name="AVG" localSheetId="14">#REF!</definedName>
    <definedName name="AVG" localSheetId="11">#REF!</definedName>
    <definedName name="AVG" localSheetId="12">#REF!</definedName>
    <definedName name="AVG" localSheetId="13">#REF!</definedName>
    <definedName name="AVG">#REF!</definedName>
    <definedName name="BERN" localSheetId="14">#REF!</definedName>
    <definedName name="BERN" localSheetId="11">#REF!</definedName>
    <definedName name="BERN" localSheetId="12">#REF!</definedName>
    <definedName name="BERN" localSheetId="13">#REF!</definedName>
    <definedName name="BERN">#REF!</definedName>
    <definedName name="bob">#REF!</definedName>
    <definedName name="bork">#REF!</definedName>
    <definedName name="FORD" localSheetId="14">#REF!</definedName>
    <definedName name="FORD" localSheetId="11">#REF!</definedName>
    <definedName name="FORD" localSheetId="12">#REF!</definedName>
    <definedName name="FORD" localSheetId="13">#REF!</definedName>
    <definedName name="FORD">#REF!</definedName>
    <definedName name="FPD">[3]FPDWILD!$AB$130:$AB$141</definedName>
    <definedName name="get" hidden="1">#REF!</definedName>
    <definedName name="golf">#REF!</definedName>
    <definedName name="goo" hidden="1">[1]EXPLRATE!#REF!</definedName>
    <definedName name="goofball">#REF!</definedName>
    <definedName name="goto" hidden="1">[1]EXPLRATE!#REF!</definedName>
    <definedName name="gump" hidden="1">#REF!</definedName>
    <definedName name="gunso">#REF!</definedName>
    <definedName name="HUGH" localSheetId="14">#REF!</definedName>
    <definedName name="HUGH" localSheetId="11">#REF!</definedName>
    <definedName name="HUGH" localSheetId="12">#REF!</definedName>
    <definedName name="HUGH" localSheetId="13">#REF!</definedName>
    <definedName name="HUGH">#REF!</definedName>
    <definedName name="ike" hidden="1">[5]AUKERUN!$C$103:$C$117</definedName>
    <definedName name="INDEX" localSheetId="14">#REF!</definedName>
    <definedName name="INDEX" localSheetId="11">#REF!</definedName>
    <definedName name="INDEX" localSheetId="7">#REF!</definedName>
    <definedName name="INDEX" localSheetId="8">#REF!</definedName>
    <definedName name="INDEX" localSheetId="9">#REF!</definedName>
    <definedName name="INDEX" localSheetId="12">#REF!</definedName>
    <definedName name="INDEX" localSheetId="13">#REF!</definedName>
    <definedName name="INDEX" localSheetId="5">#REF!</definedName>
    <definedName name="INDEX" localSheetId="6">#REF!</definedName>
    <definedName name="INDEX" localSheetId="10">#REF!</definedName>
    <definedName name="INDEX">#REF!</definedName>
    <definedName name="OLE_LINK4" localSheetId="5">'Table 1 GoalSheet'!$A$22</definedName>
    <definedName name="ouch" hidden="1">#REF!</definedName>
    <definedName name="ourch">#REF!</definedName>
    <definedName name="PRED">[3]FPDWILD!$AD$130:$AD$141</definedName>
    <definedName name="_xlnm.Print_Area" localSheetId="12">FordArm!#REF!</definedName>
    <definedName name="Print_Area_MI" localSheetId="12">FordArm!#REF!</definedName>
    <definedName name="ptsLOESSalpha" localSheetId="7" hidden="1">0.3</definedName>
    <definedName name="ptsLOESSalpha" localSheetId="8" hidden="1">0.206</definedName>
    <definedName name="ptsLOESSalpha" localSheetId="9" hidden="1">0.3</definedName>
    <definedName name="ptsLOESSalpha" localSheetId="12" hidden="1">0.25</definedName>
    <definedName name="ptsLOESSalpha" localSheetId="13" hidden="1">0.3</definedName>
    <definedName name="ptsLOESSalpha" localSheetId="3" hidden="1">0.308</definedName>
    <definedName name="ptsLOESSalpha" localSheetId="2" hidden="1">0.45</definedName>
    <definedName name="ptsLOESSalpha" localSheetId="10" hidden="1">0.194</definedName>
    <definedName name="ptsLOESSalpha" localSheetId="18" hidden="1">0.33</definedName>
    <definedName name="ptsLOESSrange1" localSheetId="7" hidden="1">"Sheet1!$Z$11:$AB$40"</definedName>
    <definedName name="ptsLOESSrange1" localSheetId="8" hidden="1">"'Fig 5 Fig 6 Table 4 Sitka'!$Q$10:$S$43"</definedName>
    <definedName name="ptsLOESSrange1" localSheetId="9" hidden="1">"Rawcounts!$AQ$5:$AS$46"</definedName>
    <definedName name="ptsLOESSrange1" localSheetId="12" hidden="1">"'Table 18-19'!$AF$140:$AH$156"</definedName>
    <definedName name="ptsLOESSrange1" localSheetId="13" hidden="1">"HughSmith!$X$51:$Z$87"</definedName>
    <definedName name="ptsLOESSrange1" localSheetId="3" hidden="1">"'Master smolts'!$AA$96:$AC$122"</definedName>
    <definedName name="ptsLOESSrange1" localSheetId="2" hidden="1">"Survival!$C$142:$E$175"</definedName>
    <definedName name="ptsLOESSrange1" localSheetId="10" hidden="1">"'table 5 Ketchikan'!$AA$91:$AC$126"</definedName>
    <definedName name="ptsLOESSrange1" localSheetId="18" hidden="1">"'Taku Table (2)'!$J$138:$L$160"</definedName>
    <definedName name="ptsLOESSrange2" localSheetId="7" hidden="1">#N/A</definedName>
    <definedName name="ptsLOESSrange2" localSheetId="8" hidden="1">#N/A</definedName>
    <definedName name="ptsLOESSrange2" localSheetId="9" hidden="1">#N/A</definedName>
    <definedName name="ptsLOESSrange2" localSheetId="12" hidden="1">#N/A</definedName>
    <definedName name="ptsLOESSrange2" localSheetId="13" hidden="1">#N/A</definedName>
    <definedName name="ptsLOESSrange2" localSheetId="3" hidden="1">#N/A</definedName>
    <definedName name="ptsLOESSrange2" localSheetId="2" hidden="1">#N/A</definedName>
    <definedName name="ptsLOESSrange2" localSheetId="10" hidden="1">#N/A</definedName>
    <definedName name="ptsLOESSrange2" localSheetId="18" hidden="1">#N/A</definedName>
    <definedName name="ptsLOESSrange3" localSheetId="7" hidden="1">#N/A</definedName>
    <definedName name="ptsLOESSrange3" localSheetId="8" hidden="1">#N/A</definedName>
    <definedName name="ptsLOESSrange3" localSheetId="9" hidden="1">#N/A</definedName>
    <definedName name="ptsLOESSrange3" localSheetId="12" hidden="1">#N/A</definedName>
    <definedName name="ptsLOESSrange3" localSheetId="13" hidden="1">#N/A</definedName>
    <definedName name="ptsLOESSrange3" localSheetId="3" hidden="1">#N/A</definedName>
    <definedName name="ptsLOESSrange3" localSheetId="2" hidden="1">#N/A</definedName>
    <definedName name="ptsLOESSrange3" localSheetId="10" hidden="1">#N/A</definedName>
    <definedName name="ptsLOESSrange3" localSheetId="18" hidden="1">#N/A</definedName>
    <definedName name="ptsLOESSrange4" localSheetId="7" hidden="1">#N/A</definedName>
    <definedName name="ptsLOESSrange4" localSheetId="8" hidden="1">#N/A</definedName>
    <definedName name="ptsLOESSrange4" localSheetId="9" hidden="1">#N/A</definedName>
    <definedName name="ptsLOESSrange4" localSheetId="12" hidden="1">#N/A</definedName>
    <definedName name="ptsLOESSrange4" localSheetId="13" hidden="1">#N/A</definedName>
    <definedName name="ptsLOESSrange4" localSheetId="3" hidden="1">#N/A</definedName>
    <definedName name="ptsLOESSrange4" localSheetId="2" hidden="1">#N/A</definedName>
    <definedName name="ptsLOESSrange4" localSheetId="10" hidden="1">#N/A</definedName>
    <definedName name="ptsLOESSrange4" localSheetId="18" hidden="1">#N/A</definedName>
    <definedName name="ptsLOESStype" localSheetId="7" hidden="1">1</definedName>
    <definedName name="ptsLOESStype" localSheetId="8" hidden="1">1</definedName>
    <definedName name="ptsLOESStype" localSheetId="9" hidden="1">1</definedName>
    <definedName name="ptsLOESStype" localSheetId="12" hidden="1">1</definedName>
    <definedName name="ptsLOESStype" localSheetId="13" hidden="1">1</definedName>
    <definedName name="ptsLOESStype" localSheetId="3" hidden="1">1</definedName>
    <definedName name="ptsLOESStype" localSheetId="2" hidden="1">1</definedName>
    <definedName name="ptsLOESStype" localSheetId="10" hidden="1">1</definedName>
    <definedName name="ptsLOESStype" localSheetId="18" hidden="1">1</definedName>
    <definedName name="rily">#REF!</definedName>
    <definedName name="rubi">#REF!</definedName>
    <definedName name="SALM" localSheetId="14">#REF!</definedName>
    <definedName name="SALM" localSheetId="11">#REF!</definedName>
    <definedName name="SALM" localSheetId="12">#REF!</definedName>
    <definedName name="SALM" localSheetId="13">#REF!</definedName>
    <definedName name="SALM">#REF!</definedName>
    <definedName name="sor">#REF!</definedName>
    <definedName name="sub">#REF!</definedName>
    <definedName name="TOTL">[3]FPDWILD!$AC$130:$AC$141</definedName>
    <definedName name="wity">#REF!</definedName>
    <definedName name="wow" hidden="1">#REF!</definedName>
    <definedName name="xer">#REF!</definedName>
    <definedName name="xie">#REF!</definedName>
    <definedName name="xle">#REF!</definedName>
    <definedName name="YEAR" localSheetId="14">#REF!</definedName>
    <definedName name="YEAR" localSheetId="11">#REF!</definedName>
    <definedName name="YEAR" localSheetId="7">#REF!</definedName>
    <definedName name="YEAR" localSheetId="8">#REF!</definedName>
    <definedName name="YEAR" localSheetId="9">#REF!</definedName>
    <definedName name="YEAR" localSheetId="12">#REF!</definedName>
    <definedName name="YEAR" localSheetId="13">#REF!</definedName>
    <definedName name="YEAR" localSheetId="5">#REF!</definedName>
    <definedName name="YEAR" localSheetId="6">#REF!</definedName>
    <definedName name="YEAR" localSheetId="10">#REF!</definedName>
    <definedName name="YEAR">#REF!</definedName>
  </definedNames>
  <calcPr calcId="145621"/>
</workbook>
</file>

<file path=xl/calcChain.xml><?xml version="1.0" encoding="utf-8"?>
<calcChain xmlns="http://schemas.openxmlformats.org/spreadsheetml/2006/main">
  <c r="G215" i="53" l="1"/>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F215" i="53"/>
  <c r="F214" i="53"/>
  <c r="F213" i="53"/>
  <c r="F212" i="53"/>
  <c r="F211" i="53"/>
  <c r="F210" i="53"/>
  <c r="F209" i="53"/>
  <c r="F208" i="53"/>
  <c r="F207" i="53"/>
  <c r="F206" i="53"/>
  <c r="F205" i="53"/>
  <c r="F204" i="53"/>
  <c r="F203" i="53"/>
  <c r="F202" i="53"/>
  <c r="F201" i="53"/>
  <c r="F200" i="53"/>
  <c r="F199" i="53"/>
  <c r="F198" i="53"/>
  <c r="F197" i="53"/>
  <c r="F196" i="53"/>
  <c r="F195" i="53"/>
  <c r="F194" i="53"/>
  <c r="F193" i="53"/>
  <c r="F192" i="53"/>
  <c r="F191" i="53"/>
  <c r="F190" i="53"/>
  <c r="F189" i="53"/>
  <c r="F188" i="53"/>
  <c r="F187" i="53"/>
  <c r="F186" i="53"/>
  <c r="F185" i="53"/>
  <c r="F184" i="53"/>
  <c r="F183" i="53"/>
  <c r="F182" i="53"/>
  <c r="F181" i="53"/>
  <c r="F180" i="53"/>
  <c r="F179" i="53"/>
  <c r="F178" i="53"/>
  <c r="C215" i="53"/>
  <c r="C180" i="53"/>
  <c r="C181" i="53" s="1"/>
  <c r="C182" i="53" s="1"/>
  <c r="C183" i="53" s="1"/>
  <c r="C184" i="53" s="1"/>
  <c r="C185" i="53" s="1"/>
  <c r="C186" i="53" s="1"/>
  <c r="C187" i="53" s="1"/>
  <c r="C188" i="53" s="1"/>
  <c r="C189" i="53" s="1"/>
  <c r="C190" i="53" s="1"/>
  <c r="C191" i="53" s="1"/>
  <c r="C192" i="53" s="1"/>
  <c r="C193" i="53" s="1"/>
  <c r="C194" i="53" s="1"/>
  <c r="C195" i="53" s="1"/>
  <c r="C196" i="53" s="1"/>
  <c r="C197" i="53" s="1"/>
  <c r="C198" i="53" s="1"/>
  <c r="C199" i="53" s="1"/>
  <c r="C200" i="53" s="1"/>
  <c r="C201" i="53" s="1"/>
  <c r="C202" i="53" s="1"/>
  <c r="C203" i="53" s="1"/>
  <c r="C204" i="53" s="1"/>
  <c r="C205" i="53" s="1"/>
  <c r="C206" i="53" s="1"/>
  <c r="C207" i="53" s="1"/>
  <c r="C208" i="53" s="1"/>
  <c r="C209" i="53" s="1"/>
  <c r="C210" i="53" s="1"/>
  <c r="C211" i="53" s="1"/>
  <c r="C212" i="53" s="1"/>
  <c r="C213" i="53" s="1"/>
  <c r="C214" i="53" s="1"/>
  <c r="C179" i="53"/>
  <c r="C178" i="53"/>
  <c r="F141" i="53"/>
  <c r="C141" i="53"/>
  <c r="F175" i="53"/>
  <c r="F174" i="53"/>
  <c r="F173" i="53"/>
  <c r="F172" i="53"/>
  <c r="F171" i="53"/>
  <c r="F170" i="53"/>
  <c r="F169" i="53"/>
  <c r="F168" i="53"/>
  <c r="F167" i="53"/>
  <c r="F166" i="53"/>
  <c r="F165" i="53"/>
  <c r="F164" i="53"/>
  <c r="F163" i="53"/>
  <c r="F162" i="53"/>
  <c r="F161" i="53"/>
  <c r="F160" i="53"/>
  <c r="F159" i="53"/>
  <c r="F158" i="53"/>
  <c r="F157" i="53"/>
  <c r="F156" i="53"/>
  <c r="F155" i="53"/>
  <c r="F154" i="53"/>
  <c r="F153" i="53"/>
  <c r="F152" i="53"/>
  <c r="F151" i="53"/>
  <c r="F150" i="53"/>
  <c r="F149" i="53"/>
  <c r="F148" i="53"/>
  <c r="F147" i="53"/>
  <c r="F146" i="53"/>
  <c r="F145" i="53"/>
  <c r="F144" i="53"/>
  <c r="F143" i="53"/>
  <c r="F142" i="53"/>
  <c r="T46" i="53"/>
  <c r="P46" i="53"/>
  <c r="T44" i="53"/>
  <c r="S46" i="53"/>
  <c r="P44" i="53"/>
  <c r="T43" i="53"/>
  <c r="AA43" i="53"/>
  <c r="AA46" i="53"/>
  <c r="AA44" i="53"/>
  <c r="AA36" i="53"/>
  <c r="AD51" i="53" l="1"/>
  <c r="AD49" i="53"/>
  <c r="AD50" i="53"/>
  <c r="Q131" i="41" l="1"/>
  <c r="Q130" i="41"/>
  <c r="Q129" i="41"/>
  <c r="Q128" i="41"/>
  <c r="Q127" i="41"/>
  <c r="Q126" i="41"/>
  <c r="Q125" i="41"/>
  <c r="Q124" i="41"/>
  <c r="Q123" i="41"/>
  <c r="Q122" i="41"/>
  <c r="Q121" i="41"/>
  <c r="Q120" i="41"/>
  <c r="Q119" i="41"/>
  <c r="Q118" i="41"/>
  <c r="Q117" i="41"/>
  <c r="R131" i="41" l="1"/>
  <c r="R130" i="41"/>
  <c r="R129" i="41"/>
  <c r="R128" i="41"/>
  <c r="R127" i="41"/>
  <c r="R126" i="41"/>
  <c r="R125" i="41"/>
  <c r="R124" i="41"/>
  <c r="R123" i="41"/>
  <c r="R122" i="41"/>
  <c r="R121" i="41"/>
  <c r="R120" i="41"/>
  <c r="R119" i="41"/>
  <c r="R118" i="41"/>
  <c r="R117" i="41"/>
  <c r="M89" i="38"/>
  <c r="M88" i="38"/>
  <c r="M87" i="38"/>
  <c r="M86" i="38"/>
  <c r="M85" i="38"/>
  <c r="M84" i="38"/>
  <c r="M83" i="38"/>
  <c r="M82" i="38"/>
  <c r="M81" i="38"/>
  <c r="M80" i="38"/>
  <c r="M79" i="38"/>
  <c r="M78" i="38"/>
  <c r="M77" i="38"/>
  <c r="M76" i="38"/>
  <c r="M75" i="38"/>
  <c r="M74" i="38"/>
  <c r="M73" i="38"/>
  <c r="M72" i="38"/>
  <c r="M71" i="38"/>
  <c r="M70" i="38"/>
  <c r="L60" i="38"/>
  <c r="Y87" i="39" l="1"/>
  <c r="W87" i="39"/>
  <c r="U87" i="39"/>
  <c r="Y86" i="39"/>
  <c r="W86" i="39"/>
  <c r="U86" i="39"/>
  <c r="Y85" i="39"/>
  <c r="W85" i="39"/>
  <c r="U85" i="39"/>
  <c r="Y84" i="39"/>
  <c r="W84" i="39"/>
  <c r="U84" i="39"/>
  <c r="Y83" i="39"/>
  <c r="W83" i="39"/>
  <c r="U83" i="39"/>
  <c r="Y82" i="39"/>
  <c r="W82" i="39"/>
  <c r="U82" i="39"/>
  <c r="Y81" i="39"/>
  <c r="W81" i="39"/>
  <c r="U81" i="39"/>
  <c r="Y80" i="39"/>
  <c r="W80" i="39"/>
  <c r="U80" i="39"/>
  <c r="Y79" i="39"/>
  <c r="W79" i="39"/>
  <c r="U79" i="39"/>
  <c r="Y78" i="39"/>
  <c r="W78" i="39"/>
  <c r="U78" i="39"/>
  <c r="Y77" i="39"/>
  <c r="W77" i="39"/>
  <c r="U77" i="39"/>
  <c r="Y76" i="39"/>
  <c r="W76" i="39"/>
  <c r="U76" i="39"/>
  <c r="Y75" i="39"/>
  <c r="W75" i="39"/>
  <c r="U75" i="39"/>
  <c r="Y74" i="39"/>
  <c r="W74" i="39"/>
  <c r="U74" i="39"/>
  <c r="Y73" i="39"/>
  <c r="W73" i="39"/>
  <c r="U73" i="39"/>
  <c r="Y72" i="39"/>
  <c r="W72" i="39"/>
  <c r="U72" i="39"/>
  <c r="Y71" i="39"/>
  <c r="W71" i="39"/>
  <c r="U71" i="39"/>
  <c r="Y70" i="39"/>
  <c r="W70" i="39"/>
  <c r="U70" i="39"/>
  <c r="Y69" i="39"/>
  <c r="W69" i="39"/>
  <c r="U69" i="39"/>
  <c r="Y68" i="39"/>
  <c r="W68" i="39"/>
  <c r="U68" i="39"/>
  <c r="Y67" i="39"/>
  <c r="W67" i="39"/>
  <c r="U67" i="39"/>
  <c r="Y66" i="39"/>
  <c r="W66" i="39"/>
  <c r="U66" i="39"/>
  <c r="Y65" i="39"/>
  <c r="W65" i="39"/>
  <c r="U65" i="39"/>
  <c r="Y64" i="39"/>
  <c r="W64" i="39"/>
  <c r="U64" i="39"/>
  <c r="Y63" i="39"/>
  <c r="W63" i="39"/>
  <c r="U63" i="39"/>
  <c r="Y62" i="39"/>
  <c r="W62" i="39"/>
  <c r="U62" i="39"/>
  <c r="Y61" i="39"/>
  <c r="W61" i="39"/>
  <c r="U61" i="39"/>
  <c r="Y60" i="39"/>
  <c r="W60" i="39"/>
  <c r="U60" i="39"/>
  <c r="Y59" i="39"/>
  <c r="W59" i="39"/>
  <c r="U59" i="39"/>
  <c r="Y58" i="39"/>
  <c r="W58" i="39"/>
  <c r="U58" i="39"/>
  <c r="Y57" i="39"/>
  <c r="W57" i="39"/>
  <c r="U57" i="39"/>
  <c r="Y56" i="39"/>
  <c r="W56" i="39"/>
  <c r="U56" i="39"/>
  <c r="Y55" i="39"/>
  <c r="W55" i="39"/>
  <c r="U55" i="39"/>
  <c r="Y54" i="39"/>
  <c r="W54" i="39"/>
  <c r="U54" i="39"/>
  <c r="Y53" i="39"/>
  <c r="W53" i="39"/>
  <c r="U53" i="39"/>
  <c r="Y52" i="39"/>
  <c r="W52" i="39"/>
  <c r="U52" i="39"/>
  <c r="Y51" i="39"/>
  <c r="W51" i="39"/>
  <c r="U51" i="39"/>
  <c r="Z16" i="41" l="1"/>
  <c r="Z17" i="41"/>
  <c r="CT57" i="41"/>
  <c r="CS56" i="41"/>
  <c r="CS57" i="41"/>
  <c r="Z47" i="41"/>
  <c r="Z46" i="41"/>
  <c r="Z45" i="41"/>
  <c r="Z44" i="41"/>
  <c r="Z43" i="41"/>
  <c r="Z42" i="41"/>
  <c r="Z41" i="41"/>
  <c r="Z40" i="41"/>
  <c r="Z39" i="41"/>
  <c r="Z38" i="41"/>
  <c r="Z37" i="41"/>
  <c r="Z36" i="41"/>
  <c r="Z35" i="41"/>
  <c r="Z34" i="41"/>
  <c r="Z33" i="41"/>
  <c r="Z32" i="41"/>
  <c r="Z31" i="41"/>
  <c r="Z30" i="41"/>
  <c r="Z29" i="41"/>
  <c r="Z28" i="41"/>
  <c r="Z27" i="41"/>
  <c r="Z26" i="41"/>
  <c r="Z25" i="41"/>
  <c r="Z24" i="41"/>
  <c r="Z23" i="41"/>
  <c r="Z22" i="41"/>
  <c r="Z21" i="41"/>
  <c r="Z20" i="41"/>
  <c r="Z19" i="41"/>
  <c r="Z18" i="41"/>
  <c r="Y47" i="41" l="1"/>
  <c r="Y46" i="41"/>
  <c r="Y45" i="41"/>
  <c r="Y44" i="41"/>
  <c r="Y43" i="41"/>
  <c r="Y42" i="41"/>
  <c r="Y41" i="41"/>
  <c r="Y40" i="41"/>
  <c r="Y39" i="41"/>
  <c r="Y38" i="41"/>
  <c r="Y37" i="41"/>
  <c r="Y36" i="41"/>
  <c r="Y35" i="41"/>
  <c r="Y34" i="41"/>
  <c r="Y33" i="41"/>
  <c r="Y32" i="41"/>
  <c r="Y31" i="41"/>
  <c r="Y30" i="41"/>
  <c r="Y29" i="41"/>
  <c r="Y28" i="41"/>
  <c r="Y27" i="41"/>
  <c r="Y26" i="41"/>
  <c r="Y25" i="41"/>
  <c r="Y24" i="41"/>
  <c r="Y23" i="41"/>
  <c r="Y22" i="41"/>
  <c r="Y21" i="41"/>
  <c r="Y20" i="41"/>
  <c r="Y19" i="41"/>
  <c r="Y18" i="41"/>
  <c r="Y17" i="41"/>
  <c r="W47" i="41"/>
  <c r="P170" i="41" l="1"/>
  <c r="P169" i="41"/>
  <c r="P168" i="41"/>
  <c r="P167" i="41"/>
  <c r="P166" i="41"/>
  <c r="P165" i="41"/>
  <c r="P164" i="41"/>
  <c r="P163" i="41"/>
  <c r="P162" i="41"/>
  <c r="P161" i="41"/>
  <c r="P160" i="41"/>
  <c r="P159" i="41"/>
  <c r="P158" i="41"/>
  <c r="P157" i="41"/>
  <c r="P156" i="41"/>
  <c r="P155" i="41"/>
  <c r="P154" i="41"/>
  <c r="P153" i="41"/>
  <c r="P152" i="41"/>
  <c r="P151" i="41"/>
  <c r="P150" i="41"/>
  <c r="P149" i="41"/>
  <c r="P148" i="41"/>
  <c r="P147" i="41"/>
  <c r="P146" i="41"/>
  <c r="P145" i="41"/>
  <c r="P144" i="41"/>
  <c r="P143" i="41"/>
  <c r="P142" i="41"/>
  <c r="P141" i="41"/>
  <c r="O87" i="39"/>
  <c r="O86" i="39"/>
  <c r="O85" i="39"/>
  <c r="O84" i="39"/>
  <c r="O83" i="39"/>
  <c r="O82" i="39"/>
  <c r="O81" i="39"/>
  <c r="O80" i="39"/>
  <c r="O79" i="39"/>
  <c r="O78" i="39"/>
  <c r="O77" i="39"/>
  <c r="O76" i="39"/>
  <c r="O75" i="39"/>
  <c r="O74" i="39"/>
  <c r="O73" i="39"/>
  <c r="O72" i="39"/>
  <c r="O71" i="39"/>
  <c r="O70" i="39"/>
  <c r="O69" i="39"/>
  <c r="O68" i="39"/>
  <c r="O67" i="39"/>
  <c r="O66" i="39"/>
  <c r="O65" i="39"/>
  <c r="O64" i="39"/>
  <c r="O63" i="39"/>
  <c r="O62" i="39"/>
  <c r="O61" i="39"/>
  <c r="O60" i="39"/>
  <c r="O59" i="39"/>
  <c r="O58" i="39"/>
  <c r="O57" i="39"/>
  <c r="O56" i="39"/>
  <c r="O55" i="39"/>
  <c r="O54" i="39"/>
  <c r="O53" i="39"/>
  <c r="O52" i="39"/>
  <c r="O51" i="39"/>
  <c r="L81" i="40"/>
  <c r="L80" i="40"/>
  <c r="L79" i="40"/>
  <c r="L78" i="40"/>
  <c r="L77" i="40"/>
  <c r="L76" i="40"/>
  <c r="L75" i="40"/>
  <c r="L74" i="40"/>
  <c r="L73" i="40"/>
  <c r="L72" i="40"/>
  <c r="L71" i="40"/>
  <c r="L70" i="40"/>
  <c r="L69" i="40"/>
  <c r="L68" i="40"/>
  <c r="L67" i="40"/>
  <c r="L66" i="40"/>
  <c r="L65" i="40"/>
  <c r="L64" i="40"/>
  <c r="L63" i="40"/>
  <c r="L62" i="40"/>
  <c r="L61" i="40"/>
  <c r="L60" i="40"/>
  <c r="L59" i="40"/>
  <c r="L58" i="40"/>
  <c r="L57" i="40"/>
  <c r="L56" i="40"/>
  <c r="L55" i="40"/>
  <c r="L54" i="40"/>
  <c r="L53" i="40"/>
  <c r="L52" i="40"/>
  <c r="L51" i="40"/>
  <c r="L49" i="40"/>
  <c r="L48" i="40"/>
  <c r="L91" i="38"/>
  <c r="L89" i="38"/>
  <c r="L88" i="38"/>
  <c r="L87" i="38"/>
  <c r="L86" i="38"/>
  <c r="L85" i="38"/>
  <c r="L84" i="38"/>
  <c r="L83" i="38"/>
  <c r="L82" i="38"/>
  <c r="L81" i="38"/>
  <c r="L80" i="38"/>
  <c r="L79" i="38"/>
  <c r="L78" i="38"/>
  <c r="L77" i="38"/>
  <c r="L76" i="38"/>
  <c r="L75" i="38"/>
  <c r="L74" i="38"/>
  <c r="L73" i="38"/>
  <c r="L72" i="38"/>
  <c r="L71" i="38"/>
  <c r="L70" i="38"/>
  <c r="L69" i="38"/>
  <c r="L68" i="38"/>
  <c r="L67" i="38"/>
  <c r="L66" i="38"/>
  <c r="L65" i="38"/>
  <c r="L64" i="38"/>
  <c r="L63" i="38"/>
  <c r="L62" i="38"/>
  <c r="L61" i="38"/>
  <c r="L59" i="38"/>
  <c r="L58" i="38"/>
  <c r="L57" i="38"/>
  <c r="L56" i="38"/>
  <c r="L55" i="38"/>
  <c r="L54" i="38"/>
  <c r="P134" i="41" l="1"/>
  <c r="P133" i="41"/>
  <c r="P132" i="41"/>
  <c r="P120" i="41"/>
  <c r="P121" i="41" s="1"/>
  <c r="P122" i="41" s="1"/>
  <c r="P123" i="41" s="1"/>
  <c r="P124" i="41" s="1"/>
  <c r="P125" i="41" s="1"/>
  <c r="P126" i="41" s="1"/>
  <c r="P127" i="41" s="1"/>
  <c r="P128" i="41" s="1"/>
  <c r="P129" i="41" s="1"/>
  <c r="P130" i="41" s="1"/>
  <c r="P131" i="41" s="1"/>
  <c r="P119" i="41"/>
  <c r="P118" i="41"/>
  <c r="O105" i="41"/>
  <c r="O106" i="41" s="1"/>
  <c r="O107" i="41" s="1"/>
  <c r="O108" i="41" s="1"/>
  <c r="O109" i="41" s="1"/>
  <c r="O110" i="41" s="1"/>
  <c r="O111" i="41" s="1"/>
  <c r="O112" i="41" s="1"/>
  <c r="O113" i="41" s="1"/>
  <c r="O114" i="41" s="1"/>
  <c r="O115" i="41" s="1"/>
  <c r="O116" i="41" s="1"/>
  <c r="O117" i="41" s="1"/>
  <c r="O104" i="41"/>
  <c r="O103" i="41"/>
  <c r="AB46" i="49" l="1"/>
  <c r="AB45" i="49"/>
  <c r="AB44" i="49"/>
  <c r="AB43" i="49"/>
  <c r="AB42" i="49"/>
  <c r="AB41" i="49"/>
  <c r="AB40" i="49"/>
  <c r="AB39" i="49"/>
  <c r="AB38" i="49"/>
  <c r="AB37" i="49"/>
  <c r="AB36" i="49"/>
  <c r="AB35" i="49"/>
  <c r="AB34" i="49"/>
  <c r="AB33" i="49"/>
  <c r="AB32" i="49"/>
  <c r="AB31" i="49"/>
  <c r="AB30" i="49"/>
  <c r="AB29" i="49"/>
  <c r="AB28" i="49"/>
  <c r="AB27" i="49"/>
  <c r="AB26" i="49"/>
  <c r="AB25" i="49"/>
  <c r="AB24" i="49"/>
  <c r="AB23" i="49"/>
  <c r="AB22" i="49"/>
  <c r="AB21" i="49"/>
  <c r="AB20" i="49"/>
  <c r="AB19" i="49"/>
  <c r="AB18" i="49"/>
  <c r="AB17" i="49"/>
  <c r="AB16" i="49"/>
  <c r="AB15" i="49"/>
  <c r="AB14" i="49"/>
  <c r="AB13" i="49"/>
  <c r="AB12" i="49"/>
  <c r="AB11" i="49"/>
  <c r="AB10" i="49"/>
  <c r="AB9" i="49"/>
  <c r="AB8" i="49"/>
  <c r="AB7" i="49"/>
  <c r="V46" i="49" l="1"/>
  <c r="U46" i="49"/>
  <c r="T46" i="49"/>
  <c r="V45" i="49"/>
  <c r="U45" i="49"/>
  <c r="T45" i="49"/>
  <c r="V44" i="49"/>
  <c r="U44" i="49"/>
  <c r="T44" i="49"/>
  <c r="V43" i="49"/>
  <c r="U43" i="49"/>
  <c r="T43" i="49"/>
  <c r="V42" i="49"/>
  <c r="U42" i="49"/>
  <c r="T42" i="49"/>
  <c r="V41" i="49"/>
  <c r="U41" i="49"/>
  <c r="T41" i="49"/>
  <c r="V40" i="49"/>
  <c r="U40" i="49"/>
  <c r="T40" i="49"/>
  <c r="V39" i="49"/>
  <c r="U39" i="49"/>
  <c r="T39" i="49"/>
  <c r="V38" i="49"/>
  <c r="U38" i="49"/>
  <c r="T38" i="49"/>
  <c r="V37" i="49"/>
  <c r="U37" i="49"/>
  <c r="T37" i="49"/>
  <c r="V36" i="49"/>
  <c r="U36" i="49"/>
  <c r="T36" i="49"/>
  <c r="V35" i="49"/>
  <c r="U35" i="49"/>
  <c r="T35" i="49"/>
  <c r="V34" i="49"/>
  <c r="U34" i="49"/>
  <c r="T34" i="49"/>
  <c r="V33" i="49"/>
  <c r="U33" i="49"/>
  <c r="T33" i="49"/>
  <c r="V32" i="49"/>
  <c r="U32" i="49"/>
  <c r="T32" i="49"/>
  <c r="V31" i="49"/>
  <c r="U31" i="49"/>
  <c r="T31" i="49"/>
  <c r="V30" i="49"/>
  <c r="U30" i="49"/>
  <c r="T30" i="49"/>
  <c r="V29" i="49"/>
  <c r="U29" i="49"/>
  <c r="T29" i="49"/>
  <c r="V28" i="49"/>
  <c r="U28" i="49"/>
  <c r="T28" i="49"/>
  <c r="V27" i="49"/>
  <c r="U27" i="49"/>
  <c r="T27" i="49"/>
  <c r="V26" i="49"/>
  <c r="U26" i="49"/>
  <c r="T26" i="49"/>
  <c r="V25" i="49"/>
  <c r="U25" i="49"/>
  <c r="T25" i="49"/>
  <c r="V24" i="49"/>
  <c r="U24" i="49"/>
  <c r="T24" i="49"/>
  <c r="V23" i="49"/>
  <c r="U23" i="49"/>
  <c r="T23" i="49"/>
  <c r="V22" i="49"/>
  <c r="U22" i="49"/>
  <c r="T22" i="49"/>
  <c r="V21" i="49"/>
  <c r="U21" i="49"/>
  <c r="T21" i="49"/>
  <c r="V20" i="49"/>
  <c r="U20" i="49"/>
  <c r="T20" i="49"/>
  <c r="V19" i="49"/>
  <c r="U19" i="49"/>
  <c r="T19" i="49"/>
  <c r="V18" i="49"/>
  <c r="U18" i="49"/>
  <c r="T18" i="49"/>
  <c r="V17" i="49"/>
  <c r="U17" i="49"/>
  <c r="T17" i="49"/>
  <c r="V16" i="49"/>
  <c r="U16" i="49"/>
  <c r="T16" i="49"/>
  <c r="V15" i="49"/>
  <c r="U15" i="49"/>
  <c r="T15" i="49"/>
  <c r="V14" i="49"/>
  <c r="U14" i="49"/>
  <c r="T14" i="49"/>
  <c r="V13" i="49"/>
  <c r="U13" i="49"/>
  <c r="T13" i="49"/>
  <c r="V12" i="49"/>
  <c r="U12" i="49"/>
  <c r="T12" i="49"/>
  <c r="V11" i="49"/>
  <c r="U11" i="49"/>
  <c r="T11" i="49"/>
  <c r="V10" i="49"/>
  <c r="U10" i="49"/>
  <c r="T10" i="49"/>
  <c r="W9" i="49"/>
  <c r="W10" i="49"/>
  <c r="W11" i="49"/>
  <c r="W12" i="49"/>
  <c r="W13" i="49"/>
  <c r="W14" i="49"/>
  <c r="W15" i="49"/>
  <c r="W16" i="49"/>
  <c r="W17" i="49"/>
  <c r="W18" i="49"/>
  <c r="W19" i="49"/>
  <c r="W20" i="49"/>
  <c r="W21" i="49"/>
  <c r="W22" i="49"/>
  <c r="W23" i="49"/>
  <c r="W24" i="49"/>
  <c r="W25" i="49"/>
  <c r="W26" i="49"/>
  <c r="W27" i="49"/>
  <c r="W28" i="49"/>
  <c r="W29" i="49"/>
  <c r="W30" i="49"/>
  <c r="W31" i="49"/>
  <c r="W32" i="49"/>
  <c r="W33" i="49"/>
  <c r="W34" i="49"/>
  <c r="W35" i="49"/>
  <c r="W36" i="49"/>
  <c r="W37" i="49"/>
  <c r="W38" i="49"/>
  <c r="W39" i="49"/>
  <c r="W40" i="49"/>
  <c r="W41" i="49"/>
  <c r="W42" i="49"/>
  <c r="W43" i="49"/>
  <c r="T229" i="41" l="1"/>
  <c r="S229" i="41"/>
  <c r="U227" i="41"/>
  <c r="T227" i="41"/>
  <c r="S227" i="41"/>
  <c r="U226" i="41"/>
  <c r="T226" i="41"/>
  <c r="S226" i="41"/>
  <c r="V226" i="41" s="1"/>
  <c r="U225" i="41"/>
  <c r="T225" i="41"/>
  <c r="S225" i="41"/>
  <c r="U224" i="41"/>
  <c r="T224" i="41"/>
  <c r="S224" i="41"/>
  <c r="U223" i="41"/>
  <c r="T223" i="41"/>
  <c r="S223" i="41"/>
  <c r="U222" i="41"/>
  <c r="T222" i="41"/>
  <c r="S222" i="41"/>
  <c r="V222" i="41" s="1"/>
  <c r="U221" i="41"/>
  <c r="T221" i="41"/>
  <c r="S221" i="41"/>
  <c r="U220" i="41"/>
  <c r="T220" i="41"/>
  <c r="S220" i="41"/>
  <c r="U219" i="41"/>
  <c r="T219" i="41"/>
  <c r="S219" i="41"/>
  <c r="U218" i="41"/>
  <c r="T218" i="41"/>
  <c r="S218" i="41"/>
  <c r="V218" i="41" s="1"/>
  <c r="U217" i="41"/>
  <c r="T217" i="41"/>
  <c r="S217" i="41"/>
  <c r="U216" i="41"/>
  <c r="T216" i="41"/>
  <c r="S216" i="41"/>
  <c r="U215" i="41"/>
  <c r="T215" i="41"/>
  <c r="S215" i="41"/>
  <c r="U214" i="41"/>
  <c r="T214" i="41"/>
  <c r="S214" i="41"/>
  <c r="V214" i="41" s="1"/>
  <c r="U213" i="41"/>
  <c r="T213" i="41"/>
  <c r="S213" i="41"/>
  <c r="U212" i="41"/>
  <c r="T212" i="41"/>
  <c r="S212" i="41"/>
  <c r="U211" i="41"/>
  <c r="T211" i="41"/>
  <c r="S211" i="41"/>
  <c r="U210" i="41"/>
  <c r="T210" i="41"/>
  <c r="S210" i="41"/>
  <c r="V210" i="41" s="1"/>
  <c r="U209" i="41"/>
  <c r="T209" i="41"/>
  <c r="S209" i="41"/>
  <c r="U208" i="41"/>
  <c r="T208" i="41"/>
  <c r="S208" i="41"/>
  <c r="U207" i="41"/>
  <c r="T207" i="41"/>
  <c r="S207" i="41"/>
  <c r="U206" i="41"/>
  <c r="T206" i="41"/>
  <c r="S206" i="41"/>
  <c r="V206" i="41" s="1"/>
  <c r="U205" i="41"/>
  <c r="T205" i="41"/>
  <c r="S205" i="41"/>
  <c r="U204" i="41"/>
  <c r="T204" i="41"/>
  <c r="S204" i="41"/>
  <c r="U203" i="41"/>
  <c r="T203" i="41"/>
  <c r="S203" i="41"/>
  <c r="U202" i="41"/>
  <c r="T202" i="41"/>
  <c r="S202" i="41"/>
  <c r="V202" i="41" s="1"/>
  <c r="U201" i="41"/>
  <c r="T201" i="41"/>
  <c r="S201" i="41"/>
  <c r="U200" i="41"/>
  <c r="T200" i="41"/>
  <c r="S200" i="41"/>
  <c r="U199" i="41"/>
  <c r="T199" i="41"/>
  <c r="S199" i="41"/>
  <c r="U228" i="41"/>
  <c r="T228" i="41"/>
  <c r="S228" i="41"/>
  <c r="D171" i="41"/>
  <c r="S4" i="39"/>
  <c r="S3" i="39"/>
  <c r="S2" i="39"/>
  <c r="T40" i="39"/>
  <c r="T39" i="39"/>
  <c r="T38" i="39"/>
  <c r="U229" i="41" l="1"/>
  <c r="V201" i="41"/>
  <c r="V205" i="41"/>
  <c r="V209" i="41"/>
  <c r="V213" i="41"/>
  <c r="V217" i="41"/>
  <c r="V221" i="41"/>
  <c r="V225" i="41"/>
  <c r="V200" i="41"/>
  <c r="V204" i="41"/>
  <c r="V208" i="41"/>
  <c r="V212" i="41"/>
  <c r="V216" i="41"/>
  <c r="V220" i="41"/>
  <c r="V224" i="41"/>
  <c r="V199" i="41"/>
  <c r="V203" i="41"/>
  <c r="V207" i="41"/>
  <c r="V211" i="41"/>
  <c r="V215" i="41"/>
  <c r="V219" i="41"/>
  <c r="V223" i="41"/>
  <c r="V227" i="41"/>
  <c r="V229" i="41"/>
  <c r="V228" i="41"/>
  <c r="L131" i="41" l="1"/>
  <c r="P31" i="41"/>
  <c r="V48" i="41"/>
  <c r="U48" i="41" s="1"/>
  <c r="V47" i="41"/>
  <c r="V46" i="41"/>
  <c r="V45" i="41"/>
  <c r="V44" i="41"/>
  <c r="V43" i="41"/>
  <c r="V42" i="41"/>
  <c r="V41" i="41"/>
  <c r="V40" i="41"/>
  <c r="V39" i="41"/>
  <c r="V38" i="41"/>
  <c r="V37" i="41"/>
  <c r="V36" i="41"/>
  <c r="V35" i="41"/>
  <c r="V34" i="41"/>
  <c r="V33" i="41"/>
  <c r="V32" i="41"/>
  <c r="V31" i="41"/>
  <c r="V30" i="41"/>
  <c r="V29" i="41"/>
  <c r="P38" i="41"/>
  <c r="O47" i="41"/>
  <c r="R47" i="41" s="1"/>
  <c r="O46" i="41"/>
  <c r="R46" i="41" s="1"/>
  <c r="O45" i="41"/>
  <c r="O44" i="41"/>
  <c r="O43" i="41"/>
  <c r="O42" i="41"/>
  <c r="O41" i="41"/>
  <c r="O40" i="41"/>
  <c r="O39" i="41"/>
  <c r="O38" i="41"/>
  <c r="O37" i="41"/>
  <c r="O36" i="41"/>
  <c r="O35" i="41"/>
  <c r="O34" i="41"/>
  <c r="O33" i="41"/>
  <c r="O32" i="41"/>
  <c r="O31" i="41"/>
  <c r="O30" i="41"/>
  <c r="O29" i="41"/>
  <c r="D74" i="10"/>
  <c r="B76" i="10"/>
  <c r="H73" i="10"/>
  <c r="F73" i="10"/>
  <c r="E73" i="10"/>
  <c r="D73" i="10"/>
  <c r="C73" i="10"/>
  <c r="B73" i="10"/>
  <c r="G73" i="10" s="1"/>
  <c r="I73" i="10" s="1"/>
  <c r="E45" i="53"/>
  <c r="E49" i="49"/>
  <c r="E46" i="49"/>
  <c r="E44" i="53"/>
  <c r="J45" i="49" l="1"/>
  <c r="E39" i="10"/>
  <c r="D39" i="10"/>
  <c r="C39" i="10"/>
  <c r="B39" i="10"/>
  <c r="H37" i="10"/>
  <c r="S37" i="10"/>
  <c r="Q37" i="10"/>
  <c r="P37" i="10"/>
  <c r="M37" i="10"/>
  <c r="G37" i="4"/>
  <c r="N37" i="4" s="1"/>
  <c r="T37" i="4" s="1"/>
  <c r="X37" i="4"/>
  <c r="X35" i="4"/>
  <c r="X34" i="4"/>
  <c r="X33" i="4"/>
  <c r="X32" i="4"/>
  <c r="X31" i="4"/>
  <c r="X30" i="4"/>
  <c r="X29" i="4"/>
  <c r="X28" i="4"/>
  <c r="X27" i="4"/>
  <c r="X26" i="4"/>
  <c r="X25" i="4"/>
  <c r="X24" i="4"/>
  <c r="X23" i="4"/>
  <c r="X22" i="4"/>
  <c r="X21" i="4"/>
  <c r="X20" i="4"/>
  <c r="X19" i="4"/>
  <c r="X36" i="4"/>
  <c r="D45" i="49"/>
  <c r="R37" i="4" s="1"/>
  <c r="G37" i="10"/>
  <c r="T30" i="4"/>
  <c r="T31" i="4"/>
  <c r="W37" i="4"/>
  <c r="Q37" i="4"/>
  <c r="P37" i="4"/>
  <c r="O37" i="4"/>
  <c r="M37" i="4"/>
  <c r="B64" i="4"/>
  <c r="J37" i="4"/>
  <c r="V37" i="4" l="1"/>
  <c r="U37" i="4"/>
  <c r="I37" i="4"/>
  <c r="K37" i="4" s="1"/>
  <c r="S37" i="4" s="1"/>
  <c r="I37" i="10"/>
  <c r="N37" i="10" s="1"/>
  <c r="E96" i="39"/>
  <c r="E92" i="38"/>
  <c r="C95" i="39"/>
  <c r="D95" i="39"/>
  <c r="K88" i="39"/>
  <c r="K64" i="4" l="1"/>
  <c r="G64" i="4"/>
  <c r="C64" i="4"/>
  <c r="J64" i="4"/>
  <c r="F64" i="4"/>
  <c r="I64" i="4"/>
  <c r="E64" i="4"/>
  <c r="D44" i="53"/>
  <c r="D64" i="4"/>
  <c r="H64" i="4"/>
  <c r="M44" i="39"/>
  <c r="O170" i="41" l="1"/>
  <c r="O169" i="41"/>
  <c r="O168" i="41"/>
  <c r="O167" i="41"/>
  <c r="O166" i="41"/>
  <c r="O165" i="41"/>
  <c r="O164" i="41"/>
  <c r="O163" i="41"/>
  <c r="O162" i="41"/>
  <c r="O161" i="41"/>
  <c r="O160" i="41"/>
  <c r="O159" i="41"/>
  <c r="O158" i="41"/>
  <c r="O157" i="41"/>
  <c r="O156" i="41"/>
  <c r="O155" i="41"/>
  <c r="O154" i="41"/>
  <c r="O153" i="41"/>
  <c r="O152" i="41"/>
  <c r="O151" i="41"/>
  <c r="O150" i="41"/>
  <c r="O149" i="41"/>
  <c r="O148" i="41"/>
  <c r="O147" i="41"/>
  <c r="O146" i="41"/>
  <c r="O145" i="41"/>
  <c r="O144" i="41"/>
  <c r="O143" i="41"/>
  <c r="O142" i="41"/>
  <c r="O141" i="41"/>
  <c r="S87" i="39"/>
  <c r="S86" i="39"/>
  <c r="S85" i="39"/>
  <c r="S84" i="39"/>
  <c r="S83" i="39"/>
  <c r="S82" i="39"/>
  <c r="S81" i="39"/>
  <c r="S80" i="39"/>
  <c r="S79" i="39"/>
  <c r="S78" i="39"/>
  <c r="S77" i="39"/>
  <c r="S76" i="39"/>
  <c r="S75" i="39"/>
  <c r="S74" i="39"/>
  <c r="S73" i="39"/>
  <c r="S72" i="39"/>
  <c r="S71" i="39"/>
  <c r="S70" i="39"/>
  <c r="S69" i="39"/>
  <c r="S68" i="39"/>
  <c r="S67" i="39"/>
  <c r="S66" i="39"/>
  <c r="S65" i="39"/>
  <c r="S64" i="39"/>
  <c r="S63" i="39"/>
  <c r="S62" i="39"/>
  <c r="S61" i="39"/>
  <c r="S60" i="39"/>
  <c r="S59" i="39"/>
  <c r="S58" i="39"/>
  <c r="S57" i="39"/>
  <c r="S56" i="39"/>
  <c r="S55" i="39"/>
  <c r="S54" i="39"/>
  <c r="S53" i="39"/>
  <c r="S52" i="39"/>
  <c r="S51" i="39"/>
  <c r="C94" i="39"/>
  <c r="G51" i="48" l="1"/>
  <c r="B38" i="42"/>
  <c r="Q36" i="42"/>
  <c r="P36" i="42"/>
  <c r="D166" i="3"/>
  <c r="C166" i="3"/>
  <c r="B166" i="3"/>
  <c r="T91" i="39"/>
  <c r="R90" i="39"/>
  <c r="Q90" i="39"/>
  <c r="S89" i="39"/>
  <c r="S90" i="39" s="1"/>
  <c r="R89" i="39"/>
  <c r="Q89" i="39"/>
  <c r="R86" i="39"/>
  <c r="Q86" i="39"/>
  <c r="R85" i="39"/>
  <c r="Q85" i="39"/>
  <c r="R84" i="39"/>
  <c r="Q84" i="39"/>
  <c r="R83" i="39"/>
  <c r="Q83" i="39"/>
  <c r="R82" i="39"/>
  <c r="Q82" i="39"/>
  <c r="R81" i="39"/>
  <c r="Q81" i="39"/>
  <c r="P89" i="39"/>
  <c r="P86" i="39"/>
  <c r="C138" i="53"/>
  <c r="M172" i="41"/>
  <c r="L172" i="41"/>
  <c r="L171" i="41"/>
  <c r="L169" i="41"/>
  <c r="L168" i="41"/>
  <c r="L167" i="41"/>
  <c r="L166" i="41"/>
  <c r="L165" i="41"/>
  <c r="L164" i="41"/>
  <c r="L163" i="41"/>
  <c r="L162" i="41"/>
  <c r="L161" i="41"/>
  <c r="L160" i="41"/>
  <c r="L159" i="41"/>
  <c r="L158" i="41"/>
  <c r="L157" i="41"/>
  <c r="L156" i="41"/>
  <c r="L155" i="41"/>
  <c r="L154" i="41"/>
  <c r="L153" i="41"/>
  <c r="L152" i="41"/>
  <c r="L151" i="41"/>
  <c r="L150" i="41"/>
  <c r="L149" i="41"/>
  <c r="L148" i="41"/>
  <c r="L147" i="41"/>
  <c r="L146" i="41"/>
  <c r="L145" i="41"/>
  <c r="L144" i="41"/>
  <c r="L143" i="41"/>
  <c r="L142" i="41"/>
  <c r="L141" i="41"/>
  <c r="N86" i="39"/>
  <c r="N85" i="39"/>
  <c r="N84" i="39"/>
  <c r="N83" i="39"/>
  <c r="N82" i="39"/>
  <c r="N81" i="39"/>
  <c r="N80" i="39"/>
  <c r="N79" i="39"/>
  <c r="N78" i="39"/>
  <c r="N77" i="39"/>
  <c r="N76" i="39"/>
  <c r="N75" i="39"/>
  <c r="N74" i="39"/>
  <c r="N73" i="39"/>
  <c r="N72" i="39"/>
  <c r="N71" i="39"/>
  <c r="N70" i="39"/>
  <c r="N69" i="39"/>
  <c r="N68" i="39"/>
  <c r="N67" i="39"/>
  <c r="N66" i="39"/>
  <c r="N65" i="39"/>
  <c r="N64" i="39"/>
  <c r="N63" i="39"/>
  <c r="N62" i="39"/>
  <c r="N61" i="39"/>
  <c r="N60" i="39"/>
  <c r="N59" i="39"/>
  <c r="N58" i="39"/>
  <c r="N57" i="39"/>
  <c r="N56" i="39"/>
  <c r="N55" i="39"/>
  <c r="N54" i="39"/>
  <c r="N53" i="39"/>
  <c r="N52" i="39"/>
  <c r="N51" i="39"/>
  <c r="K42" i="39"/>
  <c r="M42" i="39"/>
  <c r="E87" i="39"/>
  <c r="C87" i="39"/>
  <c r="N87" i="39"/>
  <c r="G47" i="53"/>
  <c r="F45" i="53"/>
  <c r="F46" i="49"/>
  <c r="C88" i="39"/>
  <c r="R100" i="39"/>
  <c r="R99" i="39"/>
  <c r="R98" i="39"/>
  <c r="R97" i="39"/>
  <c r="Q100" i="39"/>
  <c r="Q99" i="39"/>
  <c r="Q98" i="39"/>
  <c r="Q97" i="39"/>
  <c r="E208" i="41"/>
  <c r="J208" i="41"/>
  <c r="J212" i="41"/>
  <c r="I212" i="41"/>
  <c r="H212" i="41"/>
  <c r="G212" i="41"/>
  <c r="E212" i="41"/>
  <c r="D212" i="41"/>
  <c r="C212" i="41"/>
  <c r="B212" i="41"/>
  <c r="I217" i="41"/>
  <c r="D217" i="41"/>
  <c r="J211" i="41"/>
  <c r="J210" i="41"/>
  <c r="J209" i="41"/>
  <c r="J207" i="41"/>
  <c r="J206" i="41"/>
  <c r="J205" i="41"/>
  <c r="J204" i="41"/>
  <c r="J203" i="41"/>
  <c r="J202" i="41"/>
  <c r="E211" i="41"/>
  <c r="E210" i="41"/>
  <c r="E209" i="41"/>
  <c r="E207" i="41"/>
  <c r="E206" i="41"/>
  <c r="E205" i="41"/>
  <c r="E204" i="41"/>
  <c r="E203" i="41"/>
  <c r="E202" i="41"/>
  <c r="E191" i="39"/>
  <c r="D191" i="39"/>
  <c r="C191" i="39"/>
  <c r="J191" i="39"/>
  <c r="H191" i="39"/>
  <c r="I191" i="39"/>
  <c r="G191" i="39"/>
  <c r="B191" i="39"/>
  <c r="N42" i="39"/>
  <c r="O42" i="39"/>
  <c r="J87" i="39"/>
  <c r="F87" i="39"/>
  <c r="M87" i="39"/>
  <c r="I87" i="39"/>
  <c r="L87" i="39"/>
  <c r="H87" i="39"/>
  <c r="D87" i="39"/>
  <c r="K87" i="39"/>
  <c r="G87" i="39"/>
  <c r="P29" i="41"/>
  <c r="T4" i="41"/>
  <c r="T5" i="41"/>
  <c r="T6" i="41"/>
  <c r="L44" i="3"/>
  <c r="K44" i="3"/>
  <c r="C90" i="3"/>
  <c r="M90" i="3" s="1"/>
  <c r="B90" i="3"/>
  <c r="L90" i="3" s="1"/>
  <c r="J47" i="41"/>
  <c r="K47" i="41"/>
  <c r="D94" i="41"/>
  <c r="S47" i="41"/>
  <c r="I47" i="41"/>
  <c r="L47" i="41"/>
  <c r="U47" i="41"/>
  <c r="I90" i="3"/>
  <c r="D90" i="3"/>
  <c r="I131" i="41"/>
  <c r="K131" i="41"/>
  <c r="J132" i="41"/>
  <c r="C170" i="41"/>
  <c r="G170" i="41"/>
  <c r="E94" i="41"/>
  <c r="H94" i="41"/>
  <c r="I94" i="41"/>
  <c r="D170" i="41"/>
  <c r="H170" i="41"/>
  <c r="F170" i="41"/>
  <c r="J170" i="41"/>
  <c r="C94" i="41"/>
  <c r="G94" i="41"/>
  <c r="K94" i="41"/>
  <c r="E170" i="41"/>
  <c r="L170" i="41"/>
  <c r="I170" i="41"/>
  <c r="F94" i="41"/>
  <c r="J94" i="41"/>
  <c r="F166" i="3"/>
  <c r="E166" i="3"/>
  <c r="L94" i="41"/>
  <c r="K170" i="41"/>
  <c r="C94" i="38"/>
  <c r="G95" i="38"/>
  <c r="G94" i="38"/>
  <c r="E95" i="38"/>
  <c r="C95" i="38"/>
  <c r="E94" i="38"/>
  <c r="C93" i="38"/>
  <c r="C90" i="38"/>
  <c r="G45" i="38"/>
  <c r="I45" i="38" s="1"/>
  <c r="F43" i="3"/>
  <c r="E43" i="3"/>
  <c r="G43" i="3"/>
  <c r="H43" i="3"/>
  <c r="N41" i="39"/>
  <c r="N40" i="39"/>
  <c r="N39" i="39"/>
  <c r="N38" i="39"/>
  <c r="N37" i="39"/>
  <c r="N36" i="39"/>
  <c r="N35" i="39"/>
  <c r="N34" i="39"/>
  <c r="N33" i="39"/>
  <c r="N32" i="39"/>
  <c r="N31" i="39"/>
  <c r="N30" i="39"/>
  <c r="N29" i="39"/>
  <c r="N28" i="39"/>
  <c r="N27" i="39"/>
  <c r="N26" i="39"/>
  <c r="N25" i="39"/>
  <c r="N24" i="39"/>
  <c r="N23" i="39"/>
  <c r="N22" i="39"/>
  <c r="N21" i="39"/>
  <c r="N20" i="39"/>
  <c r="N19" i="39"/>
  <c r="N18" i="39"/>
  <c r="N17" i="39"/>
  <c r="N16" i="39"/>
  <c r="N15" i="39"/>
  <c r="N14" i="39"/>
  <c r="N13" i="39"/>
  <c r="N12" i="39"/>
  <c r="N11" i="39"/>
  <c r="N10" i="39"/>
  <c r="N9" i="39"/>
  <c r="N8" i="39"/>
  <c r="N7" i="39"/>
  <c r="N6" i="39"/>
  <c r="I85" i="40"/>
  <c r="H85" i="40"/>
  <c r="G85" i="40"/>
  <c r="F85" i="40"/>
  <c r="E85" i="40"/>
  <c r="I84" i="40"/>
  <c r="H84" i="40"/>
  <c r="G84" i="40"/>
  <c r="F84" i="40"/>
  <c r="E84" i="40"/>
  <c r="J85" i="40"/>
  <c r="J84" i="40"/>
  <c r="L133" i="39"/>
  <c r="E175" i="39"/>
  <c r="E174" i="39"/>
  <c r="C174" i="39"/>
  <c r="D136" i="39"/>
  <c r="L132" i="39"/>
  <c r="B136" i="39"/>
  <c r="B71" i="38"/>
  <c r="C71" i="38"/>
  <c r="B72" i="38"/>
  <c r="C72" i="38"/>
  <c r="B73" i="38"/>
  <c r="C73" i="38"/>
  <c r="B74" i="38"/>
  <c r="C74" i="38"/>
  <c r="B75" i="38"/>
  <c r="C75" i="38"/>
  <c r="B76" i="38"/>
  <c r="C76" i="38"/>
  <c r="B77" i="38"/>
  <c r="C77" i="38"/>
  <c r="B78" i="38"/>
  <c r="C78" i="38"/>
  <c r="B79" i="38"/>
  <c r="C79" i="38"/>
  <c r="B80" i="38"/>
  <c r="C80" i="38"/>
  <c r="B81" i="38"/>
  <c r="C81" i="38"/>
  <c r="B82" i="38"/>
  <c r="C82" i="38"/>
  <c r="B83" i="38"/>
  <c r="C83" i="38"/>
  <c r="B84" i="38"/>
  <c r="C84" i="38"/>
  <c r="B85" i="38"/>
  <c r="C85" i="38"/>
  <c r="B86" i="38"/>
  <c r="C86" i="38"/>
  <c r="B87" i="38"/>
  <c r="C87" i="38"/>
  <c r="B88" i="38"/>
  <c r="C88" i="38"/>
  <c r="B89" i="38"/>
  <c r="C89" i="38"/>
  <c r="D118" i="39"/>
  <c r="B118" i="39"/>
  <c r="J36" i="4"/>
  <c r="O36" i="4" s="1"/>
  <c r="U1" i="4"/>
  <c r="AB44" i="4"/>
  <c r="Y43" i="4"/>
  <c r="Y42" i="4"/>
  <c r="L18" i="47"/>
  <c r="AA45" i="45"/>
  <c r="H102" i="4"/>
  <c r="F111" i="4"/>
  <c r="E111" i="4"/>
  <c r="D111" i="4"/>
  <c r="B111" i="4"/>
  <c r="C111" i="4"/>
  <c r="AP15" i="39"/>
  <c r="AP16" i="39"/>
  <c r="F106" i="4"/>
  <c r="E106" i="4"/>
  <c r="D106" i="4"/>
  <c r="C106" i="4"/>
  <c r="B106" i="4"/>
  <c r="E105" i="4"/>
  <c r="D105" i="4"/>
  <c r="C105" i="4"/>
  <c r="B105" i="4"/>
  <c r="F105" i="4"/>
  <c r="F104" i="4"/>
  <c r="E104" i="4"/>
  <c r="D104" i="4"/>
  <c r="C104" i="4"/>
  <c r="B104" i="4"/>
  <c r="I104"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I103" i="4"/>
  <c r="I102" i="4"/>
  <c r="I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101" i="4"/>
  <c r="S45" i="41"/>
  <c r="S44" i="41"/>
  <c r="S43" i="41"/>
  <c r="S42" i="41"/>
  <c r="S41" i="41"/>
  <c r="S40" i="41"/>
  <c r="S39" i="41"/>
  <c r="S38" i="41"/>
  <c r="S37" i="41"/>
  <c r="S36" i="41"/>
  <c r="S35" i="41"/>
  <c r="S34" i="41"/>
  <c r="S33" i="41"/>
  <c r="S32" i="41"/>
  <c r="S31" i="41"/>
  <c r="S30" i="41"/>
  <c r="S29" i="41"/>
  <c r="S28" i="41"/>
  <c r="S27" i="41"/>
  <c r="S46" i="41"/>
  <c r="L7" i="40"/>
  <c r="L13" i="40"/>
  <c r="J16" i="40"/>
  <c r="M44" i="40"/>
  <c r="O6" i="52"/>
  <c r="O5" i="52"/>
  <c r="H6" i="52"/>
  <c r="H5" i="52"/>
  <c r="B6" i="52"/>
  <c r="B5" i="52"/>
  <c r="B51" i="43"/>
  <c r="P45" i="41"/>
  <c r="P44" i="41"/>
  <c r="P43" i="41"/>
  <c r="P42" i="41"/>
  <c r="P41" i="41"/>
  <c r="P40" i="41"/>
  <c r="P39" i="41"/>
  <c r="P37" i="41"/>
  <c r="P36" i="41"/>
  <c r="P35" i="41"/>
  <c r="P34" i="41"/>
  <c r="P33" i="41"/>
  <c r="P32" i="41"/>
  <c r="P30" i="41"/>
  <c r="AG69" i="4"/>
  <c r="AG70" i="4"/>
  <c r="H39" i="10"/>
  <c r="K87" i="40"/>
  <c r="K86" i="40"/>
  <c r="O86" i="40"/>
  <c r="O87" i="40"/>
  <c r="L87" i="40"/>
  <c r="N87" i="40"/>
  <c r="L86" i="40"/>
  <c r="N86" i="40"/>
  <c r="M86" i="40"/>
  <c r="J150" i="40"/>
  <c r="J151" i="40"/>
  <c r="J152" i="40"/>
  <c r="J153" i="40"/>
  <c r="L127" i="40"/>
  <c r="L126" i="40"/>
  <c r="L98" i="40"/>
  <c r="L97" i="40"/>
  <c r="L96" i="40"/>
  <c r="L95" i="40"/>
  <c r="L93" i="40"/>
  <c r="L92" i="40"/>
  <c r="D48" i="53"/>
  <c r="D47" i="53"/>
  <c r="AN41" i="10"/>
  <c r="AN40" i="10"/>
  <c r="AN39" i="10"/>
  <c r="AN38" i="10"/>
  <c r="AN37" i="10"/>
  <c r="AN36" i="10"/>
  <c r="AN35" i="10"/>
  <c r="AN34" i="10"/>
  <c r="AN33" i="10"/>
  <c r="AN32" i="10"/>
  <c r="AN31" i="10"/>
  <c r="AN30" i="10"/>
  <c r="AN29" i="10"/>
  <c r="AN28" i="10"/>
  <c r="AN27" i="10"/>
  <c r="AN26" i="10"/>
  <c r="AN25" i="10"/>
  <c r="AN24" i="10"/>
  <c r="AN23" i="10"/>
  <c r="AN22" i="10"/>
  <c r="AN21" i="10"/>
  <c r="AN20" i="10"/>
  <c r="AN19" i="10"/>
  <c r="AN18" i="10"/>
  <c r="AN17" i="10"/>
  <c r="AN16" i="10"/>
  <c r="AI41" i="10"/>
  <c r="AI40" i="10"/>
  <c r="AI39" i="10"/>
  <c r="AI38" i="10"/>
  <c r="AI37" i="10"/>
  <c r="AI36" i="10"/>
  <c r="AI35" i="10"/>
  <c r="AI34" i="10"/>
  <c r="AI33" i="10"/>
  <c r="AI32" i="10"/>
  <c r="AI31" i="10"/>
  <c r="AI30" i="10"/>
  <c r="AI29" i="10"/>
  <c r="AI28" i="10"/>
  <c r="AI27" i="10"/>
  <c r="AI26" i="10"/>
  <c r="AI25" i="10"/>
  <c r="AI24" i="10"/>
  <c r="AI23" i="10"/>
  <c r="AI22" i="10"/>
  <c r="AI21" i="10"/>
  <c r="AI20" i="10"/>
  <c r="AI19" i="10"/>
  <c r="AI18" i="10"/>
  <c r="AI17" i="10"/>
  <c r="AI16" i="10"/>
  <c r="AM16" i="10"/>
  <c r="AM20" i="10"/>
  <c r="AM24" i="10"/>
  <c r="AM28" i="10"/>
  <c r="AM32" i="10"/>
  <c r="AM36" i="10"/>
  <c r="AM40" i="10"/>
  <c r="AM17" i="10"/>
  <c r="AM21" i="10"/>
  <c r="AM25" i="10"/>
  <c r="AM29" i="10"/>
  <c r="AM33" i="10"/>
  <c r="AM37" i="10"/>
  <c r="AM41" i="10"/>
  <c r="AM18" i="10"/>
  <c r="AM22" i="10"/>
  <c r="AM26" i="10"/>
  <c r="AM30" i="10"/>
  <c r="AM34" i="10"/>
  <c r="AM38" i="10"/>
  <c r="AM19" i="10"/>
  <c r="AM23" i="10"/>
  <c r="AM27" i="10"/>
  <c r="AM31" i="10"/>
  <c r="AM35" i="10"/>
  <c r="AM39" i="10"/>
  <c r="N35" i="4"/>
  <c r="M36" i="4"/>
  <c r="M35" i="4"/>
  <c r="F29" i="46"/>
  <c r="F30" i="46"/>
  <c r="F31" i="46"/>
  <c r="F32" i="46"/>
  <c r="F33" i="46"/>
  <c r="F34" i="46"/>
  <c r="F35" i="46"/>
  <c r="F36" i="46"/>
  <c r="F37" i="46"/>
  <c r="F38" i="46"/>
  <c r="F39" i="46"/>
  <c r="F40" i="46"/>
  <c r="F41" i="46"/>
  <c r="F42" i="46"/>
  <c r="F43" i="46"/>
  <c r="F44" i="46"/>
  <c r="F45" i="46"/>
  <c r="F46" i="46"/>
  <c r="D49" i="49"/>
  <c r="C49" i="49"/>
  <c r="B50" i="49"/>
  <c r="AB92" i="42"/>
  <c r="AB93" i="42"/>
  <c r="AB94" i="42"/>
  <c r="AB95" i="42"/>
  <c r="AB96" i="42"/>
  <c r="AG92" i="42"/>
  <c r="AU46" i="41"/>
  <c r="H40" i="40"/>
  <c r="C40" i="40"/>
  <c r="X51" i="43"/>
  <c r="G49" i="43"/>
  <c r="F50" i="43"/>
  <c r="F49" i="43"/>
  <c r="X49" i="43"/>
  <c r="D50" i="43"/>
  <c r="D49" i="43"/>
  <c r="B50" i="43"/>
  <c r="G50" i="43"/>
  <c r="B49" i="43"/>
  <c r="W49" i="43"/>
  <c r="V49" i="43"/>
  <c r="U49" i="43"/>
  <c r="T49" i="43"/>
  <c r="Q49" i="43"/>
  <c r="P49" i="43"/>
  <c r="N49" i="43"/>
  <c r="M49" i="43"/>
  <c r="K49" i="43"/>
  <c r="J49" i="43"/>
  <c r="E49" i="43"/>
  <c r="C49" i="43"/>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7" i="42"/>
  <c r="Q38" i="42"/>
  <c r="O38" i="42"/>
  <c r="P37" i="42"/>
  <c r="P35" i="42"/>
  <c r="H46" i="44"/>
  <c r="B46" i="44"/>
  <c r="G45" i="44"/>
  <c r="G44" i="44"/>
  <c r="M44" i="44"/>
  <c r="U44" i="44"/>
  <c r="T44" i="44"/>
  <c r="P44" i="44"/>
  <c r="O44" i="44"/>
  <c r="R44" i="44"/>
  <c r="O89" i="45"/>
  <c r="V89" i="45"/>
  <c r="T89" i="45"/>
  <c r="R89" i="45"/>
  <c r="Q89" i="45"/>
  <c r="P89" i="45"/>
  <c r="V88" i="45"/>
  <c r="R88" i="45"/>
  <c r="Q88" i="45"/>
  <c r="P88" i="45"/>
  <c r="O88" i="45"/>
  <c r="V87" i="45"/>
  <c r="R87" i="45"/>
  <c r="Q87" i="45"/>
  <c r="P87" i="45"/>
  <c r="O87" i="45"/>
  <c r="K46" i="46"/>
  <c r="J46" i="46"/>
  <c r="I46" i="46"/>
  <c r="G46" i="46"/>
  <c r="E46" i="46"/>
  <c r="D46" i="46"/>
  <c r="C46" i="46"/>
  <c r="B46" i="46"/>
  <c r="T44" i="45"/>
  <c r="S87" i="45" s="1"/>
  <c r="T43" i="45"/>
  <c r="S86" i="45" s="1"/>
  <c r="T42" i="45"/>
  <c r="S85" i="45" s="1"/>
  <c r="T41" i="45"/>
  <c r="T40" i="45"/>
  <c r="T39" i="45"/>
  <c r="S82" i="45" s="1"/>
  <c r="T38" i="45"/>
  <c r="S81" i="45" s="1"/>
  <c r="T37" i="45"/>
  <c r="T36" i="45"/>
  <c r="T35" i="45"/>
  <c r="S78" i="45" s="1"/>
  <c r="T34" i="45"/>
  <c r="S77" i="45" s="1"/>
  <c r="T33" i="45"/>
  <c r="T32" i="45"/>
  <c r="S75" i="45" s="1"/>
  <c r="T31" i="45"/>
  <c r="S74" i="45" s="1"/>
  <c r="T30" i="45"/>
  <c r="S73" i="45" s="1"/>
  <c r="T29" i="45"/>
  <c r="T28" i="45"/>
  <c r="S71" i="45" s="1"/>
  <c r="T27" i="45"/>
  <c r="S70" i="45" s="1"/>
  <c r="T26" i="45"/>
  <c r="S69" i="45" s="1"/>
  <c r="T25" i="45"/>
  <c r="T24" i="45"/>
  <c r="S67" i="45" s="1"/>
  <c r="T23" i="45"/>
  <c r="S66" i="45" s="1"/>
  <c r="T22" i="45"/>
  <c r="S65" i="45" s="1"/>
  <c r="T21" i="45"/>
  <c r="T20" i="45"/>
  <c r="S63" i="45" s="1"/>
  <c r="T19" i="45"/>
  <c r="S62" i="45" s="1"/>
  <c r="T18" i="45"/>
  <c r="S61" i="45" s="1"/>
  <c r="T17" i="45"/>
  <c r="T45" i="45"/>
  <c r="S88" i="45" s="1"/>
  <c r="Y49" i="43"/>
  <c r="AI45" i="45"/>
  <c r="AH45" i="45"/>
  <c r="AF45" i="45"/>
  <c r="AD45" i="45"/>
  <c r="AC45" i="45"/>
  <c r="U88" i="45"/>
  <c r="Q45" i="45"/>
  <c r="O45" i="45"/>
  <c r="N45" i="45"/>
  <c r="L45" i="45"/>
  <c r="J45" i="45"/>
  <c r="I45" i="45"/>
  <c r="G45" i="45"/>
  <c r="E45" i="45"/>
  <c r="D45" i="45"/>
  <c r="B45" i="45"/>
  <c r="K41" i="47"/>
  <c r="J41" i="47"/>
  <c r="I41" i="47"/>
  <c r="H41" i="47"/>
  <c r="G41" i="47"/>
  <c r="F41" i="47"/>
  <c r="K40" i="47"/>
  <c r="J40" i="47"/>
  <c r="I40" i="47"/>
  <c r="H40" i="47"/>
  <c r="G40" i="47"/>
  <c r="F40" i="47"/>
  <c r="K39" i="47"/>
  <c r="J39" i="47"/>
  <c r="I39" i="47"/>
  <c r="H39" i="47"/>
  <c r="G39" i="47"/>
  <c r="F39" i="47"/>
  <c r="K38" i="47"/>
  <c r="K37" i="47"/>
  <c r="J37" i="47"/>
  <c r="I37" i="47"/>
  <c r="H37" i="47"/>
  <c r="G37" i="47"/>
  <c r="F37" i="47"/>
  <c r="K36" i="47"/>
  <c r="J36" i="47"/>
  <c r="I36" i="47"/>
  <c r="H36" i="47"/>
  <c r="G36" i="47"/>
  <c r="F36" i="47"/>
  <c r="K35" i="47"/>
  <c r="J35" i="47"/>
  <c r="I35" i="47"/>
  <c r="H35" i="47"/>
  <c r="G35" i="47"/>
  <c r="F35" i="47"/>
  <c r="K34" i="47"/>
  <c r="J34" i="47"/>
  <c r="I34" i="47"/>
  <c r="H34" i="47"/>
  <c r="G34" i="47"/>
  <c r="F34" i="47"/>
  <c r="K33" i="47"/>
  <c r="J33" i="47"/>
  <c r="I33" i="47"/>
  <c r="H33" i="47"/>
  <c r="G33" i="47"/>
  <c r="F33" i="47"/>
  <c r="K32" i="47"/>
  <c r="J32" i="47"/>
  <c r="I32" i="47"/>
  <c r="H32" i="47"/>
  <c r="G32" i="47"/>
  <c r="F32" i="47"/>
  <c r="K31" i="47"/>
  <c r="J31" i="47"/>
  <c r="I31" i="47"/>
  <c r="H31" i="47"/>
  <c r="G31" i="47"/>
  <c r="F31" i="47"/>
  <c r="K30" i="47"/>
  <c r="J30" i="47"/>
  <c r="I30" i="47"/>
  <c r="H30" i="47"/>
  <c r="G30" i="47"/>
  <c r="F30" i="47"/>
  <c r="K28" i="47"/>
  <c r="J28" i="47"/>
  <c r="I28" i="47"/>
  <c r="H28" i="47"/>
  <c r="G28" i="47"/>
  <c r="L9" i="47"/>
  <c r="K29" i="47"/>
  <c r="F28" i="47"/>
  <c r="K27" i="47"/>
  <c r="J27" i="47"/>
  <c r="I27" i="47"/>
  <c r="H27" i="47"/>
  <c r="G27" i="47"/>
  <c r="F27" i="47"/>
  <c r="L8" i="47"/>
  <c r="L21" i="47"/>
  <c r="L20" i="47"/>
  <c r="L17" i="47"/>
  <c r="L15" i="47"/>
  <c r="L14" i="47"/>
  <c r="L13" i="47"/>
  <c r="L12" i="47"/>
  <c r="L11" i="47"/>
  <c r="L10" i="47"/>
  <c r="Y21" i="10"/>
  <c r="Y17" i="10"/>
  <c r="Y13" i="10"/>
  <c r="X41" i="10"/>
  <c r="X40" i="10"/>
  <c r="X39" i="10"/>
  <c r="X38" i="10"/>
  <c r="X37" i="10"/>
  <c r="X36" i="10"/>
  <c r="X35" i="10"/>
  <c r="X34" i="10"/>
  <c r="X33" i="10"/>
  <c r="X32" i="10"/>
  <c r="X31" i="10"/>
  <c r="X30" i="10"/>
  <c r="X29" i="10"/>
  <c r="X28" i="10"/>
  <c r="X27" i="10"/>
  <c r="X26" i="10"/>
  <c r="X25" i="10"/>
  <c r="X24" i="10"/>
  <c r="X23" i="10"/>
  <c r="X22" i="10"/>
  <c r="X21" i="10"/>
  <c r="X20" i="10"/>
  <c r="X19" i="10"/>
  <c r="X18" i="10"/>
  <c r="X17" i="10"/>
  <c r="X16" i="10"/>
  <c r="X15" i="10"/>
  <c r="X14" i="10"/>
  <c r="X13" i="10"/>
  <c r="V15" i="10"/>
  <c r="V14" i="10"/>
  <c r="V13" i="10"/>
  <c r="V12" i="10"/>
  <c r="V11" i="10"/>
  <c r="P36" i="10"/>
  <c r="M36" i="10"/>
  <c r="N36" i="10" s="1"/>
  <c r="H41" i="53"/>
  <c r="L43" i="38"/>
  <c r="K43" i="38"/>
  <c r="L42" i="38"/>
  <c r="K42" i="38"/>
  <c r="B45" i="53"/>
  <c r="C85" i="40"/>
  <c r="J40" i="52"/>
  <c r="J39" i="52"/>
  <c r="J38" i="52"/>
  <c r="J37" i="52"/>
  <c r="J36" i="52"/>
  <c r="J35" i="52"/>
  <c r="J34" i="52"/>
  <c r="J33" i="52"/>
  <c r="J32" i="52"/>
  <c r="J31" i="52"/>
  <c r="J30" i="52"/>
  <c r="J29" i="52"/>
  <c r="J28" i="52"/>
  <c r="J27" i="52"/>
  <c r="J26" i="52"/>
  <c r="J25" i="52"/>
  <c r="J24" i="52"/>
  <c r="J23" i="52"/>
  <c r="J22" i="52"/>
  <c r="J21" i="52"/>
  <c r="J20" i="52"/>
  <c r="J19" i="52"/>
  <c r="J18" i="52"/>
  <c r="J16" i="52"/>
  <c r="J15" i="52"/>
  <c r="J14" i="52"/>
  <c r="J13" i="52"/>
  <c r="J12" i="52"/>
  <c r="J11" i="52"/>
  <c r="J10" i="52"/>
  <c r="J8" i="52"/>
  <c r="J7" i="52"/>
  <c r="H41" i="52"/>
  <c r="H40" i="52"/>
  <c r="H39" i="52"/>
  <c r="H38" i="52"/>
  <c r="H37" i="52"/>
  <c r="H36" i="52"/>
  <c r="H35" i="52"/>
  <c r="H34" i="52"/>
  <c r="H33" i="52"/>
  <c r="H32" i="52"/>
  <c r="H31" i="52"/>
  <c r="H30" i="52"/>
  <c r="H29" i="52"/>
  <c r="H28" i="52"/>
  <c r="H27" i="52"/>
  <c r="H26" i="52"/>
  <c r="H25" i="52"/>
  <c r="H24" i="52"/>
  <c r="H23" i="52"/>
  <c r="H22" i="52"/>
  <c r="H21" i="52"/>
  <c r="H20" i="52"/>
  <c r="H19" i="52"/>
  <c r="H18" i="52"/>
  <c r="H17" i="52"/>
  <c r="H16" i="52"/>
  <c r="H15" i="52"/>
  <c r="H14" i="52"/>
  <c r="H13" i="52"/>
  <c r="H12" i="52"/>
  <c r="H11" i="52"/>
  <c r="H10" i="52"/>
  <c r="H9" i="52"/>
  <c r="H8" i="52"/>
  <c r="H7" i="52"/>
  <c r="K66" i="38"/>
  <c r="K88" i="38"/>
  <c r="K87" i="38"/>
  <c r="K86" i="38"/>
  <c r="K85" i="38"/>
  <c r="K84" i="38"/>
  <c r="K83" i="38"/>
  <c r="K82" i="38"/>
  <c r="K81" i="38"/>
  <c r="K80" i="38"/>
  <c r="K79" i="38"/>
  <c r="K78" i="38"/>
  <c r="K77" i="38"/>
  <c r="K76" i="38"/>
  <c r="K75" i="38"/>
  <c r="K74" i="38"/>
  <c r="K73" i="38"/>
  <c r="K72" i="38"/>
  <c r="K71" i="38"/>
  <c r="K70" i="38"/>
  <c r="K69" i="38"/>
  <c r="K68" i="38"/>
  <c r="K67" i="38"/>
  <c r="K65" i="38"/>
  <c r="K64" i="38"/>
  <c r="K63" i="38"/>
  <c r="K62" i="38"/>
  <c r="K61" i="38"/>
  <c r="J62" i="38"/>
  <c r="J88" i="38"/>
  <c r="J87" i="38"/>
  <c r="J86" i="38"/>
  <c r="J85" i="38"/>
  <c r="J84" i="38"/>
  <c r="J83" i="38"/>
  <c r="J82" i="38"/>
  <c r="J81" i="38"/>
  <c r="J80" i="38"/>
  <c r="J79" i="38"/>
  <c r="J78" i="38"/>
  <c r="J77" i="38"/>
  <c r="J76" i="38"/>
  <c r="J75" i="38"/>
  <c r="J74" i="38"/>
  <c r="J73" i="38"/>
  <c r="J72" i="38"/>
  <c r="J71" i="38"/>
  <c r="J70" i="38"/>
  <c r="J69" i="38"/>
  <c r="J68" i="38"/>
  <c r="J67" i="38"/>
  <c r="J66" i="38"/>
  <c r="J65" i="38"/>
  <c r="J64" i="38"/>
  <c r="J63" i="38"/>
  <c r="J61" i="38"/>
  <c r="J60" i="38"/>
  <c r="J59" i="38"/>
  <c r="J58" i="38"/>
  <c r="J57" i="38"/>
  <c r="J56" i="38"/>
  <c r="C44" i="38"/>
  <c r="K41" i="39"/>
  <c r="O41" i="39"/>
  <c r="Y24" i="53"/>
  <c r="Z43" i="53"/>
  <c r="AA55" i="53"/>
  <c r="AA54" i="53"/>
  <c r="Z49" i="53"/>
  <c r="X53" i="53"/>
  <c r="X54" i="53" s="1"/>
  <c r="Z44" i="53"/>
  <c r="Z48" i="53" s="1"/>
  <c r="Z42" i="53"/>
  <c r="U43" i="53"/>
  <c r="S44" i="53"/>
  <c r="Z45" i="49"/>
  <c r="Z43" i="49"/>
  <c r="J44" i="49"/>
  <c r="AG59" i="49"/>
  <c r="AH59" i="49"/>
  <c r="AH61" i="49" s="1"/>
  <c r="B46" i="49"/>
  <c r="D46" i="49"/>
  <c r="C46" i="49"/>
  <c r="D40" i="52"/>
  <c r="O41" i="52"/>
  <c r="U41" i="52"/>
  <c r="B41" i="52"/>
  <c r="K45" i="46"/>
  <c r="J45" i="46"/>
  <c r="I45" i="46"/>
  <c r="H45" i="46"/>
  <c r="G45" i="46"/>
  <c r="E45" i="46"/>
  <c r="D45" i="46"/>
  <c r="C45" i="46"/>
  <c r="B45" i="46"/>
  <c r="K44" i="46"/>
  <c r="J44" i="46"/>
  <c r="I44" i="46"/>
  <c r="H44" i="46"/>
  <c r="G44" i="46"/>
  <c r="E44" i="46"/>
  <c r="D44" i="46"/>
  <c r="C44" i="46"/>
  <c r="B44" i="46"/>
  <c r="B63" i="4"/>
  <c r="B62" i="4"/>
  <c r="B61" i="4"/>
  <c r="B60" i="4"/>
  <c r="B59" i="4"/>
  <c r="B58" i="4"/>
  <c r="B57" i="4"/>
  <c r="B56" i="4"/>
  <c r="B55" i="4"/>
  <c r="B54" i="4"/>
  <c r="B53" i="4"/>
  <c r="B52" i="4"/>
  <c r="B51" i="4"/>
  <c r="B50" i="4"/>
  <c r="B49" i="4"/>
  <c r="B48" i="4"/>
  <c r="B47" i="4"/>
  <c r="B46" i="4"/>
  <c r="Y41" i="10"/>
  <c r="J35" i="4"/>
  <c r="Y40" i="10" s="1"/>
  <c r="Q35" i="4"/>
  <c r="P35" i="4"/>
  <c r="I35" i="4"/>
  <c r="H36" i="10"/>
  <c r="H35" i="10"/>
  <c r="H34" i="10"/>
  <c r="M35" i="10"/>
  <c r="N35" i="10" s="1"/>
  <c r="M34" i="10"/>
  <c r="N34" i="10" s="1"/>
  <c r="P35" i="10"/>
  <c r="Q35" i="10"/>
  <c r="G35" i="10"/>
  <c r="F165" i="3"/>
  <c r="E165" i="3"/>
  <c r="D165" i="3"/>
  <c r="G165" i="3" s="1"/>
  <c r="C165" i="3"/>
  <c r="B165" i="3"/>
  <c r="F164" i="3"/>
  <c r="E164" i="3"/>
  <c r="D164" i="3"/>
  <c r="C164" i="3"/>
  <c r="B164" i="3"/>
  <c r="D42" i="3"/>
  <c r="D41" i="3"/>
  <c r="D4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D89" i="3"/>
  <c r="C89" i="3"/>
  <c r="M89" i="3" s="1"/>
  <c r="B89" i="3"/>
  <c r="D88" i="3"/>
  <c r="C88" i="3"/>
  <c r="B88" i="3"/>
  <c r="L88" i="3" s="1"/>
  <c r="F42" i="3"/>
  <c r="E42" i="3"/>
  <c r="C42" i="3"/>
  <c r="B42" i="3"/>
  <c r="F41" i="3"/>
  <c r="E41" i="3"/>
  <c r="C41" i="3"/>
  <c r="B41" i="3"/>
  <c r="B70" i="38"/>
  <c r="B69" i="38"/>
  <c r="B68" i="38"/>
  <c r="B67" i="38"/>
  <c r="B66" i="38"/>
  <c r="B65" i="38"/>
  <c r="B64" i="38"/>
  <c r="B63" i="38"/>
  <c r="B62" i="38"/>
  <c r="B61" i="38"/>
  <c r="B60" i="38"/>
  <c r="B59" i="38"/>
  <c r="B58" i="38"/>
  <c r="B57" i="38"/>
  <c r="B56" i="38"/>
  <c r="B55" i="38"/>
  <c r="B54" i="38"/>
  <c r="B53" i="38"/>
  <c r="B52" i="38"/>
  <c r="I88" i="38"/>
  <c r="H88" i="38"/>
  <c r="G88" i="38"/>
  <c r="F88" i="38"/>
  <c r="E88" i="38"/>
  <c r="D88" i="38"/>
  <c r="I35" i="10"/>
  <c r="F71" i="10"/>
  <c r="S34" i="10"/>
  <c r="W39" i="10"/>
  <c r="S35" i="10"/>
  <c r="W40" i="10"/>
  <c r="Q36" i="10"/>
  <c r="S36" i="10"/>
  <c r="W41" i="10"/>
  <c r="K35" i="4"/>
  <c r="G42" i="3"/>
  <c r="H42" i="3"/>
  <c r="O35" i="4"/>
  <c r="G41" i="3"/>
  <c r="H41" i="3"/>
  <c r="I62" i="4"/>
  <c r="AH40" i="10"/>
  <c r="S35" i="4"/>
  <c r="D42" i="53" s="1"/>
  <c r="B71" i="10"/>
  <c r="D71" i="10"/>
  <c r="H71" i="10"/>
  <c r="E71" i="10"/>
  <c r="AF40" i="10"/>
  <c r="C71" i="10"/>
  <c r="T35" i="4"/>
  <c r="E62" i="4"/>
  <c r="K62" i="4"/>
  <c r="G62" i="4"/>
  <c r="F62" i="4"/>
  <c r="H62" i="4"/>
  <c r="D62" i="4"/>
  <c r="C62" i="4"/>
  <c r="J62" i="4"/>
  <c r="G71" i="10"/>
  <c r="I71" i="10" s="1"/>
  <c r="H42" i="38"/>
  <c r="G42" i="38"/>
  <c r="L41" i="39"/>
  <c r="L40" i="39"/>
  <c r="K40" i="39"/>
  <c r="O40" i="39"/>
  <c r="J46" i="41"/>
  <c r="J45" i="41"/>
  <c r="I130" i="41"/>
  <c r="I129" i="41"/>
  <c r="K129" i="41"/>
  <c r="I168" i="41"/>
  <c r="I45" i="41"/>
  <c r="M40" i="39"/>
  <c r="H168" i="41"/>
  <c r="D168" i="41"/>
  <c r="M85" i="39"/>
  <c r="N45" i="41"/>
  <c r="AR40" i="10"/>
  <c r="Z40" i="10"/>
  <c r="AD40" i="10" s="1"/>
  <c r="P41" i="52"/>
  <c r="V41" i="52" s="1"/>
  <c r="E168" i="41"/>
  <c r="K45" i="41"/>
  <c r="L129" i="41"/>
  <c r="AG40" i="10"/>
  <c r="F168" i="41"/>
  <c r="J168" i="41"/>
  <c r="K168" i="41"/>
  <c r="C168" i="41"/>
  <c r="G168" i="41"/>
  <c r="I42" i="38"/>
  <c r="F85" i="39"/>
  <c r="J85" i="39"/>
  <c r="C85" i="39"/>
  <c r="G85" i="39"/>
  <c r="K85" i="39"/>
  <c r="R41" i="52"/>
  <c r="X41" i="52"/>
  <c r="D85" i="39"/>
  <c r="H85" i="39"/>
  <c r="P85" i="39"/>
  <c r="L85" i="39"/>
  <c r="E85" i="39"/>
  <c r="I85" i="39"/>
  <c r="D92" i="41"/>
  <c r="F92" i="41"/>
  <c r="R45" i="41"/>
  <c r="R44" i="41"/>
  <c r="R43" i="41"/>
  <c r="R42" i="41"/>
  <c r="R41" i="41"/>
  <c r="R40" i="41"/>
  <c r="R39" i="41"/>
  <c r="R38" i="41"/>
  <c r="R37" i="41"/>
  <c r="R36" i="41"/>
  <c r="R35" i="41"/>
  <c r="R34" i="41"/>
  <c r="R33" i="41"/>
  <c r="R32" i="41"/>
  <c r="R31" i="41"/>
  <c r="R30" i="41"/>
  <c r="R29" i="41"/>
  <c r="G45" i="53"/>
  <c r="F51" i="53"/>
  <c r="F52" i="53"/>
  <c r="F50" i="53"/>
  <c r="J16" i="53"/>
  <c r="F46" i="53"/>
  <c r="F49" i="53"/>
  <c r="F48" i="53"/>
  <c r="F47" i="53"/>
  <c r="B46" i="53"/>
  <c r="E92" i="41"/>
  <c r="W35" i="4"/>
  <c r="L45" i="41"/>
  <c r="U45" i="41"/>
  <c r="J92" i="41"/>
  <c r="H92" i="41"/>
  <c r="C92" i="41"/>
  <c r="I92" i="41"/>
  <c r="K92" i="41"/>
  <c r="K41" i="52"/>
  <c r="E41" i="52"/>
  <c r="F41" i="52" s="1"/>
  <c r="G92" i="41"/>
  <c r="I41" i="52"/>
  <c r="C41" i="52"/>
  <c r="C52" i="53"/>
  <c r="B52" i="53"/>
  <c r="C49" i="53"/>
  <c r="C48" i="53"/>
  <c r="C47" i="53"/>
  <c r="C46" i="53"/>
  <c r="B49" i="53"/>
  <c r="B48" i="53"/>
  <c r="B47" i="53"/>
  <c r="J42" i="53"/>
  <c r="J41" i="53"/>
  <c r="J40" i="53"/>
  <c r="J39" i="53"/>
  <c r="J38" i="53"/>
  <c r="J37" i="53"/>
  <c r="J36" i="53"/>
  <c r="J35" i="53"/>
  <c r="J34" i="53"/>
  <c r="J33" i="53"/>
  <c r="J32" i="53"/>
  <c r="J31" i="53"/>
  <c r="J46" i="53" s="1"/>
  <c r="J30" i="53"/>
  <c r="J29" i="53"/>
  <c r="J28" i="53"/>
  <c r="J27" i="53"/>
  <c r="J25" i="53"/>
  <c r="J24" i="53"/>
  <c r="J23" i="53"/>
  <c r="J22" i="53"/>
  <c r="J21" i="53"/>
  <c r="J45" i="53" s="1"/>
  <c r="J20" i="53"/>
  <c r="J19" i="53"/>
  <c r="J18" i="53"/>
  <c r="J17" i="53"/>
  <c r="J44" i="53" s="1"/>
  <c r="J26" i="53"/>
  <c r="H16" i="53"/>
  <c r="H9" i="53"/>
  <c r="H28" i="53"/>
  <c r="L92" i="41"/>
  <c r="L41" i="52"/>
  <c r="J49" i="53"/>
  <c r="J50" i="53" s="1"/>
  <c r="X43" i="49"/>
  <c r="X42" i="49"/>
  <c r="X41" i="49"/>
  <c r="X40" i="49"/>
  <c r="X39" i="49"/>
  <c r="X38" i="49"/>
  <c r="X37" i="49"/>
  <c r="X36" i="49"/>
  <c r="X35" i="49"/>
  <c r="X34" i="49"/>
  <c r="X33" i="49"/>
  <c r="X32" i="49"/>
  <c r="X31" i="49"/>
  <c r="X30" i="49"/>
  <c r="X29" i="49"/>
  <c r="X28" i="49"/>
  <c r="X27" i="49"/>
  <c r="X26" i="49"/>
  <c r="X25" i="49"/>
  <c r="X24" i="49"/>
  <c r="X23" i="49"/>
  <c r="X22" i="49"/>
  <c r="X21" i="49"/>
  <c r="X20" i="49"/>
  <c r="X19" i="49"/>
  <c r="X18" i="49"/>
  <c r="X17" i="49"/>
  <c r="X16" i="49"/>
  <c r="X15" i="49"/>
  <c r="X14" i="49"/>
  <c r="X13" i="49"/>
  <c r="X12" i="49"/>
  <c r="X11" i="49"/>
  <c r="X10" i="49"/>
  <c r="X9" i="49"/>
  <c r="X8" i="49"/>
  <c r="X7" i="49"/>
  <c r="W8" i="49"/>
  <c r="W7" i="49"/>
  <c r="B58" i="53"/>
  <c r="B57" i="53"/>
  <c r="H10" i="53"/>
  <c r="H42" i="53"/>
  <c r="H40" i="53"/>
  <c r="H39" i="53"/>
  <c r="H38" i="53"/>
  <c r="H37" i="53"/>
  <c r="H36" i="53"/>
  <c r="H35" i="53"/>
  <c r="H34" i="53"/>
  <c r="H33" i="53"/>
  <c r="H32" i="53"/>
  <c r="H31" i="53"/>
  <c r="I40" i="53" s="1"/>
  <c r="H30" i="53"/>
  <c r="H29" i="53"/>
  <c r="H27" i="53"/>
  <c r="H26" i="53"/>
  <c r="H25" i="53"/>
  <c r="H24" i="53"/>
  <c r="H23" i="53"/>
  <c r="H22" i="53"/>
  <c r="I30" i="53" s="1"/>
  <c r="H21" i="53"/>
  <c r="H20" i="53"/>
  <c r="H19" i="53"/>
  <c r="H18" i="53"/>
  <c r="I20" i="53" s="1"/>
  <c r="H17" i="53"/>
  <c r="H15" i="53"/>
  <c r="H14" i="53"/>
  <c r="H13" i="53"/>
  <c r="H12" i="53"/>
  <c r="H11" i="53"/>
  <c r="I15" i="53"/>
  <c r="K75" i="40"/>
  <c r="K74" i="40"/>
  <c r="K73" i="40"/>
  <c r="K72" i="40"/>
  <c r="K71" i="40"/>
  <c r="K70" i="40"/>
  <c r="K69" i="40"/>
  <c r="K68" i="40"/>
  <c r="K67" i="40"/>
  <c r="K66" i="40"/>
  <c r="K65" i="40"/>
  <c r="K64" i="40"/>
  <c r="K63" i="40"/>
  <c r="K62" i="40"/>
  <c r="K61" i="40"/>
  <c r="K60" i="40"/>
  <c r="K59" i="40"/>
  <c r="K57" i="40"/>
  <c r="K56" i="40"/>
  <c r="K55" i="40"/>
  <c r="K54" i="40"/>
  <c r="K53" i="40"/>
  <c r="K52" i="40"/>
  <c r="K51" i="40"/>
  <c r="K49" i="40"/>
  <c r="K48" i="40"/>
  <c r="K79" i="40"/>
  <c r="K80" i="40"/>
  <c r="K78" i="40"/>
  <c r="K77" i="40"/>
  <c r="K76" i="40"/>
  <c r="K39" i="40"/>
  <c r="K38" i="40"/>
  <c r="K37" i="40"/>
  <c r="K36" i="40"/>
  <c r="K35" i="40"/>
  <c r="K34" i="40"/>
  <c r="K33" i="40"/>
  <c r="K32" i="40"/>
  <c r="K31" i="40"/>
  <c r="K30" i="40"/>
  <c r="K29" i="40"/>
  <c r="K28" i="40"/>
  <c r="K27" i="40"/>
  <c r="K26" i="40"/>
  <c r="K25" i="40"/>
  <c r="K24" i="40"/>
  <c r="K23" i="40"/>
  <c r="K22" i="40"/>
  <c r="K21" i="40"/>
  <c r="K20" i="40"/>
  <c r="K19" i="40"/>
  <c r="K18" i="40"/>
  <c r="K17" i="40"/>
  <c r="K16" i="40"/>
  <c r="K15" i="40"/>
  <c r="K14" i="40"/>
  <c r="K13" i="40"/>
  <c r="K12" i="40"/>
  <c r="K11" i="40"/>
  <c r="K10" i="40"/>
  <c r="K9" i="40"/>
  <c r="K7" i="40"/>
  <c r="K6" i="40"/>
  <c r="C75" i="42"/>
  <c r="C74" i="42"/>
  <c r="R19" i="39"/>
  <c r="R18" i="39"/>
  <c r="D81" i="40"/>
  <c r="W41" i="40"/>
  <c r="V43" i="40"/>
  <c r="V42" i="40"/>
  <c r="V41" i="40"/>
  <c r="L39" i="40"/>
  <c r="L53" i="49"/>
  <c r="L51" i="49"/>
  <c r="L52" i="49"/>
  <c r="K53" i="49"/>
  <c r="K52" i="49"/>
  <c r="K49" i="49" s="1"/>
  <c r="K51" i="49"/>
  <c r="I49" i="49"/>
  <c r="I51" i="49"/>
  <c r="I50" i="49"/>
  <c r="S47" i="49"/>
  <c r="Q34" i="52"/>
  <c r="H21" i="49"/>
  <c r="H20" i="49"/>
  <c r="BG23" i="49"/>
  <c r="BG21" i="49"/>
  <c r="BG19" i="49"/>
  <c r="BG17" i="49"/>
  <c r="BG15" i="49"/>
  <c r="BG13" i="49"/>
  <c r="BG11" i="49"/>
  <c r="BG9" i="49"/>
  <c r="BG7" i="49"/>
  <c r="BG5" i="49"/>
  <c r="BE35" i="49"/>
  <c r="BE31" i="49"/>
  <c r="BE27" i="49"/>
  <c r="BE23" i="49"/>
  <c r="BE18" i="49"/>
  <c r="BE14" i="49"/>
  <c r="BE10" i="49"/>
  <c r="BE6" i="49"/>
  <c r="BD38" i="49"/>
  <c r="BE38" i="49" s="1"/>
  <c r="BD37" i="49"/>
  <c r="BG37" i="49" s="1"/>
  <c r="BD36" i="49"/>
  <c r="BG36" i="49" s="1"/>
  <c r="BD35" i="49"/>
  <c r="BG35" i="49" s="1"/>
  <c r="BD34" i="49"/>
  <c r="BE34" i="49" s="1"/>
  <c r="BD33" i="49"/>
  <c r="BG33" i="49" s="1"/>
  <c r="BD32" i="49"/>
  <c r="BE32" i="49" s="1"/>
  <c r="BD31" i="49"/>
  <c r="BG31" i="49" s="1"/>
  <c r="BD30" i="49"/>
  <c r="BE30" i="49" s="1"/>
  <c r="BD29" i="49"/>
  <c r="BG29" i="49" s="1"/>
  <c r="BD28" i="49"/>
  <c r="BE28" i="49" s="1"/>
  <c r="BD27" i="49"/>
  <c r="BG27" i="49" s="1"/>
  <c r="BD26" i="49"/>
  <c r="BE26" i="49" s="1"/>
  <c r="BD25" i="49"/>
  <c r="BG25" i="49" s="1"/>
  <c r="BD24" i="49"/>
  <c r="BE24" i="49" s="1"/>
  <c r="BD23" i="49"/>
  <c r="BD22" i="49"/>
  <c r="BG22" i="49" s="1"/>
  <c r="BD21" i="49"/>
  <c r="BD20" i="49"/>
  <c r="BG20" i="49" s="1"/>
  <c r="BD19" i="49"/>
  <c r="BE19" i="49" s="1"/>
  <c r="BD18" i="49"/>
  <c r="BG18" i="49" s="1"/>
  <c r="BD17" i="49"/>
  <c r="BD16" i="49"/>
  <c r="BG16" i="49" s="1"/>
  <c r="BD15" i="49"/>
  <c r="BE15" i="49" s="1"/>
  <c r="BD14" i="49"/>
  <c r="BG14" i="49" s="1"/>
  <c r="BD13" i="49"/>
  <c r="BD12" i="49"/>
  <c r="BG12" i="49" s="1"/>
  <c r="BD11" i="49"/>
  <c r="BE11" i="49" s="1"/>
  <c r="BD10" i="49"/>
  <c r="BG10" i="49" s="1"/>
  <c r="BD9" i="49"/>
  <c r="BD8" i="49"/>
  <c r="BG8" i="49" s="1"/>
  <c r="BD7" i="49"/>
  <c r="BE7" i="49" s="1"/>
  <c r="BD6" i="49"/>
  <c r="BG6" i="49" s="1"/>
  <c r="BD5" i="49"/>
  <c r="BD4" i="49"/>
  <c r="BE5" i="49" s="1"/>
  <c r="BD3" i="49"/>
  <c r="BD39" i="49"/>
  <c r="BG39" i="49" s="1"/>
  <c r="S42" i="49"/>
  <c r="R42" i="49"/>
  <c r="Q42" i="49"/>
  <c r="S41" i="49"/>
  <c r="R41" i="49"/>
  <c r="Q41" i="49"/>
  <c r="S40" i="49"/>
  <c r="R40" i="49"/>
  <c r="Q40" i="49"/>
  <c r="S39" i="49"/>
  <c r="R39" i="49"/>
  <c r="Q39" i="49"/>
  <c r="S38" i="49"/>
  <c r="R38" i="49"/>
  <c r="Q38" i="49"/>
  <c r="S37" i="49"/>
  <c r="R37" i="49"/>
  <c r="Q37" i="49"/>
  <c r="S36" i="49"/>
  <c r="R36" i="49"/>
  <c r="Q36" i="49"/>
  <c r="S35" i="49"/>
  <c r="R35" i="49"/>
  <c r="Q35" i="49"/>
  <c r="S34" i="49"/>
  <c r="R34" i="49"/>
  <c r="Q34" i="49"/>
  <c r="S33" i="49"/>
  <c r="R33" i="49"/>
  <c r="Q33" i="49"/>
  <c r="S32" i="49"/>
  <c r="R32" i="49"/>
  <c r="Q32" i="49"/>
  <c r="S31" i="49"/>
  <c r="R31" i="49"/>
  <c r="Q31" i="49"/>
  <c r="S30" i="49"/>
  <c r="R30" i="49"/>
  <c r="Q30" i="49"/>
  <c r="S29" i="49"/>
  <c r="R29" i="49"/>
  <c r="Q29" i="49"/>
  <c r="S28" i="49"/>
  <c r="R28" i="49"/>
  <c r="Q28" i="49"/>
  <c r="S27" i="49"/>
  <c r="R27" i="49"/>
  <c r="Q27" i="49"/>
  <c r="S26" i="49"/>
  <c r="R26" i="49"/>
  <c r="Q26" i="49"/>
  <c r="S25" i="49"/>
  <c r="R25" i="49"/>
  <c r="Q25" i="49"/>
  <c r="S24" i="49"/>
  <c r="R24" i="49"/>
  <c r="Q24" i="49"/>
  <c r="S23" i="49"/>
  <c r="R23" i="49"/>
  <c r="Q23" i="49"/>
  <c r="S22" i="49"/>
  <c r="R22" i="49"/>
  <c r="Q22" i="49"/>
  <c r="S21" i="49"/>
  <c r="R21" i="49"/>
  <c r="Q21" i="49"/>
  <c r="S20" i="49"/>
  <c r="R20" i="49"/>
  <c r="Q20" i="49"/>
  <c r="S19" i="49"/>
  <c r="R19" i="49"/>
  <c r="Q19" i="49"/>
  <c r="S18" i="49"/>
  <c r="R18" i="49"/>
  <c r="Q18" i="49"/>
  <c r="S17" i="49"/>
  <c r="R17" i="49"/>
  <c r="Q17" i="49"/>
  <c r="S16" i="49"/>
  <c r="R16" i="49"/>
  <c r="Q16" i="49"/>
  <c r="S15" i="49"/>
  <c r="R15" i="49"/>
  <c r="Q15" i="49"/>
  <c r="S14" i="49"/>
  <c r="R14" i="49"/>
  <c r="Q14" i="49"/>
  <c r="S13" i="49"/>
  <c r="R13" i="49"/>
  <c r="Q13" i="49"/>
  <c r="S12" i="49"/>
  <c r="R12" i="49"/>
  <c r="Q12" i="49"/>
  <c r="S10" i="49"/>
  <c r="R10" i="49"/>
  <c r="Q10" i="49"/>
  <c r="S9" i="49"/>
  <c r="R9" i="49"/>
  <c r="Q9" i="49"/>
  <c r="F53" i="49"/>
  <c r="F52" i="49"/>
  <c r="G57" i="49"/>
  <c r="F57" i="49"/>
  <c r="E57" i="49"/>
  <c r="D57" i="49"/>
  <c r="C57" i="49"/>
  <c r="B57" i="49"/>
  <c r="C56" i="49"/>
  <c r="C52" i="49"/>
  <c r="C51" i="49"/>
  <c r="C54" i="49"/>
  <c r="C53" i="49"/>
  <c r="B49" i="49"/>
  <c r="B51" i="49" s="1"/>
  <c r="AC4" i="49"/>
  <c r="S41" i="42"/>
  <c r="S42" i="42"/>
  <c r="S40" i="42"/>
  <c r="G50" i="49"/>
  <c r="G49" i="49"/>
  <c r="F50" i="49"/>
  <c r="F49" i="49"/>
  <c r="F51" i="49" s="1"/>
  <c r="AE92" i="42"/>
  <c r="Z97" i="42"/>
  <c r="W7" i="44"/>
  <c r="W8" i="44"/>
  <c r="U7" i="53"/>
  <c r="U41" i="53"/>
  <c r="U40" i="53"/>
  <c r="U36" i="53"/>
  <c r="U32" i="53"/>
  <c r="U28" i="53"/>
  <c r="U25" i="53"/>
  <c r="U24" i="53"/>
  <c r="U20" i="53"/>
  <c r="U16" i="53"/>
  <c r="U12" i="53"/>
  <c r="U10" i="53"/>
  <c r="U9" i="53"/>
  <c r="U8" i="53"/>
  <c r="S6" i="53"/>
  <c r="U11" i="53"/>
  <c r="U13" i="53"/>
  <c r="U14" i="53"/>
  <c r="U15" i="53"/>
  <c r="U18" i="53"/>
  <c r="U19" i="53"/>
  <c r="U22" i="53"/>
  <c r="U23" i="53"/>
  <c r="U27" i="53"/>
  <c r="U29" i="53"/>
  <c r="U30" i="53"/>
  <c r="U31" i="53"/>
  <c r="U34" i="53"/>
  <c r="U35" i="53"/>
  <c r="U38" i="53"/>
  <c r="U39" i="53"/>
  <c r="U33" i="53"/>
  <c r="U17" i="53"/>
  <c r="U42" i="53"/>
  <c r="U37" i="53"/>
  <c r="U26" i="53"/>
  <c r="U21" i="53"/>
  <c r="V42" i="53"/>
  <c r="AA49" i="53"/>
  <c r="AA51" i="53" s="1"/>
  <c r="Z41" i="53"/>
  <c r="Z40" i="53"/>
  <c r="Z39" i="53"/>
  <c r="Z38" i="53"/>
  <c r="Z37" i="53"/>
  <c r="Z36" i="53"/>
  <c r="Z35" i="53"/>
  <c r="Z34" i="53"/>
  <c r="Z33" i="53"/>
  <c r="Z32" i="53"/>
  <c r="Z31" i="53"/>
  <c r="Z30" i="53"/>
  <c r="Z29" i="53"/>
  <c r="Z28" i="53"/>
  <c r="Z27" i="53"/>
  <c r="Z26" i="53"/>
  <c r="Z25" i="53"/>
  <c r="Z24" i="53"/>
  <c r="Z23" i="53"/>
  <c r="Z22" i="53"/>
  <c r="Z21" i="53"/>
  <c r="Z20" i="53"/>
  <c r="Z19" i="53"/>
  <c r="Z18" i="53"/>
  <c r="Z17" i="53"/>
  <c r="Z16" i="53"/>
  <c r="Z15" i="53"/>
  <c r="Z13" i="53"/>
  <c r="Z11" i="53"/>
  <c r="Z10" i="53"/>
  <c r="Z9" i="53"/>
  <c r="Z7" i="53"/>
  <c r="AB43" i="53"/>
  <c r="V41" i="53"/>
  <c r="V40" i="53"/>
  <c r="V39" i="53"/>
  <c r="V38" i="53"/>
  <c r="V37" i="53"/>
  <c r="V36" i="53"/>
  <c r="V35" i="53"/>
  <c r="V34" i="53"/>
  <c r="V33" i="53"/>
  <c r="V32" i="53"/>
  <c r="V31" i="53"/>
  <c r="V30" i="53"/>
  <c r="V29" i="53"/>
  <c r="V28" i="53"/>
  <c r="V27" i="53"/>
  <c r="V26" i="53"/>
  <c r="V25" i="53"/>
  <c r="V24" i="53"/>
  <c r="Y25" i="53"/>
  <c r="Y26" i="53" s="1"/>
  <c r="Y27" i="53" s="1"/>
  <c r="Y28" i="53" s="1"/>
  <c r="Y29" i="53" s="1"/>
  <c r="Y30" i="53" s="1"/>
  <c r="Y31" i="53" s="1"/>
  <c r="Y32" i="53" s="1"/>
  <c r="Y33" i="53" s="1"/>
  <c r="Y34" i="53" s="1"/>
  <c r="Y35" i="53" s="1"/>
  <c r="Y36" i="53" s="1"/>
  <c r="Y37" i="53" s="1"/>
  <c r="Y38" i="53" s="1"/>
  <c r="Y39" i="53" s="1"/>
  <c r="Y40" i="53" s="1"/>
  <c r="Y41" i="53" s="1"/>
  <c r="Y42" i="53" s="1"/>
  <c r="Y43" i="53" s="1"/>
  <c r="Y44" i="53" s="1"/>
  <c r="K41" i="53"/>
  <c r="K40" i="53"/>
  <c r="K39" i="53"/>
  <c r="K38" i="53"/>
  <c r="K37" i="53"/>
  <c r="K36" i="53"/>
  <c r="K35" i="53"/>
  <c r="K34" i="53"/>
  <c r="K33" i="53"/>
  <c r="K32" i="53"/>
  <c r="K31" i="53"/>
  <c r="K30" i="53"/>
  <c r="K29" i="53"/>
  <c r="K28" i="53"/>
  <c r="K27" i="53"/>
  <c r="K26" i="53"/>
  <c r="K25" i="53"/>
  <c r="K24" i="53"/>
  <c r="K23" i="53"/>
  <c r="K22" i="53"/>
  <c r="K21" i="53"/>
  <c r="K20" i="53"/>
  <c r="K19" i="53"/>
  <c r="K18" i="53"/>
  <c r="K17" i="53"/>
  <c r="K16" i="53"/>
  <c r="K15" i="53"/>
  <c r="K14" i="53"/>
  <c r="K13" i="53"/>
  <c r="K12" i="53"/>
  <c r="K11" i="53"/>
  <c r="K9" i="53"/>
  <c r="K8" i="53"/>
  <c r="J43" i="49"/>
  <c r="J42" i="49"/>
  <c r="J41" i="49"/>
  <c r="J40" i="49"/>
  <c r="J39" i="49"/>
  <c r="J38" i="49"/>
  <c r="J37" i="49"/>
  <c r="J36" i="49"/>
  <c r="J35" i="49"/>
  <c r="J34" i="49"/>
  <c r="J33" i="49"/>
  <c r="J32" i="49"/>
  <c r="J31" i="49"/>
  <c r="J30" i="49"/>
  <c r="J29" i="49"/>
  <c r="J28" i="49"/>
  <c r="J27" i="49"/>
  <c r="J26" i="49"/>
  <c r="J25" i="49"/>
  <c r="J24" i="49"/>
  <c r="J23" i="49"/>
  <c r="J22" i="49"/>
  <c r="J21" i="49"/>
  <c r="J20" i="49"/>
  <c r="J19" i="49"/>
  <c r="J18" i="49"/>
  <c r="J17" i="49"/>
  <c r="Z42" i="49"/>
  <c r="Z41" i="49"/>
  <c r="Z40" i="49"/>
  <c r="Z39" i="49"/>
  <c r="Z38" i="49"/>
  <c r="Z37" i="49"/>
  <c r="Z36" i="49"/>
  <c r="Z35" i="49"/>
  <c r="Z34" i="49"/>
  <c r="Z33" i="49"/>
  <c r="Z32" i="49"/>
  <c r="Z31" i="49"/>
  <c r="Z30" i="49"/>
  <c r="Z29" i="49"/>
  <c r="Z28" i="49"/>
  <c r="Z27" i="49"/>
  <c r="Z26" i="49"/>
  <c r="Z25" i="49"/>
  <c r="Z24" i="49"/>
  <c r="Z23" i="49"/>
  <c r="Z22" i="49"/>
  <c r="Z21" i="49"/>
  <c r="Z20" i="49"/>
  <c r="Z19" i="49"/>
  <c r="Z18" i="49"/>
  <c r="Z17" i="49"/>
  <c r="Z16" i="49"/>
  <c r="Z15" i="49"/>
  <c r="Z14" i="49"/>
  <c r="Z13" i="49"/>
  <c r="Z12" i="49"/>
  <c r="Z11" i="49"/>
  <c r="Z10" i="49"/>
  <c r="Z9" i="49"/>
  <c r="Z8" i="49"/>
  <c r="Z7" i="49"/>
  <c r="C45" i="53"/>
  <c r="D40" i="40"/>
  <c r="E40" i="40"/>
  <c r="F40" i="40"/>
  <c r="G40" i="40"/>
  <c r="I40" i="40"/>
  <c r="W34" i="52"/>
  <c r="Q33" i="52"/>
  <c r="W33" i="52"/>
  <c r="Q32" i="52"/>
  <c r="W32" i="52"/>
  <c r="Q31" i="52"/>
  <c r="W31" i="52"/>
  <c r="Q30" i="52"/>
  <c r="W30" i="52"/>
  <c r="Q29" i="52"/>
  <c r="W29" i="52"/>
  <c r="Q28" i="52"/>
  <c r="W28" i="52"/>
  <c r="Q27" i="52"/>
  <c r="W27" i="52"/>
  <c r="Q26" i="52"/>
  <c r="W26" i="52"/>
  <c r="Q25" i="52"/>
  <c r="W25" i="52"/>
  <c r="Q24" i="52"/>
  <c r="W24" i="52"/>
  <c r="Q23" i="52"/>
  <c r="W23" i="52"/>
  <c r="Q22" i="52"/>
  <c r="W22" i="52"/>
  <c r="Q21" i="52"/>
  <c r="W21" i="52"/>
  <c r="Q20" i="52"/>
  <c r="W20" i="52"/>
  <c r="Q19" i="52"/>
  <c r="W19" i="52"/>
  <c r="Q18" i="52"/>
  <c r="W18" i="52"/>
  <c r="Q16" i="52"/>
  <c r="W16" i="52"/>
  <c r="Q15" i="52"/>
  <c r="W15" i="52"/>
  <c r="Q14" i="52"/>
  <c r="W14" i="52"/>
  <c r="Q13" i="52"/>
  <c r="W13" i="52"/>
  <c r="Q12" i="52"/>
  <c r="W12" i="52"/>
  <c r="Q11" i="52"/>
  <c r="W11" i="52"/>
  <c r="Q10" i="52"/>
  <c r="W10" i="52"/>
  <c r="Q8" i="52"/>
  <c r="W8" i="52"/>
  <c r="Q7" i="52"/>
  <c r="W7" i="52"/>
  <c r="D34" i="52"/>
  <c r="D33" i="52"/>
  <c r="D32" i="52"/>
  <c r="D31" i="52"/>
  <c r="D30" i="52"/>
  <c r="D29" i="52"/>
  <c r="D28" i="52"/>
  <c r="D27" i="52"/>
  <c r="D26" i="52"/>
  <c r="D25" i="52"/>
  <c r="D24" i="52"/>
  <c r="D23" i="52"/>
  <c r="D22" i="52"/>
  <c r="D21" i="52"/>
  <c r="D20" i="52"/>
  <c r="D19" i="52"/>
  <c r="D18" i="52"/>
  <c r="D16" i="52"/>
  <c r="D15" i="52"/>
  <c r="D14" i="52"/>
  <c r="D13" i="52"/>
  <c r="D12" i="52"/>
  <c r="D11" i="52"/>
  <c r="D10" i="52"/>
  <c r="D8" i="52"/>
  <c r="D7" i="52"/>
  <c r="T7" i="53"/>
  <c r="AA7" i="53" s="1"/>
  <c r="AB7" i="53"/>
  <c r="T11" i="53"/>
  <c r="AB11" i="53" s="1"/>
  <c r="T15" i="53"/>
  <c r="AA15" i="53" s="1"/>
  <c r="AB15" i="53"/>
  <c r="T19" i="53"/>
  <c r="AB19" i="53" s="1"/>
  <c r="T23" i="53"/>
  <c r="AA23" i="53" s="1"/>
  <c r="AB23" i="53"/>
  <c r="T27" i="53"/>
  <c r="AB27" i="53" s="1"/>
  <c r="T31" i="53"/>
  <c r="AA31" i="53" s="1"/>
  <c r="AB31" i="53"/>
  <c r="T35" i="53"/>
  <c r="AB35" i="53" s="1"/>
  <c r="T39" i="53"/>
  <c r="AB39" i="53"/>
  <c r="T8" i="53"/>
  <c r="T12" i="53"/>
  <c r="T16" i="53"/>
  <c r="AB16" i="53"/>
  <c r="T20" i="53"/>
  <c r="AB20" i="53" s="1"/>
  <c r="T24" i="53"/>
  <c r="AB24" i="53"/>
  <c r="T28" i="53"/>
  <c r="AB28" i="53" s="1"/>
  <c r="T32" i="53"/>
  <c r="AB32" i="53"/>
  <c r="T36" i="53"/>
  <c r="AB36" i="53" s="1"/>
  <c r="T40" i="53"/>
  <c r="AB40" i="53"/>
  <c r="T9" i="53"/>
  <c r="AB9" i="53" s="1"/>
  <c r="T13" i="53"/>
  <c r="AA13" i="53" s="1"/>
  <c r="AB13" i="53"/>
  <c r="T17" i="53"/>
  <c r="AB17" i="53" s="1"/>
  <c r="T21" i="53"/>
  <c r="AA21" i="53" s="1"/>
  <c r="AB21" i="53"/>
  <c r="T25" i="53"/>
  <c r="AB25" i="53" s="1"/>
  <c r="T29" i="53"/>
  <c r="AA29" i="53" s="1"/>
  <c r="AB29" i="53"/>
  <c r="T33" i="53"/>
  <c r="AB33" i="53" s="1"/>
  <c r="T37" i="53"/>
  <c r="AA37" i="53" s="1"/>
  <c r="AB37" i="53"/>
  <c r="T41" i="53"/>
  <c r="AB41" i="53" s="1"/>
  <c r="T10" i="53"/>
  <c r="AB10" i="53"/>
  <c r="T14" i="53"/>
  <c r="T18" i="53"/>
  <c r="AB18" i="53" s="1"/>
  <c r="T22" i="53"/>
  <c r="AB22" i="53"/>
  <c r="T26" i="53"/>
  <c r="AB26" i="53" s="1"/>
  <c r="T30" i="53"/>
  <c r="AB30" i="53"/>
  <c r="T34" i="53"/>
  <c r="AB34" i="53" s="1"/>
  <c r="T38" i="53"/>
  <c r="AB38" i="53"/>
  <c r="T42" i="53"/>
  <c r="AA42" i="53" s="1"/>
  <c r="AA34" i="53"/>
  <c r="AA18" i="53"/>
  <c r="AA40" i="53"/>
  <c r="AA24" i="53"/>
  <c r="AA27" i="53"/>
  <c r="AA30" i="53"/>
  <c r="AA33" i="53"/>
  <c r="AA17" i="53"/>
  <c r="AA20" i="53"/>
  <c r="AA39" i="53"/>
  <c r="AA26" i="53"/>
  <c r="AA10" i="53"/>
  <c r="AA32" i="53"/>
  <c r="AA16" i="53"/>
  <c r="AA35" i="53"/>
  <c r="AA38" i="53"/>
  <c r="AA22" i="53"/>
  <c r="AA41" i="53"/>
  <c r="AA9" i="53"/>
  <c r="AA28" i="53"/>
  <c r="G46" i="49"/>
  <c r="M12" i="10"/>
  <c r="N12" i="10" s="1"/>
  <c r="M13" i="10"/>
  <c r="N13" i="10" s="1"/>
  <c r="M14" i="10"/>
  <c r="N14" i="10" s="1"/>
  <c r="M15" i="10"/>
  <c r="N15" i="10" s="1"/>
  <c r="M16" i="10"/>
  <c r="N16" i="10" s="1"/>
  <c r="M17" i="10"/>
  <c r="N17" i="10" s="1"/>
  <c r="M18" i="10"/>
  <c r="N18" i="10" s="1"/>
  <c r="M19" i="10"/>
  <c r="N19" i="10" s="1"/>
  <c r="M20" i="10"/>
  <c r="N20" i="10" s="1"/>
  <c r="M21" i="10"/>
  <c r="N21" i="10" s="1"/>
  <c r="M22" i="10"/>
  <c r="N22" i="10" s="1"/>
  <c r="M23" i="10"/>
  <c r="N23" i="10" s="1"/>
  <c r="M24" i="10"/>
  <c r="N24" i="10" s="1"/>
  <c r="M25" i="10"/>
  <c r="N25" i="10" s="1"/>
  <c r="M26" i="10"/>
  <c r="N26" i="10" s="1"/>
  <c r="M27" i="10"/>
  <c r="N27" i="10" s="1"/>
  <c r="M28" i="10"/>
  <c r="N28" i="10" s="1"/>
  <c r="M29" i="10"/>
  <c r="N29" i="10" s="1"/>
  <c r="M30" i="10"/>
  <c r="N30" i="10" s="1"/>
  <c r="M31" i="10"/>
  <c r="N31" i="10" s="1"/>
  <c r="M32" i="10"/>
  <c r="N32" i="10" s="1"/>
  <c r="M33" i="10"/>
  <c r="N33" i="10" s="1"/>
  <c r="M11" i="10"/>
  <c r="N11" i="10" s="1"/>
  <c r="K9" i="47"/>
  <c r="J29" i="47"/>
  <c r="J9" i="47"/>
  <c r="I29" i="47"/>
  <c r="I9" i="47"/>
  <c r="H29" i="47"/>
  <c r="H9" i="47"/>
  <c r="G29" i="47"/>
  <c r="G9" i="47"/>
  <c r="F29" i="47"/>
  <c r="F9" i="47"/>
  <c r="K21" i="47"/>
  <c r="J21" i="47"/>
  <c r="I21" i="47"/>
  <c r="H21" i="47"/>
  <c r="G21" i="47"/>
  <c r="F21" i="47"/>
  <c r="K20" i="47"/>
  <c r="J20" i="47"/>
  <c r="I20" i="47"/>
  <c r="H20" i="47"/>
  <c r="G20" i="47"/>
  <c r="F20" i="47"/>
  <c r="K19" i="47"/>
  <c r="J19" i="47"/>
  <c r="I19" i="47"/>
  <c r="H19" i="47"/>
  <c r="G19" i="47"/>
  <c r="F19" i="47"/>
  <c r="C148" i="3"/>
  <c r="C149" i="3"/>
  <c r="G149" i="3" s="1"/>
  <c r="H149" i="3" s="1"/>
  <c r="C150" i="3"/>
  <c r="C151" i="3"/>
  <c r="C152" i="3"/>
  <c r="C153" i="3"/>
  <c r="G153" i="3" s="1"/>
  <c r="C154" i="3"/>
  <c r="C155" i="3"/>
  <c r="C156" i="3"/>
  <c r="C157" i="3"/>
  <c r="G157" i="3" s="1"/>
  <c r="C158" i="3"/>
  <c r="C159" i="3"/>
  <c r="C160" i="3"/>
  <c r="C161" i="3"/>
  <c r="C162" i="3"/>
  <c r="C163" i="3"/>
  <c r="C133" i="3"/>
  <c r="C134" i="3"/>
  <c r="C135" i="3"/>
  <c r="C136" i="3"/>
  <c r="C137" i="3"/>
  <c r="C138" i="3"/>
  <c r="C139" i="3"/>
  <c r="C140" i="3"/>
  <c r="C141" i="3"/>
  <c r="C142" i="3"/>
  <c r="C143" i="3"/>
  <c r="C144" i="3"/>
  <c r="C145" i="3"/>
  <c r="C146" i="3"/>
  <c r="C147" i="3"/>
  <c r="C131" i="3"/>
  <c r="C132" i="3"/>
  <c r="C130" i="3"/>
  <c r="G130" i="3" s="1"/>
  <c r="H130" i="3" s="1"/>
  <c r="B131" i="3"/>
  <c r="H131" i="3" s="1"/>
  <c r="B132" i="3"/>
  <c r="B133" i="3"/>
  <c r="B134" i="3"/>
  <c r="B135" i="3"/>
  <c r="B136" i="3"/>
  <c r="B137" i="3"/>
  <c r="B138" i="3"/>
  <c r="B139" i="3"/>
  <c r="K139" i="3" s="1"/>
  <c r="B140" i="3"/>
  <c r="B141" i="3"/>
  <c r="B142" i="3"/>
  <c r="B143" i="3"/>
  <c r="B144" i="3"/>
  <c r="B145" i="3"/>
  <c r="B146" i="3"/>
  <c r="B147" i="3"/>
  <c r="B148" i="3"/>
  <c r="B149" i="3"/>
  <c r="B150" i="3"/>
  <c r="B151" i="3"/>
  <c r="G151" i="3" s="1"/>
  <c r="H151" i="3" s="1"/>
  <c r="B152" i="3"/>
  <c r="B153" i="3"/>
  <c r="B154" i="3"/>
  <c r="B155" i="3"/>
  <c r="H155" i="3" s="1"/>
  <c r="B156" i="3"/>
  <c r="B157" i="3"/>
  <c r="B158" i="3"/>
  <c r="B159" i="3"/>
  <c r="I159" i="3" s="1"/>
  <c r="B160" i="3"/>
  <c r="B161" i="3"/>
  <c r="B162" i="3"/>
  <c r="B163" i="3"/>
  <c r="G163" i="3" s="1"/>
  <c r="H163" i="3" s="1"/>
  <c r="B130" i="3"/>
  <c r="C113" i="3"/>
  <c r="C114" i="3"/>
  <c r="C115" i="3"/>
  <c r="C116" i="3"/>
  <c r="C117" i="3"/>
  <c r="C118" i="3"/>
  <c r="C119" i="3"/>
  <c r="C120" i="3"/>
  <c r="C121" i="3"/>
  <c r="C122" i="3"/>
  <c r="C123" i="3"/>
  <c r="C124" i="3"/>
  <c r="C125" i="3"/>
  <c r="C126" i="3"/>
  <c r="C101" i="3"/>
  <c r="C102" i="3"/>
  <c r="C103" i="3"/>
  <c r="C104" i="3"/>
  <c r="C105" i="3"/>
  <c r="C106" i="3"/>
  <c r="C107" i="3"/>
  <c r="C108" i="3"/>
  <c r="C109" i="3"/>
  <c r="C110" i="3"/>
  <c r="C111" i="3"/>
  <c r="C112" i="3"/>
  <c r="C94" i="3"/>
  <c r="C96" i="3"/>
  <c r="C97" i="3"/>
  <c r="C98" i="3"/>
  <c r="C99" i="3"/>
  <c r="C100" i="3"/>
  <c r="C93"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C58" i="3"/>
  <c r="C59" i="3"/>
  <c r="C60" i="3"/>
  <c r="C61" i="3"/>
  <c r="M61" i="3" s="1"/>
  <c r="C62" i="3"/>
  <c r="M62" i="3" s="1"/>
  <c r="C63" i="3"/>
  <c r="M63" i="3" s="1"/>
  <c r="C64" i="3"/>
  <c r="C65" i="3"/>
  <c r="M65" i="3" s="1"/>
  <c r="C66" i="3"/>
  <c r="C67" i="3"/>
  <c r="M67" i="3" s="1"/>
  <c r="C68" i="3"/>
  <c r="M68" i="3" s="1"/>
  <c r="C69" i="3"/>
  <c r="M69" i="3" s="1"/>
  <c r="C70" i="3"/>
  <c r="M70" i="3" s="1"/>
  <c r="C71" i="3"/>
  <c r="C72" i="3"/>
  <c r="C73" i="3"/>
  <c r="C74" i="3"/>
  <c r="M74" i="3" s="1"/>
  <c r="C75" i="3"/>
  <c r="C76" i="3"/>
  <c r="M76" i="3" s="1"/>
  <c r="C77" i="3"/>
  <c r="C78" i="3"/>
  <c r="M78" i="3" s="1"/>
  <c r="C79" i="3"/>
  <c r="M79" i="3" s="1"/>
  <c r="C80" i="3"/>
  <c r="M80" i="3" s="1"/>
  <c r="C81" i="3"/>
  <c r="M81" i="3" s="1"/>
  <c r="C82" i="3"/>
  <c r="C83" i="3"/>
  <c r="M83" i="3" s="1"/>
  <c r="C84" i="3"/>
  <c r="M84" i="3" s="1"/>
  <c r="C85" i="3"/>
  <c r="M85" i="3" s="1"/>
  <c r="C86" i="3"/>
  <c r="M86" i="3" s="1"/>
  <c r="C87" i="3"/>
  <c r="C57" i="3"/>
  <c r="B58" i="3"/>
  <c r="B59" i="3"/>
  <c r="B60" i="3"/>
  <c r="B61" i="3"/>
  <c r="L61" i="3" s="1"/>
  <c r="B62" i="3"/>
  <c r="L62" i="3" s="1"/>
  <c r="B63" i="3"/>
  <c r="B64" i="3"/>
  <c r="B65" i="3"/>
  <c r="B66" i="3"/>
  <c r="L66" i="3" s="1"/>
  <c r="B67" i="3"/>
  <c r="B68" i="3"/>
  <c r="B69" i="3"/>
  <c r="L69" i="3" s="1"/>
  <c r="B70" i="3"/>
  <c r="N70" i="3" s="1"/>
  <c r="B71" i="3"/>
  <c r="B72" i="3"/>
  <c r="L72" i="3" s="1"/>
  <c r="B73" i="3"/>
  <c r="L73" i="3" s="1"/>
  <c r="B74" i="3"/>
  <c r="L74" i="3" s="1"/>
  <c r="B75" i="3"/>
  <c r="B76" i="3"/>
  <c r="B77" i="3"/>
  <c r="L77" i="3" s="1"/>
  <c r="B78" i="3"/>
  <c r="L78" i="3" s="1"/>
  <c r="B79" i="3"/>
  <c r="B80" i="3"/>
  <c r="B81" i="3"/>
  <c r="L81" i="3" s="1"/>
  <c r="B82" i="3"/>
  <c r="L82" i="3" s="1"/>
  <c r="B83" i="3"/>
  <c r="B84" i="3"/>
  <c r="B85" i="3"/>
  <c r="B86" i="3"/>
  <c r="N86" i="3" s="1"/>
  <c r="B87" i="3"/>
  <c r="B57" i="3"/>
  <c r="B46"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5" i="3"/>
  <c r="E131" i="3"/>
  <c r="F131" i="3"/>
  <c r="E132" i="3"/>
  <c r="F132" i="3"/>
  <c r="E133" i="3"/>
  <c r="F133" i="3"/>
  <c r="E134" i="3"/>
  <c r="F134" i="3"/>
  <c r="E135" i="3"/>
  <c r="F135" i="3"/>
  <c r="E136" i="3"/>
  <c r="F136" i="3"/>
  <c r="E137" i="3"/>
  <c r="F137" i="3"/>
  <c r="E138" i="3"/>
  <c r="F138" i="3"/>
  <c r="E139" i="3"/>
  <c r="F139" i="3"/>
  <c r="E140" i="3"/>
  <c r="F140" i="3"/>
  <c r="E141" i="3"/>
  <c r="F141" i="3"/>
  <c r="E142" i="3"/>
  <c r="F142" i="3"/>
  <c r="E143" i="3"/>
  <c r="F143" i="3"/>
  <c r="E144" i="3"/>
  <c r="F144" i="3"/>
  <c r="E145" i="3"/>
  <c r="F145" i="3"/>
  <c r="E146" i="3"/>
  <c r="F146" i="3"/>
  <c r="E147" i="3"/>
  <c r="F147" i="3"/>
  <c r="E148" i="3"/>
  <c r="F148" i="3"/>
  <c r="E149" i="3"/>
  <c r="F149" i="3"/>
  <c r="E150" i="3"/>
  <c r="F150" i="3"/>
  <c r="E151" i="3"/>
  <c r="F151" i="3"/>
  <c r="E152" i="3"/>
  <c r="F152" i="3"/>
  <c r="E153" i="3"/>
  <c r="F153" i="3"/>
  <c r="E154" i="3"/>
  <c r="F154" i="3"/>
  <c r="E155" i="3"/>
  <c r="F155" i="3"/>
  <c r="E156" i="3"/>
  <c r="F156" i="3"/>
  <c r="E157" i="3"/>
  <c r="F157" i="3"/>
  <c r="E158" i="3"/>
  <c r="F158" i="3"/>
  <c r="E159" i="3"/>
  <c r="F159" i="3"/>
  <c r="E160" i="3"/>
  <c r="F160" i="3"/>
  <c r="E161" i="3"/>
  <c r="F161" i="3"/>
  <c r="E162" i="3"/>
  <c r="F162" i="3"/>
  <c r="E163" i="3"/>
  <c r="F163" i="3"/>
  <c r="F130" i="3"/>
  <c r="E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30" i="3"/>
  <c r="E94" i="3"/>
  <c r="F94" i="3"/>
  <c r="E95" i="3"/>
  <c r="F95" i="3"/>
  <c r="E96" i="3"/>
  <c r="F96" i="3"/>
  <c r="E97" i="3"/>
  <c r="F97" i="3"/>
  <c r="E98" i="3"/>
  <c r="F98" i="3"/>
  <c r="E99" i="3"/>
  <c r="F99" i="3"/>
  <c r="E100" i="3"/>
  <c r="F100" i="3"/>
  <c r="E101" i="3"/>
  <c r="F101" i="3"/>
  <c r="E102" i="3"/>
  <c r="F102" i="3"/>
  <c r="E103" i="3"/>
  <c r="F103" i="3"/>
  <c r="E104" i="3"/>
  <c r="F104" i="3"/>
  <c r="E105" i="3"/>
  <c r="F105" i="3"/>
  <c r="E106" i="3"/>
  <c r="F106" i="3"/>
  <c r="E107" i="3"/>
  <c r="F107" i="3"/>
  <c r="E108" i="3"/>
  <c r="F108" i="3"/>
  <c r="E109" i="3"/>
  <c r="F109" i="3"/>
  <c r="E110" i="3"/>
  <c r="F110" i="3"/>
  <c r="E111" i="3"/>
  <c r="F111" i="3"/>
  <c r="E112" i="3"/>
  <c r="F112" i="3"/>
  <c r="E113" i="3"/>
  <c r="F113" i="3"/>
  <c r="E114" i="3"/>
  <c r="F114" i="3"/>
  <c r="E115" i="3"/>
  <c r="F115" i="3"/>
  <c r="E116" i="3"/>
  <c r="F116" i="3"/>
  <c r="E117" i="3"/>
  <c r="F117" i="3"/>
  <c r="E118" i="3"/>
  <c r="F118" i="3"/>
  <c r="E119" i="3"/>
  <c r="F119" i="3"/>
  <c r="E120" i="3"/>
  <c r="F120" i="3"/>
  <c r="E121" i="3"/>
  <c r="F121" i="3"/>
  <c r="E122" i="3"/>
  <c r="F122" i="3"/>
  <c r="E123" i="3"/>
  <c r="F123" i="3"/>
  <c r="E124" i="3"/>
  <c r="F124" i="3"/>
  <c r="E125" i="3"/>
  <c r="F125" i="3"/>
  <c r="E126" i="3"/>
  <c r="F126" i="3"/>
  <c r="E127" i="3"/>
  <c r="F127" i="3"/>
  <c r="F93" i="3"/>
  <c r="E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93" i="3"/>
  <c r="E6" i="3"/>
  <c r="F6" i="3"/>
  <c r="E7" i="3"/>
  <c r="F7" i="3"/>
  <c r="E8" i="3"/>
  <c r="F8" i="3"/>
  <c r="E9" i="3"/>
  <c r="F9" i="3"/>
  <c r="E10" i="3"/>
  <c r="F10" i="3"/>
  <c r="E11" i="3"/>
  <c r="F11" i="3"/>
  <c r="E12" i="3"/>
  <c r="F12" i="3"/>
  <c r="E13" i="3"/>
  <c r="F13" i="3"/>
  <c r="E14" i="3"/>
  <c r="F14" i="3"/>
  <c r="E15" i="3"/>
  <c r="F15" i="3"/>
  <c r="E16" i="3"/>
  <c r="F16" i="3"/>
  <c r="E17" i="3"/>
  <c r="F17" i="3"/>
  <c r="E18" i="3"/>
  <c r="F18" i="3"/>
  <c r="E19" i="3"/>
  <c r="F19" i="3"/>
  <c r="E20" i="3"/>
  <c r="F20" i="3"/>
  <c r="E21" i="3"/>
  <c r="F21" i="3"/>
  <c r="E22" i="3"/>
  <c r="F22" i="3"/>
  <c r="E23" i="3"/>
  <c r="F23" i="3"/>
  <c r="E24" i="3"/>
  <c r="F24" i="3"/>
  <c r="E25" i="3"/>
  <c r="F25" i="3"/>
  <c r="E26" i="3"/>
  <c r="F26" i="3"/>
  <c r="E27" i="3"/>
  <c r="F27" i="3"/>
  <c r="E28" i="3"/>
  <c r="F28" i="3"/>
  <c r="E29" i="3"/>
  <c r="F29" i="3"/>
  <c r="E30" i="3"/>
  <c r="F30" i="3"/>
  <c r="E31" i="3"/>
  <c r="F31" i="3"/>
  <c r="E32" i="3"/>
  <c r="F32" i="3"/>
  <c r="E33" i="3"/>
  <c r="F33" i="3"/>
  <c r="E34" i="3"/>
  <c r="F34" i="3"/>
  <c r="E35" i="3"/>
  <c r="F35" i="3"/>
  <c r="E36" i="3"/>
  <c r="F36" i="3"/>
  <c r="E37" i="3"/>
  <c r="F37" i="3"/>
  <c r="E38" i="3"/>
  <c r="F38" i="3"/>
  <c r="E39" i="3"/>
  <c r="F39" i="3"/>
  <c r="E40" i="3"/>
  <c r="F40" i="3"/>
  <c r="F5" i="3"/>
  <c r="E5"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54"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5" i="3"/>
  <c r="P7" i="4"/>
  <c r="Q7" i="4"/>
  <c r="P8" i="4"/>
  <c r="Q8" i="4"/>
  <c r="P9" i="4"/>
  <c r="Q9" i="4"/>
  <c r="P10" i="4"/>
  <c r="Q10" i="4"/>
  <c r="P11" i="4"/>
  <c r="Q11" i="4"/>
  <c r="P12" i="4"/>
  <c r="Q12" i="4"/>
  <c r="P13" i="4"/>
  <c r="Q13" i="4"/>
  <c r="P14" i="4"/>
  <c r="Q14" i="4"/>
  <c r="P15" i="4"/>
  <c r="Q15" i="4"/>
  <c r="P16" i="4"/>
  <c r="Q16" i="4"/>
  <c r="P17" i="4"/>
  <c r="Q17" i="4"/>
  <c r="P18" i="4"/>
  <c r="Q18" i="4"/>
  <c r="P19" i="4"/>
  <c r="Q19" i="4"/>
  <c r="P20" i="4"/>
  <c r="Q20" i="4"/>
  <c r="P21" i="4"/>
  <c r="Q21" i="4"/>
  <c r="P22" i="4"/>
  <c r="Q22" i="4"/>
  <c r="P23" i="4"/>
  <c r="Q23" i="4"/>
  <c r="P24" i="4"/>
  <c r="Q24" i="4"/>
  <c r="P25" i="4"/>
  <c r="Q25" i="4"/>
  <c r="P26" i="4"/>
  <c r="Q26" i="4"/>
  <c r="P27" i="4"/>
  <c r="Q27" i="4"/>
  <c r="P28" i="4"/>
  <c r="Q28" i="4"/>
  <c r="P29" i="4"/>
  <c r="Q29" i="4"/>
  <c r="P30" i="4"/>
  <c r="Q30" i="4"/>
  <c r="P31" i="4"/>
  <c r="Q31" i="4"/>
  <c r="P32" i="4"/>
  <c r="Q32" i="4"/>
  <c r="P33" i="4"/>
  <c r="Q33" i="4"/>
  <c r="P34" i="4"/>
  <c r="Q34" i="4"/>
  <c r="P36" i="4"/>
  <c r="Q36" i="4"/>
  <c r="Q6" i="4"/>
  <c r="P6" i="4"/>
  <c r="J7" i="4"/>
  <c r="J8" i="4"/>
  <c r="J9" i="4"/>
  <c r="Y14" i="10" s="1"/>
  <c r="J10" i="4"/>
  <c r="Y15" i="10" s="1"/>
  <c r="J11" i="4"/>
  <c r="J12" i="4"/>
  <c r="J13" i="4"/>
  <c r="Y18" i="10" s="1"/>
  <c r="J14" i="4"/>
  <c r="Y19" i="10" s="1"/>
  <c r="J15" i="4"/>
  <c r="J16" i="4"/>
  <c r="J17" i="4"/>
  <c r="Y22" i="10" s="1"/>
  <c r="J18" i="4"/>
  <c r="Y23" i="10" s="1"/>
  <c r="J19" i="4"/>
  <c r="J20" i="4"/>
  <c r="Y25" i="10" s="1"/>
  <c r="J21" i="4"/>
  <c r="K21" i="4" s="1"/>
  <c r="J22" i="4"/>
  <c r="Y27" i="10" s="1"/>
  <c r="J23" i="4"/>
  <c r="J24" i="4"/>
  <c r="Y29" i="10" s="1"/>
  <c r="J25" i="4"/>
  <c r="J26" i="4"/>
  <c r="Y31" i="10" s="1"/>
  <c r="J27" i="4"/>
  <c r="J28" i="4"/>
  <c r="Y33" i="10" s="1"/>
  <c r="J29" i="4"/>
  <c r="J30" i="4"/>
  <c r="Y35" i="10" s="1"/>
  <c r="J31" i="4"/>
  <c r="J32" i="4"/>
  <c r="Y37" i="10" s="1"/>
  <c r="J33" i="4"/>
  <c r="J34" i="4"/>
  <c r="Y39" i="10" s="1"/>
  <c r="J6" i="4"/>
  <c r="H7" i="10"/>
  <c r="W12" i="10"/>
  <c r="H8" i="10"/>
  <c r="W13" i="10"/>
  <c r="H9" i="10"/>
  <c r="W14" i="10"/>
  <c r="H10" i="10"/>
  <c r="W15" i="10"/>
  <c r="H11" i="10"/>
  <c r="H12" i="10"/>
  <c r="H13" i="10"/>
  <c r="H14" i="10"/>
  <c r="H15" i="10"/>
  <c r="H16" i="10"/>
  <c r="H17" i="10"/>
  <c r="H18" i="10"/>
  <c r="H19" i="10"/>
  <c r="H20" i="10"/>
  <c r="H21" i="10"/>
  <c r="H22" i="10"/>
  <c r="H23" i="10"/>
  <c r="H24" i="10"/>
  <c r="H25" i="10"/>
  <c r="H26" i="10"/>
  <c r="H27" i="10"/>
  <c r="H28" i="10"/>
  <c r="H29" i="10"/>
  <c r="H30" i="10"/>
  <c r="H31" i="10"/>
  <c r="H32" i="10"/>
  <c r="H33" i="10"/>
  <c r="H6" i="10"/>
  <c r="W11" i="10"/>
  <c r="H7" i="38"/>
  <c r="I7" i="38"/>
  <c r="H8" i="38"/>
  <c r="I8" i="38"/>
  <c r="H9" i="38"/>
  <c r="I9" i="38"/>
  <c r="H10" i="38"/>
  <c r="I10" i="38"/>
  <c r="H11" i="38"/>
  <c r="I11" i="38"/>
  <c r="H12" i="38"/>
  <c r="I12" i="38"/>
  <c r="H13" i="38"/>
  <c r="I13" i="38"/>
  <c r="H14" i="38"/>
  <c r="I14" i="38"/>
  <c r="H15" i="38"/>
  <c r="I15" i="38"/>
  <c r="H16" i="38"/>
  <c r="I16" i="38"/>
  <c r="H17" i="38"/>
  <c r="I17" i="38"/>
  <c r="H18" i="38"/>
  <c r="I18" i="38"/>
  <c r="H19" i="38"/>
  <c r="I19" i="38"/>
  <c r="H20" i="38"/>
  <c r="I20" i="38"/>
  <c r="H21" i="38"/>
  <c r="I21" i="38"/>
  <c r="H22" i="38"/>
  <c r="I22" i="38"/>
  <c r="H23" i="38"/>
  <c r="I23" i="38"/>
  <c r="H24" i="38"/>
  <c r="H25" i="38"/>
  <c r="H26" i="38"/>
  <c r="H27" i="38"/>
  <c r="H28" i="38"/>
  <c r="H29" i="38"/>
  <c r="H30" i="38"/>
  <c r="H31" i="38"/>
  <c r="H32" i="38"/>
  <c r="H33" i="38"/>
  <c r="H34" i="38"/>
  <c r="H35" i="38"/>
  <c r="H36" i="38"/>
  <c r="H37" i="38"/>
  <c r="H38" i="38"/>
  <c r="H39" i="38"/>
  <c r="H40" i="38"/>
  <c r="H41" i="38"/>
  <c r="H6" i="38"/>
  <c r="I6" i="38"/>
  <c r="L7" i="39"/>
  <c r="L8" i="39"/>
  <c r="L9" i="39"/>
  <c r="L10" i="39"/>
  <c r="L11" i="39"/>
  <c r="L12" i="39"/>
  <c r="L13" i="39"/>
  <c r="L14" i="39"/>
  <c r="L15" i="39"/>
  <c r="L16" i="39"/>
  <c r="L17" i="39"/>
  <c r="L18" i="39"/>
  <c r="L19" i="39"/>
  <c r="L20" i="39"/>
  <c r="L21" i="39"/>
  <c r="L22" i="39"/>
  <c r="L23" i="39"/>
  <c r="L24" i="39"/>
  <c r="L25" i="39"/>
  <c r="L26" i="39"/>
  <c r="L27" i="39"/>
  <c r="L28" i="39"/>
  <c r="L29" i="39"/>
  <c r="L30" i="39"/>
  <c r="L31" i="39"/>
  <c r="L32" i="39"/>
  <c r="L33" i="39"/>
  <c r="L34" i="39"/>
  <c r="L35" i="39"/>
  <c r="L36" i="39"/>
  <c r="L37" i="39"/>
  <c r="L38" i="39"/>
  <c r="L39" i="39"/>
  <c r="L6" i="39"/>
  <c r="I7" i="40"/>
  <c r="I8" i="40"/>
  <c r="I9" i="40"/>
  <c r="I10" i="40"/>
  <c r="I11" i="40"/>
  <c r="I12" i="40"/>
  <c r="I13" i="40"/>
  <c r="I14" i="40"/>
  <c r="I15" i="40"/>
  <c r="I16" i="40"/>
  <c r="I17" i="40"/>
  <c r="I18" i="40"/>
  <c r="I19" i="40"/>
  <c r="I20" i="40"/>
  <c r="I21" i="40"/>
  <c r="I22" i="40"/>
  <c r="I23" i="40"/>
  <c r="I24" i="40"/>
  <c r="I25" i="40"/>
  <c r="I26" i="40"/>
  <c r="I27" i="40"/>
  <c r="I28" i="40"/>
  <c r="I29" i="40"/>
  <c r="I30" i="40"/>
  <c r="I31" i="40"/>
  <c r="I32" i="40"/>
  <c r="I33" i="40"/>
  <c r="I34" i="40"/>
  <c r="I35" i="40"/>
  <c r="I36" i="40"/>
  <c r="I37" i="40"/>
  <c r="I38" i="40"/>
  <c r="I39" i="40"/>
  <c r="I6" i="40"/>
  <c r="J12" i="41"/>
  <c r="J13" i="41"/>
  <c r="J14" i="41"/>
  <c r="J15" i="41"/>
  <c r="J16" i="41"/>
  <c r="J17" i="41"/>
  <c r="J18" i="41"/>
  <c r="J19" i="41"/>
  <c r="J20" i="41"/>
  <c r="J21" i="41"/>
  <c r="J22" i="41"/>
  <c r="J23" i="41"/>
  <c r="J24" i="41"/>
  <c r="J25" i="41"/>
  <c r="J26" i="41"/>
  <c r="J27" i="41"/>
  <c r="J28" i="41"/>
  <c r="J29" i="41"/>
  <c r="J30" i="41"/>
  <c r="J31" i="41"/>
  <c r="J32" i="41"/>
  <c r="J33" i="41"/>
  <c r="J34" i="41"/>
  <c r="J35" i="41"/>
  <c r="J36" i="41"/>
  <c r="J37" i="41"/>
  <c r="J38" i="41"/>
  <c r="J39" i="41"/>
  <c r="J40" i="41"/>
  <c r="J41" i="41"/>
  <c r="J42" i="41"/>
  <c r="J43" i="41"/>
  <c r="J44" i="41"/>
  <c r="J11" i="41"/>
  <c r="P6" i="42"/>
  <c r="W97" i="42"/>
  <c r="P6" i="43"/>
  <c r="Q6" i="43"/>
  <c r="P7" i="43"/>
  <c r="Q7" i="43"/>
  <c r="P8" i="43"/>
  <c r="Q8" i="43"/>
  <c r="P9" i="43"/>
  <c r="Q9" i="43"/>
  <c r="P10" i="43"/>
  <c r="Q10" i="43"/>
  <c r="P11" i="43"/>
  <c r="Q11" i="43"/>
  <c r="P12" i="43"/>
  <c r="Q12" i="43"/>
  <c r="P13" i="43"/>
  <c r="Q13" i="43"/>
  <c r="P14" i="43"/>
  <c r="Q14" i="43"/>
  <c r="P15" i="43"/>
  <c r="Q15" i="43"/>
  <c r="P16" i="43"/>
  <c r="Q16" i="43"/>
  <c r="P17" i="43"/>
  <c r="Q17" i="43"/>
  <c r="P18" i="43"/>
  <c r="Q18" i="43"/>
  <c r="P19" i="43"/>
  <c r="Q19" i="43"/>
  <c r="P20" i="43"/>
  <c r="Q20" i="43"/>
  <c r="P21" i="43"/>
  <c r="Q21" i="43"/>
  <c r="P22" i="43"/>
  <c r="Q22" i="43"/>
  <c r="P23" i="43"/>
  <c r="Q23" i="43"/>
  <c r="P24" i="43"/>
  <c r="Q24" i="43"/>
  <c r="P25" i="43"/>
  <c r="Q25" i="43"/>
  <c r="P26" i="43"/>
  <c r="Q26" i="43"/>
  <c r="P27" i="43"/>
  <c r="Q27" i="43"/>
  <c r="P28" i="43"/>
  <c r="Q28" i="43"/>
  <c r="P29" i="43"/>
  <c r="Q29" i="43"/>
  <c r="P30" i="43"/>
  <c r="Q30" i="43"/>
  <c r="P31" i="43"/>
  <c r="Q31" i="43"/>
  <c r="P32" i="43"/>
  <c r="Q32" i="43"/>
  <c r="P33" i="43"/>
  <c r="Q33" i="43"/>
  <c r="P34" i="43"/>
  <c r="Q34" i="43"/>
  <c r="P35" i="43"/>
  <c r="Q35" i="43"/>
  <c r="P36" i="43"/>
  <c r="Q36" i="43"/>
  <c r="P37" i="43"/>
  <c r="Q37" i="43"/>
  <c r="P38" i="43"/>
  <c r="Q38" i="43"/>
  <c r="P39" i="43"/>
  <c r="Q39" i="43"/>
  <c r="P40" i="43"/>
  <c r="Q40" i="43"/>
  <c r="P41" i="43"/>
  <c r="Q41" i="43"/>
  <c r="P42" i="43"/>
  <c r="Q42" i="43"/>
  <c r="P43" i="43"/>
  <c r="Q43" i="43"/>
  <c r="P44" i="43"/>
  <c r="Q44" i="43"/>
  <c r="P45" i="43"/>
  <c r="Q45" i="43"/>
  <c r="P46" i="43"/>
  <c r="Q46" i="43"/>
  <c r="P47" i="43"/>
  <c r="Q47" i="43"/>
  <c r="P48" i="43"/>
  <c r="Q48" i="43"/>
  <c r="P50" i="43"/>
  <c r="Q50" i="43"/>
  <c r="Q5" i="43"/>
  <c r="P5" i="43"/>
  <c r="M6" i="43"/>
  <c r="N6" i="43"/>
  <c r="M7" i="43"/>
  <c r="N7" i="43"/>
  <c r="M8" i="43"/>
  <c r="N8" i="43"/>
  <c r="M9" i="43"/>
  <c r="N9" i="43"/>
  <c r="M10" i="43"/>
  <c r="N10" i="43"/>
  <c r="M11" i="43"/>
  <c r="N11" i="43"/>
  <c r="M12" i="43"/>
  <c r="N12" i="43"/>
  <c r="M13" i="43"/>
  <c r="N13" i="43"/>
  <c r="M14" i="43"/>
  <c r="N14" i="43"/>
  <c r="M15" i="43"/>
  <c r="N15" i="43"/>
  <c r="M16" i="43"/>
  <c r="N16" i="43"/>
  <c r="M17" i="43"/>
  <c r="N17" i="43"/>
  <c r="M18" i="43"/>
  <c r="N18" i="43"/>
  <c r="M19" i="43"/>
  <c r="N19" i="43"/>
  <c r="M20" i="43"/>
  <c r="N20" i="43"/>
  <c r="M21" i="43"/>
  <c r="N21" i="43"/>
  <c r="M22" i="43"/>
  <c r="N22" i="43"/>
  <c r="M23" i="43"/>
  <c r="N23" i="43"/>
  <c r="M24" i="43"/>
  <c r="N24" i="43"/>
  <c r="M25" i="43"/>
  <c r="N25" i="43"/>
  <c r="M26" i="43"/>
  <c r="N26" i="43"/>
  <c r="M27" i="43"/>
  <c r="N27" i="43"/>
  <c r="M28" i="43"/>
  <c r="N28" i="43"/>
  <c r="M29" i="43"/>
  <c r="N29" i="43"/>
  <c r="M30" i="43"/>
  <c r="N30" i="43"/>
  <c r="M31" i="43"/>
  <c r="N31" i="43"/>
  <c r="M32" i="43"/>
  <c r="N32" i="43"/>
  <c r="M33" i="43"/>
  <c r="N33" i="43"/>
  <c r="M34" i="43"/>
  <c r="N34" i="43"/>
  <c r="M35" i="43"/>
  <c r="N35" i="43"/>
  <c r="M36" i="43"/>
  <c r="N36" i="43"/>
  <c r="M37" i="43"/>
  <c r="N37" i="43"/>
  <c r="M38" i="43"/>
  <c r="N38" i="43"/>
  <c r="M39" i="43"/>
  <c r="N39" i="43"/>
  <c r="M40" i="43"/>
  <c r="N40" i="43"/>
  <c r="M41" i="43"/>
  <c r="N41" i="43"/>
  <c r="M42" i="43"/>
  <c r="N42" i="43"/>
  <c r="M43" i="43"/>
  <c r="N43" i="43"/>
  <c r="M44" i="43"/>
  <c r="N44" i="43"/>
  <c r="M45" i="43"/>
  <c r="N45" i="43"/>
  <c r="M46" i="43"/>
  <c r="N46" i="43"/>
  <c r="M47" i="43"/>
  <c r="N47" i="43"/>
  <c r="M48" i="43"/>
  <c r="N48" i="43"/>
  <c r="M50" i="43"/>
  <c r="N50" i="43"/>
  <c r="N5" i="43"/>
  <c r="M5" i="43"/>
  <c r="J6" i="43"/>
  <c r="K6" i="43"/>
  <c r="J7" i="43"/>
  <c r="K7" i="43"/>
  <c r="J8" i="43"/>
  <c r="K8" i="43"/>
  <c r="J9" i="43"/>
  <c r="K9" i="43"/>
  <c r="J10" i="43"/>
  <c r="K10" i="43"/>
  <c r="J11" i="43"/>
  <c r="K11" i="43"/>
  <c r="J12" i="43"/>
  <c r="K12" i="43"/>
  <c r="J13" i="43"/>
  <c r="K13" i="43"/>
  <c r="J14" i="43"/>
  <c r="K14" i="43"/>
  <c r="J15" i="43"/>
  <c r="K15" i="43"/>
  <c r="J16" i="43"/>
  <c r="K16" i="43"/>
  <c r="J17" i="43"/>
  <c r="K17" i="43"/>
  <c r="J18" i="43"/>
  <c r="K18" i="43"/>
  <c r="J19" i="43"/>
  <c r="K19" i="43"/>
  <c r="J20" i="43"/>
  <c r="K20" i="43"/>
  <c r="J21" i="43"/>
  <c r="K21" i="43"/>
  <c r="J22" i="43"/>
  <c r="K22" i="43"/>
  <c r="J23" i="43"/>
  <c r="K23" i="43"/>
  <c r="J24" i="43"/>
  <c r="K24" i="43"/>
  <c r="J25" i="43"/>
  <c r="K25" i="43"/>
  <c r="J26" i="43"/>
  <c r="K26" i="43"/>
  <c r="J27" i="43"/>
  <c r="K27" i="43"/>
  <c r="J28" i="43"/>
  <c r="K28" i="43"/>
  <c r="J29" i="43"/>
  <c r="K29" i="43"/>
  <c r="J30" i="43"/>
  <c r="K30" i="43"/>
  <c r="J31" i="43"/>
  <c r="K31" i="43"/>
  <c r="J32" i="43"/>
  <c r="K32" i="43"/>
  <c r="J33" i="43"/>
  <c r="K33" i="43"/>
  <c r="J34" i="43"/>
  <c r="K34" i="43"/>
  <c r="J35" i="43"/>
  <c r="K35" i="43"/>
  <c r="J36" i="43"/>
  <c r="K36" i="43"/>
  <c r="J37" i="43"/>
  <c r="K37" i="43"/>
  <c r="J38" i="43"/>
  <c r="K38" i="43"/>
  <c r="J39" i="43"/>
  <c r="K39" i="43"/>
  <c r="J40" i="43"/>
  <c r="K40" i="43"/>
  <c r="J41" i="43"/>
  <c r="K41" i="43"/>
  <c r="J42" i="43"/>
  <c r="K42" i="43"/>
  <c r="J43" i="43"/>
  <c r="K43" i="43"/>
  <c r="J44" i="43"/>
  <c r="K44" i="43"/>
  <c r="J45" i="43"/>
  <c r="K45" i="43"/>
  <c r="J46" i="43"/>
  <c r="K46" i="43"/>
  <c r="J47" i="43"/>
  <c r="K47" i="43"/>
  <c r="J48" i="43"/>
  <c r="K48" i="43"/>
  <c r="J50" i="43"/>
  <c r="K50" i="43"/>
  <c r="K5" i="43"/>
  <c r="J5" i="43"/>
  <c r="B32" i="43"/>
  <c r="T32" i="43"/>
  <c r="C32" i="43"/>
  <c r="U32" i="43"/>
  <c r="D32" i="43"/>
  <c r="V32" i="43"/>
  <c r="E32" i="43"/>
  <c r="W32" i="43"/>
  <c r="F32" i="43"/>
  <c r="X32" i="43"/>
  <c r="B33" i="43"/>
  <c r="C33" i="43"/>
  <c r="U33" i="43"/>
  <c r="D33" i="43"/>
  <c r="V33" i="43"/>
  <c r="E33" i="43"/>
  <c r="W33" i="43"/>
  <c r="F33" i="43"/>
  <c r="X33" i="43"/>
  <c r="B34" i="43"/>
  <c r="T34" i="43"/>
  <c r="C34" i="43"/>
  <c r="U34" i="43"/>
  <c r="D34" i="43"/>
  <c r="V34" i="43"/>
  <c r="E34" i="43"/>
  <c r="W34" i="43"/>
  <c r="F34" i="43"/>
  <c r="X34" i="43"/>
  <c r="B35" i="43"/>
  <c r="C35" i="43"/>
  <c r="D35" i="43"/>
  <c r="E35" i="43"/>
  <c r="W35" i="43"/>
  <c r="F35" i="43"/>
  <c r="X35" i="43"/>
  <c r="B36" i="43"/>
  <c r="T36" i="43"/>
  <c r="C36" i="43"/>
  <c r="U36" i="43"/>
  <c r="D36" i="43"/>
  <c r="V36" i="43"/>
  <c r="E36" i="43"/>
  <c r="W36" i="43"/>
  <c r="F36" i="43"/>
  <c r="X36" i="43"/>
  <c r="B37" i="43"/>
  <c r="T37" i="43"/>
  <c r="C37" i="43"/>
  <c r="U37" i="43"/>
  <c r="D37" i="43"/>
  <c r="V37" i="43"/>
  <c r="E37" i="43"/>
  <c r="W37" i="43"/>
  <c r="F37" i="43"/>
  <c r="X37" i="43"/>
  <c r="B38" i="43"/>
  <c r="T38" i="43"/>
  <c r="C38" i="43"/>
  <c r="U38" i="43"/>
  <c r="D38" i="43"/>
  <c r="V38" i="43"/>
  <c r="E38" i="43"/>
  <c r="W38" i="43"/>
  <c r="F38" i="43"/>
  <c r="X38" i="43"/>
  <c r="B39" i="43"/>
  <c r="C39" i="43"/>
  <c r="U39" i="43"/>
  <c r="D39" i="43"/>
  <c r="E39" i="43"/>
  <c r="W39" i="43"/>
  <c r="F39" i="43"/>
  <c r="X39" i="43"/>
  <c r="B40" i="43"/>
  <c r="C40" i="43"/>
  <c r="U40" i="43"/>
  <c r="D40" i="43"/>
  <c r="V40" i="43"/>
  <c r="E40" i="43"/>
  <c r="W40" i="43"/>
  <c r="F40" i="43"/>
  <c r="X40" i="43"/>
  <c r="B41" i="43"/>
  <c r="T41" i="43"/>
  <c r="C41" i="43"/>
  <c r="U41" i="43"/>
  <c r="D41" i="43"/>
  <c r="V41" i="43"/>
  <c r="E41" i="43"/>
  <c r="W41" i="43"/>
  <c r="F41" i="43"/>
  <c r="G41" i="43"/>
  <c r="Y41" i="43"/>
  <c r="B42" i="43"/>
  <c r="T42" i="43"/>
  <c r="C42" i="43"/>
  <c r="U42" i="43"/>
  <c r="D42" i="43"/>
  <c r="V42" i="43"/>
  <c r="E42" i="43"/>
  <c r="W42" i="43"/>
  <c r="F42" i="43"/>
  <c r="X42" i="43"/>
  <c r="B43" i="43"/>
  <c r="C43" i="43"/>
  <c r="D43" i="43"/>
  <c r="E43" i="43"/>
  <c r="W43" i="43"/>
  <c r="F43" i="43"/>
  <c r="X43" i="43"/>
  <c r="B44" i="43"/>
  <c r="C44" i="43"/>
  <c r="U44" i="43"/>
  <c r="D44" i="43"/>
  <c r="E44" i="43"/>
  <c r="W44" i="43"/>
  <c r="F44" i="43"/>
  <c r="X44" i="43"/>
  <c r="B45" i="43"/>
  <c r="T45" i="43"/>
  <c r="C45" i="43"/>
  <c r="U45" i="43"/>
  <c r="D45" i="43"/>
  <c r="E45" i="43"/>
  <c r="W45" i="43"/>
  <c r="F45" i="43"/>
  <c r="X45" i="43"/>
  <c r="B46" i="43"/>
  <c r="C46" i="43"/>
  <c r="U46" i="43"/>
  <c r="D46" i="43"/>
  <c r="V46" i="43"/>
  <c r="E46" i="43"/>
  <c r="W46" i="43"/>
  <c r="F46" i="43"/>
  <c r="X46" i="43"/>
  <c r="B47" i="43"/>
  <c r="T47" i="43"/>
  <c r="C47" i="43"/>
  <c r="U47" i="43"/>
  <c r="D47" i="43"/>
  <c r="V47" i="43"/>
  <c r="E47" i="43"/>
  <c r="W47" i="43"/>
  <c r="F47" i="43"/>
  <c r="X47" i="43"/>
  <c r="B48" i="43"/>
  <c r="T48" i="43"/>
  <c r="C48" i="43"/>
  <c r="U48" i="43"/>
  <c r="D48" i="43"/>
  <c r="V48" i="43"/>
  <c r="E48" i="43"/>
  <c r="W48" i="43"/>
  <c r="F48" i="43"/>
  <c r="X48" i="43"/>
  <c r="T50" i="43"/>
  <c r="T51" i="43"/>
  <c r="C50" i="43"/>
  <c r="U50" i="43"/>
  <c r="V50" i="43"/>
  <c r="E50" i="43"/>
  <c r="W50" i="43"/>
  <c r="X50" i="43"/>
  <c r="B6" i="43"/>
  <c r="T6" i="43"/>
  <c r="C6" i="43"/>
  <c r="U6" i="43"/>
  <c r="D6" i="43"/>
  <c r="E6" i="43"/>
  <c r="W6" i="43"/>
  <c r="F6" i="43"/>
  <c r="X6" i="43"/>
  <c r="B7" i="43"/>
  <c r="C7" i="43"/>
  <c r="U7" i="43"/>
  <c r="D7" i="43"/>
  <c r="E7" i="43"/>
  <c r="W7" i="43"/>
  <c r="F7" i="43"/>
  <c r="X7" i="43"/>
  <c r="B8" i="43"/>
  <c r="T8" i="43"/>
  <c r="C8" i="43"/>
  <c r="U8" i="43"/>
  <c r="D8" i="43"/>
  <c r="V8" i="43"/>
  <c r="E8" i="43"/>
  <c r="W8" i="43"/>
  <c r="F8" i="43"/>
  <c r="X8" i="43"/>
  <c r="B9" i="43"/>
  <c r="T9" i="43"/>
  <c r="C9" i="43"/>
  <c r="U9" i="43"/>
  <c r="D9" i="43"/>
  <c r="E9" i="43"/>
  <c r="W9" i="43"/>
  <c r="F9" i="43"/>
  <c r="X9" i="43"/>
  <c r="B10" i="43"/>
  <c r="T10" i="43"/>
  <c r="C10" i="43"/>
  <c r="U10" i="43"/>
  <c r="D10" i="43"/>
  <c r="E10" i="43"/>
  <c r="W10" i="43"/>
  <c r="F10" i="43"/>
  <c r="X10" i="43"/>
  <c r="B11" i="43"/>
  <c r="C11" i="43"/>
  <c r="U11" i="43"/>
  <c r="D11" i="43"/>
  <c r="V11" i="43"/>
  <c r="E11" i="43"/>
  <c r="W11" i="43"/>
  <c r="F11" i="43"/>
  <c r="X11" i="43"/>
  <c r="B12" i="43"/>
  <c r="C12" i="43"/>
  <c r="D12" i="43"/>
  <c r="V12" i="43"/>
  <c r="E12" i="43"/>
  <c r="W12" i="43"/>
  <c r="F12" i="43"/>
  <c r="X12" i="43"/>
  <c r="B13" i="43"/>
  <c r="T13" i="43"/>
  <c r="C13" i="43"/>
  <c r="U13" i="43"/>
  <c r="D13" i="43"/>
  <c r="E13" i="43"/>
  <c r="W13" i="43"/>
  <c r="F13" i="43"/>
  <c r="X13" i="43"/>
  <c r="B14" i="43"/>
  <c r="T14" i="43"/>
  <c r="C14" i="43"/>
  <c r="U14" i="43"/>
  <c r="D14" i="43"/>
  <c r="V14" i="43"/>
  <c r="E14" i="43"/>
  <c r="W14" i="43"/>
  <c r="F14" i="43"/>
  <c r="X14" i="43"/>
  <c r="B15" i="43"/>
  <c r="T15" i="43"/>
  <c r="C15" i="43"/>
  <c r="U15" i="43"/>
  <c r="D15" i="43"/>
  <c r="V15" i="43"/>
  <c r="E15" i="43"/>
  <c r="W15" i="43"/>
  <c r="F15" i="43"/>
  <c r="X15" i="43"/>
  <c r="B16" i="43"/>
  <c r="T16" i="43"/>
  <c r="C16" i="43"/>
  <c r="U16" i="43"/>
  <c r="D16" i="43"/>
  <c r="V16" i="43"/>
  <c r="E16" i="43"/>
  <c r="W16" i="43"/>
  <c r="F16" i="43"/>
  <c r="X16" i="43"/>
  <c r="B17" i="43"/>
  <c r="T17" i="43"/>
  <c r="C17" i="43"/>
  <c r="U17" i="43"/>
  <c r="D17" i="43"/>
  <c r="V17" i="43"/>
  <c r="E17" i="43"/>
  <c r="W17" i="43"/>
  <c r="F17" i="43"/>
  <c r="X17" i="43"/>
  <c r="B18" i="43"/>
  <c r="T18" i="43"/>
  <c r="C18" i="43"/>
  <c r="U18" i="43"/>
  <c r="D18" i="43"/>
  <c r="E18" i="43"/>
  <c r="W18" i="43"/>
  <c r="F18" i="43"/>
  <c r="X18" i="43"/>
  <c r="B19" i="43"/>
  <c r="T19" i="43"/>
  <c r="C19" i="43"/>
  <c r="U19" i="43"/>
  <c r="D19" i="43"/>
  <c r="V19" i="43"/>
  <c r="E19" i="43"/>
  <c r="F19" i="43"/>
  <c r="X19" i="43"/>
  <c r="B20" i="43"/>
  <c r="C20" i="43"/>
  <c r="U20" i="43"/>
  <c r="D20" i="43"/>
  <c r="V20" i="43"/>
  <c r="E20" i="43"/>
  <c r="W20" i="43"/>
  <c r="F20" i="43"/>
  <c r="X20" i="43"/>
  <c r="B21" i="43"/>
  <c r="C21" i="43"/>
  <c r="U21" i="43"/>
  <c r="D21" i="43"/>
  <c r="V21" i="43"/>
  <c r="E21" i="43"/>
  <c r="W21" i="43"/>
  <c r="F21" i="43"/>
  <c r="X21" i="43"/>
  <c r="B22" i="43"/>
  <c r="T22" i="43"/>
  <c r="C22" i="43"/>
  <c r="U22" i="43"/>
  <c r="D22" i="43"/>
  <c r="V22" i="43"/>
  <c r="E22" i="43"/>
  <c r="W22" i="43"/>
  <c r="F22" i="43"/>
  <c r="X22" i="43"/>
  <c r="B23" i="43"/>
  <c r="C23" i="43"/>
  <c r="U23" i="43"/>
  <c r="D23" i="43"/>
  <c r="E23" i="43"/>
  <c r="W23" i="43"/>
  <c r="F23" i="43"/>
  <c r="X23" i="43"/>
  <c r="B24" i="43"/>
  <c r="C24" i="43"/>
  <c r="U24" i="43"/>
  <c r="D24" i="43"/>
  <c r="V24" i="43"/>
  <c r="E24" i="43"/>
  <c r="W24" i="43"/>
  <c r="F24" i="43"/>
  <c r="X24" i="43"/>
  <c r="B25" i="43"/>
  <c r="T25" i="43"/>
  <c r="C25" i="43"/>
  <c r="U25" i="43"/>
  <c r="D25" i="43"/>
  <c r="V25" i="43"/>
  <c r="E25" i="43"/>
  <c r="W25" i="43"/>
  <c r="F25" i="43"/>
  <c r="X25" i="43"/>
  <c r="B26" i="43"/>
  <c r="C26" i="43"/>
  <c r="U26" i="43"/>
  <c r="D26" i="43"/>
  <c r="E26" i="43"/>
  <c r="W26" i="43"/>
  <c r="F26" i="43"/>
  <c r="X26" i="43"/>
  <c r="B27" i="43"/>
  <c r="C27" i="43"/>
  <c r="U27" i="43"/>
  <c r="D27" i="43"/>
  <c r="V27" i="43"/>
  <c r="E27" i="43"/>
  <c r="W27" i="43"/>
  <c r="F27" i="43"/>
  <c r="X27" i="43"/>
  <c r="B28" i="43"/>
  <c r="C28" i="43"/>
  <c r="D28" i="43"/>
  <c r="V28" i="43"/>
  <c r="E28" i="43"/>
  <c r="W28" i="43"/>
  <c r="F28" i="43"/>
  <c r="X28" i="43"/>
  <c r="B29" i="43"/>
  <c r="T29" i="43"/>
  <c r="C29" i="43"/>
  <c r="U29" i="43"/>
  <c r="D29" i="43"/>
  <c r="V29" i="43"/>
  <c r="E29" i="43"/>
  <c r="W29" i="43"/>
  <c r="F29" i="43"/>
  <c r="X29" i="43"/>
  <c r="B30" i="43"/>
  <c r="C30" i="43"/>
  <c r="U30" i="43"/>
  <c r="D30" i="43"/>
  <c r="E30" i="43"/>
  <c r="W30" i="43"/>
  <c r="F30" i="43"/>
  <c r="X30" i="43"/>
  <c r="B31" i="43"/>
  <c r="T31" i="43"/>
  <c r="C31" i="43"/>
  <c r="U31" i="43"/>
  <c r="D31" i="43"/>
  <c r="V31" i="43"/>
  <c r="E31" i="43"/>
  <c r="W31" i="43"/>
  <c r="F31" i="43"/>
  <c r="X31" i="43"/>
  <c r="F5" i="43"/>
  <c r="X5" i="43"/>
  <c r="E5" i="43"/>
  <c r="W5" i="43"/>
  <c r="D5" i="43"/>
  <c r="C5" i="43"/>
  <c r="B5" i="43"/>
  <c r="T5" i="43"/>
  <c r="U45" i="44"/>
  <c r="T45" i="44"/>
  <c r="U43" i="44"/>
  <c r="T43" i="44"/>
  <c r="U42" i="44"/>
  <c r="T42" i="44"/>
  <c r="U41" i="44"/>
  <c r="T41" i="44"/>
  <c r="U40" i="44"/>
  <c r="T40" i="44"/>
  <c r="U39" i="44"/>
  <c r="T39" i="44"/>
  <c r="U38" i="44"/>
  <c r="T38" i="44"/>
  <c r="U37" i="44"/>
  <c r="T37" i="44"/>
  <c r="U36" i="44"/>
  <c r="T36" i="44"/>
  <c r="U35" i="44"/>
  <c r="T35" i="44"/>
  <c r="U34" i="44"/>
  <c r="T34" i="44"/>
  <c r="U33" i="44"/>
  <c r="T33" i="44"/>
  <c r="U32" i="44"/>
  <c r="T32" i="44"/>
  <c r="U31" i="44"/>
  <c r="T31" i="44"/>
  <c r="U30" i="44"/>
  <c r="T30" i="44"/>
  <c r="U29" i="44"/>
  <c r="T29" i="44"/>
  <c r="U28" i="44"/>
  <c r="T28" i="44"/>
  <c r="U27" i="44"/>
  <c r="T27" i="44"/>
  <c r="U26" i="44"/>
  <c r="T26" i="44"/>
  <c r="U25" i="44"/>
  <c r="T25" i="44"/>
  <c r="U24" i="44"/>
  <c r="T24" i="44"/>
  <c r="U23" i="44"/>
  <c r="T23" i="44"/>
  <c r="U22" i="44"/>
  <c r="T22" i="44"/>
  <c r="U21" i="44"/>
  <c r="T21" i="44"/>
  <c r="U20" i="44"/>
  <c r="T20" i="44"/>
  <c r="U19" i="44"/>
  <c r="T19" i="44"/>
  <c r="U18" i="44"/>
  <c r="T18" i="44"/>
  <c r="U17" i="44"/>
  <c r="T17" i="44"/>
  <c r="U16" i="44"/>
  <c r="T16" i="44"/>
  <c r="U15" i="44"/>
  <c r="T15" i="44"/>
  <c r="U14" i="44"/>
  <c r="T14" i="44"/>
  <c r="U13" i="44"/>
  <c r="T13" i="44"/>
  <c r="U12" i="44"/>
  <c r="T12" i="44"/>
  <c r="U11" i="44"/>
  <c r="T11" i="44"/>
  <c r="U10" i="44"/>
  <c r="T10" i="44"/>
  <c r="O11" i="44"/>
  <c r="P11" i="44"/>
  <c r="O12" i="44"/>
  <c r="P12" i="44"/>
  <c r="O13" i="44"/>
  <c r="P13" i="44"/>
  <c r="O14" i="44"/>
  <c r="P14" i="44"/>
  <c r="O15" i="44"/>
  <c r="P15" i="44"/>
  <c r="O16" i="44"/>
  <c r="P16" i="44"/>
  <c r="O17" i="44"/>
  <c r="P17" i="44"/>
  <c r="O18" i="44"/>
  <c r="P18" i="44"/>
  <c r="O19" i="44"/>
  <c r="P19" i="44"/>
  <c r="O20" i="44"/>
  <c r="P20" i="44"/>
  <c r="O21" i="44"/>
  <c r="P21" i="44"/>
  <c r="O22" i="44"/>
  <c r="P22" i="44"/>
  <c r="O23" i="44"/>
  <c r="P23" i="44"/>
  <c r="O24" i="44"/>
  <c r="P24" i="44"/>
  <c r="O25" i="44"/>
  <c r="P25" i="44"/>
  <c r="O26" i="44"/>
  <c r="P26" i="44"/>
  <c r="O27" i="44"/>
  <c r="P27" i="44"/>
  <c r="O28" i="44"/>
  <c r="P28" i="44"/>
  <c r="O29" i="44"/>
  <c r="P29" i="44"/>
  <c r="O30" i="44"/>
  <c r="P30" i="44"/>
  <c r="O31" i="44"/>
  <c r="P31" i="44"/>
  <c r="O32" i="44"/>
  <c r="P32" i="44"/>
  <c r="O33" i="44"/>
  <c r="P33" i="44"/>
  <c r="O34" i="44"/>
  <c r="P34" i="44"/>
  <c r="O35" i="44"/>
  <c r="P35" i="44"/>
  <c r="O36" i="44"/>
  <c r="P36" i="44"/>
  <c r="O37" i="44"/>
  <c r="P37" i="44"/>
  <c r="O38" i="44"/>
  <c r="P38" i="44"/>
  <c r="O39" i="44"/>
  <c r="P39" i="44"/>
  <c r="O40" i="44"/>
  <c r="P40" i="44"/>
  <c r="O41" i="44"/>
  <c r="P41" i="44"/>
  <c r="O42" i="44"/>
  <c r="P42" i="44"/>
  <c r="O43" i="44"/>
  <c r="P43" i="44"/>
  <c r="O45" i="44"/>
  <c r="P45" i="44"/>
  <c r="P10" i="44"/>
  <c r="O10" i="44"/>
  <c r="H14" i="44"/>
  <c r="R14" i="44"/>
  <c r="H15" i="44"/>
  <c r="R15" i="44"/>
  <c r="H16" i="44"/>
  <c r="R16" i="44"/>
  <c r="H17" i="44"/>
  <c r="R17" i="44"/>
  <c r="H18" i="44"/>
  <c r="R18" i="44"/>
  <c r="H19" i="44"/>
  <c r="R19" i="44"/>
  <c r="H20" i="44"/>
  <c r="R20" i="44"/>
  <c r="H21" i="44"/>
  <c r="R21" i="44"/>
  <c r="H22" i="44"/>
  <c r="R22" i="44"/>
  <c r="H23" i="44"/>
  <c r="R23" i="44"/>
  <c r="H24" i="44"/>
  <c r="R24" i="44"/>
  <c r="H25" i="44"/>
  <c r="R25" i="44"/>
  <c r="H26" i="44"/>
  <c r="R26" i="44"/>
  <c r="H27" i="44"/>
  <c r="R27" i="44"/>
  <c r="H28" i="44"/>
  <c r="R28" i="44"/>
  <c r="H29" i="44"/>
  <c r="R29" i="44"/>
  <c r="H30" i="44"/>
  <c r="R30" i="44"/>
  <c r="H31" i="44"/>
  <c r="R31" i="44"/>
  <c r="H32" i="44"/>
  <c r="R32" i="44"/>
  <c r="H33" i="44"/>
  <c r="R33" i="44"/>
  <c r="H34" i="44"/>
  <c r="R34" i="44"/>
  <c r="H35" i="44"/>
  <c r="R35" i="44"/>
  <c r="H36" i="44"/>
  <c r="R36" i="44"/>
  <c r="H37" i="44"/>
  <c r="R37" i="44"/>
  <c r="H38" i="44"/>
  <c r="R38" i="44"/>
  <c r="H39" i="44"/>
  <c r="R39" i="44"/>
  <c r="H40" i="44"/>
  <c r="R40" i="44"/>
  <c r="H41" i="44"/>
  <c r="R41" i="44"/>
  <c r="H42" i="44"/>
  <c r="R42" i="44"/>
  <c r="H43" i="44"/>
  <c r="R43" i="44"/>
  <c r="H45" i="44"/>
  <c r="R45" i="44"/>
  <c r="H11" i="44"/>
  <c r="R11" i="44"/>
  <c r="H12" i="44"/>
  <c r="H13" i="44"/>
  <c r="R13" i="44"/>
  <c r="H10" i="44"/>
  <c r="R10" i="44"/>
  <c r="G11" i="44"/>
  <c r="G12" i="44"/>
  <c r="M12" i="44"/>
  <c r="G13" i="44"/>
  <c r="M13" i="44"/>
  <c r="G14" i="44"/>
  <c r="M14" i="44"/>
  <c r="G15" i="44"/>
  <c r="M15" i="44"/>
  <c r="G16" i="44"/>
  <c r="M16" i="44"/>
  <c r="G17" i="44"/>
  <c r="M17" i="44"/>
  <c r="G18" i="44"/>
  <c r="M18" i="44"/>
  <c r="G19" i="44"/>
  <c r="M19" i="44"/>
  <c r="G20" i="44"/>
  <c r="M20" i="44"/>
  <c r="G21" i="44"/>
  <c r="M21" i="44"/>
  <c r="G22" i="44"/>
  <c r="M22" i="44"/>
  <c r="G23" i="44"/>
  <c r="M23" i="44"/>
  <c r="G24" i="44"/>
  <c r="M24" i="44"/>
  <c r="G25" i="44"/>
  <c r="M25" i="44"/>
  <c r="G26" i="44"/>
  <c r="M26" i="44"/>
  <c r="G27" i="44"/>
  <c r="M27" i="44"/>
  <c r="G28" i="44"/>
  <c r="M28" i="44"/>
  <c r="G29" i="44"/>
  <c r="M29" i="44"/>
  <c r="G30" i="44"/>
  <c r="M30" i="44"/>
  <c r="G31" i="44"/>
  <c r="M31" i="44"/>
  <c r="G32" i="44"/>
  <c r="M32" i="44"/>
  <c r="G33" i="44"/>
  <c r="M33" i="44"/>
  <c r="G34" i="44"/>
  <c r="M34" i="44"/>
  <c r="G35" i="44"/>
  <c r="M35" i="44"/>
  <c r="G36" i="44"/>
  <c r="M36" i="44"/>
  <c r="G37" i="44"/>
  <c r="M37" i="44"/>
  <c r="G38" i="44"/>
  <c r="M38" i="44"/>
  <c r="G39" i="44"/>
  <c r="M39" i="44"/>
  <c r="G40" i="44"/>
  <c r="M40" i="44"/>
  <c r="G41" i="44"/>
  <c r="M41" i="44"/>
  <c r="G42" i="44"/>
  <c r="M42" i="44"/>
  <c r="G43" i="44"/>
  <c r="M43" i="44"/>
  <c r="M45" i="44"/>
  <c r="G10" i="44"/>
  <c r="M10" i="44"/>
  <c r="AI16" i="45"/>
  <c r="AI17" i="45"/>
  <c r="AI18" i="45"/>
  <c r="AI19" i="45"/>
  <c r="AI20" i="45"/>
  <c r="AI21" i="45"/>
  <c r="AI22" i="45"/>
  <c r="AI23" i="45"/>
  <c r="AI24" i="45"/>
  <c r="AI25" i="45"/>
  <c r="AI26" i="45"/>
  <c r="AI27" i="45"/>
  <c r="AI28" i="45"/>
  <c r="AI29" i="45"/>
  <c r="AI30" i="45"/>
  <c r="AI31" i="45"/>
  <c r="AI32" i="45"/>
  <c r="AI33" i="45"/>
  <c r="AI34" i="45"/>
  <c r="AI35" i="45"/>
  <c r="AI36" i="45"/>
  <c r="AI37" i="45"/>
  <c r="AI38" i="45"/>
  <c r="AI39" i="45"/>
  <c r="AI40" i="45"/>
  <c r="AI41" i="45"/>
  <c r="AI42" i="45"/>
  <c r="AI43" i="45"/>
  <c r="AI44" i="45"/>
  <c r="AI15" i="45"/>
  <c r="AH16" i="45"/>
  <c r="AH17" i="45"/>
  <c r="AH18" i="45"/>
  <c r="AH19" i="45"/>
  <c r="AH20" i="45"/>
  <c r="AH21" i="45"/>
  <c r="AH22" i="45"/>
  <c r="AH23" i="45"/>
  <c r="AH24" i="45"/>
  <c r="AH25" i="45"/>
  <c r="AH26" i="45"/>
  <c r="AH27" i="45"/>
  <c r="AH28" i="45"/>
  <c r="AH29" i="45"/>
  <c r="AH30" i="45"/>
  <c r="AH31" i="45"/>
  <c r="AH32" i="45"/>
  <c r="AH33" i="45"/>
  <c r="AH34" i="45"/>
  <c r="AH35" i="45"/>
  <c r="AH36" i="45"/>
  <c r="AH37" i="45"/>
  <c r="AH38" i="45"/>
  <c r="AH39" i="45"/>
  <c r="AH40" i="45"/>
  <c r="AH41" i="45"/>
  <c r="AH42" i="45"/>
  <c r="AH43" i="45"/>
  <c r="AH44" i="45"/>
  <c r="AH15" i="45"/>
  <c r="AC16" i="45"/>
  <c r="AD16" i="45"/>
  <c r="AC17" i="45"/>
  <c r="AD17" i="45"/>
  <c r="AC18" i="45"/>
  <c r="AD18" i="45"/>
  <c r="AC19" i="45"/>
  <c r="AD19" i="45"/>
  <c r="AC20" i="45"/>
  <c r="AD20" i="45"/>
  <c r="AC21" i="45"/>
  <c r="AD21" i="45"/>
  <c r="AC22" i="45"/>
  <c r="AD22" i="45"/>
  <c r="AC23" i="45"/>
  <c r="AD23" i="45"/>
  <c r="AC24" i="45"/>
  <c r="AD24" i="45"/>
  <c r="AC25" i="45"/>
  <c r="AD25" i="45"/>
  <c r="AC26" i="45"/>
  <c r="AD26" i="45"/>
  <c r="AC27" i="45"/>
  <c r="AD27" i="45"/>
  <c r="AC28" i="45"/>
  <c r="AD28" i="45"/>
  <c r="AC29" i="45"/>
  <c r="AD29" i="45"/>
  <c r="AC30" i="45"/>
  <c r="AD30" i="45"/>
  <c r="AC31" i="45"/>
  <c r="AD31" i="45"/>
  <c r="AC32" i="45"/>
  <c r="AD32" i="45"/>
  <c r="AC33" i="45"/>
  <c r="AD33" i="45"/>
  <c r="AC34" i="45"/>
  <c r="AD34" i="45"/>
  <c r="AC35" i="45"/>
  <c r="AD35" i="45"/>
  <c r="AC36" i="45"/>
  <c r="AD36" i="45"/>
  <c r="AC37" i="45"/>
  <c r="AD37" i="45"/>
  <c r="AC38" i="45"/>
  <c r="AD38" i="45"/>
  <c r="AC39" i="45"/>
  <c r="AD39" i="45"/>
  <c r="AC40" i="45"/>
  <c r="AD40" i="45"/>
  <c r="AC41" i="45"/>
  <c r="AD41" i="45"/>
  <c r="AC42" i="45"/>
  <c r="AD42" i="45"/>
  <c r="AC43" i="45"/>
  <c r="AD43" i="45"/>
  <c r="AC44" i="45"/>
  <c r="AD44" i="45"/>
  <c r="AD15" i="45"/>
  <c r="AC15" i="45"/>
  <c r="N10" i="45"/>
  <c r="O10" i="45"/>
  <c r="N11" i="45"/>
  <c r="O11" i="45"/>
  <c r="N12" i="45"/>
  <c r="O12" i="45"/>
  <c r="N13" i="45"/>
  <c r="O13" i="45"/>
  <c r="N14" i="45"/>
  <c r="O14" i="45"/>
  <c r="N15" i="45"/>
  <c r="O15" i="45"/>
  <c r="N16" i="45"/>
  <c r="O16" i="45"/>
  <c r="N17" i="45"/>
  <c r="O17" i="45"/>
  <c r="N18" i="45"/>
  <c r="O18" i="45"/>
  <c r="N19" i="45"/>
  <c r="O19" i="45"/>
  <c r="N20" i="45"/>
  <c r="O20" i="45"/>
  <c r="N21" i="45"/>
  <c r="O21" i="45"/>
  <c r="N22" i="45"/>
  <c r="O22" i="45"/>
  <c r="N23" i="45"/>
  <c r="O23" i="45"/>
  <c r="N24" i="45"/>
  <c r="O24" i="45"/>
  <c r="N25" i="45"/>
  <c r="O25" i="45"/>
  <c r="N26" i="45"/>
  <c r="O26" i="45"/>
  <c r="N27" i="45"/>
  <c r="O27" i="45"/>
  <c r="N28" i="45"/>
  <c r="O28" i="45"/>
  <c r="N29" i="45"/>
  <c r="O29" i="45"/>
  <c r="N30" i="45"/>
  <c r="O30" i="45"/>
  <c r="N31" i="45"/>
  <c r="O31" i="45"/>
  <c r="N32" i="45"/>
  <c r="O32" i="45"/>
  <c r="N33" i="45"/>
  <c r="O33" i="45"/>
  <c r="N34" i="45"/>
  <c r="O34" i="45"/>
  <c r="N35" i="45"/>
  <c r="O35" i="45"/>
  <c r="N36" i="45"/>
  <c r="O36" i="45"/>
  <c r="N37" i="45"/>
  <c r="O37" i="45"/>
  <c r="N38" i="45"/>
  <c r="O38" i="45"/>
  <c r="N39" i="45"/>
  <c r="O39" i="45"/>
  <c r="N40" i="45"/>
  <c r="O40" i="45"/>
  <c r="N41" i="45"/>
  <c r="O41" i="45"/>
  <c r="N42" i="45"/>
  <c r="O42" i="45"/>
  <c r="N43" i="45"/>
  <c r="O43" i="45"/>
  <c r="N44" i="45"/>
  <c r="O44" i="45"/>
  <c r="O9" i="45"/>
  <c r="N9" i="45"/>
  <c r="I10" i="45"/>
  <c r="J10" i="45"/>
  <c r="I11" i="45"/>
  <c r="J11" i="45"/>
  <c r="I12" i="45"/>
  <c r="J12" i="45"/>
  <c r="I13" i="45"/>
  <c r="J13" i="45"/>
  <c r="I14" i="45"/>
  <c r="J14" i="45"/>
  <c r="I15" i="45"/>
  <c r="J15" i="45"/>
  <c r="I16" i="45"/>
  <c r="J16" i="45"/>
  <c r="I17" i="45"/>
  <c r="J17" i="45"/>
  <c r="I18" i="45"/>
  <c r="J18" i="45"/>
  <c r="I19" i="45"/>
  <c r="J19" i="45"/>
  <c r="I20" i="45"/>
  <c r="J20" i="45"/>
  <c r="I21" i="45"/>
  <c r="J21" i="45"/>
  <c r="I22" i="45"/>
  <c r="J22" i="45"/>
  <c r="I23" i="45"/>
  <c r="J23" i="45"/>
  <c r="I24" i="45"/>
  <c r="J24" i="45"/>
  <c r="I25" i="45"/>
  <c r="J25" i="45"/>
  <c r="I26" i="45"/>
  <c r="J26" i="45"/>
  <c r="I27" i="45"/>
  <c r="J27" i="45"/>
  <c r="I28" i="45"/>
  <c r="J28" i="45"/>
  <c r="I29" i="45"/>
  <c r="J29" i="45"/>
  <c r="I30" i="45"/>
  <c r="J30" i="45"/>
  <c r="I31" i="45"/>
  <c r="J31" i="45"/>
  <c r="I32" i="45"/>
  <c r="J32" i="45"/>
  <c r="I33" i="45"/>
  <c r="J33" i="45"/>
  <c r="I34" i="45"/>
  <c r="J34" i="45"/>
  <c r="I35" i="45"/>
  <c r="J35" i="45"/>
  <c r="I36" i="45"/>
  <c r="J36" i="45"/>
  <c r="I37" i="45"/>
  <c r="J37" i="45"/>
  <c r="I38" i="45"/>
  <c r="J38" i="45"/>
  <c r="I39" i="45"/>
  <c r="J39" i="45"/>
  <c r="I40" i="45"/>
  <c r="J40" i="45"/>
  <c r="I41" i="45"/>
  <c r="J41" i="45"/>
  <c r="I42" i="45"/>
  <c r="J42" i="45"/>
  <c r="I43" i="45"/>
  <c r="J43" i="45"/>
  <c r="I44" i="45"/>
  <c r="J44" i="45"/>
  <c r="J9" i="45"/>
  <c r="I9" i="45"/>
  <c r="E9" i="45"/>
  <c r="E10" i="45"/>
  <c r="E11" i="45"/>
  <c r="E12" i="45"/>
  <c r="E13" i="45"/>
  <c r="E14" i="45"/>
  <c r="E15" i="45"/>
  <c r="E16" i="45"/>
  <c r="E17" i="45"/>
  <c r="E18" i="45"/>
  <c r="E19" i="45"/>
  <c r="E20" i="45"/>
  <c r="E21" i="45"/>
  <c r="E22" i="45"/>
  <c r="E23" i="45"/>
  <c r="E24" i="45"/>
  <c r="E25" i="45"/>
  <c r="E26" i="45"/>
  <c r="E27" i="45"/>
  <c r="E28" i="45"/>
  <c r="E29" i="45"/>
  <c r="E30" i="45"/>
  <c r="E31" i="45"/>
  <c r="E32" i="45"/>
  <c r="E33" i="45"/>
  <c r="E34" i="45"/>
  <c r="E35" i="45"/>
  <c r="E36" i="45"/>
  <c r="E37" i="45"/>
  <c r="E38" i="45"/>
  <c r="E39" i="45"/>
  <c r="E40" i="45"/>
  <c r="E41" i="45"/>
  <c r="E42" i="45"/>
  <c r="E43" i="45"/>
  <c r="E44" i="45"/>
  <c r="E8" i="45"/>
  <c r="D9" i="45"/>
  <c r="D10" i="45"/>
  <c r="D11" i="45"/>
  <c r="D12" i="45"/>
  <c r="D13" i="45"/>
  <c r="D14" i="45"/>
  <c r="D15" i="45"/>
  <c r="D16" i="45"/>
  <c r="D17" i="45"/>
  <c r="D18" i="45"/>
  <c r="D19" i="45"/>
  <c r="D20" i="45"/>
  <c r="D21" i="45"/>
  <c r="D22" i="45"/>
  <c r="D23" i="45"/>
  <c r="D24" i="45"/>
  <c r="D25" i="45"/>
  <c r="D26" i="45"/>
  <c r="D27" i="45"/>
  <c r="D28" i="45"/>
  <c r="D29" i="45"/>
  <c r="D30" i="45"/>
  <c r="D31" i="45"/>
  <c r="D32" i="45"/>
  <c r="D33" i="45"/>
  <c r="D34" i="45"/>
  <c r="D35" i="45"/>
  <c r="D36" i="45"/>
  <c r="D37" i="45"/>
  <c r="D38" i="45"/>
  <c r="D39" i="45"/>
  <c r="D40" i="45"/>
  <c r="D41" i="45"/>
  <c r="D42" i="45"/>
  <c r="D43" i="45"/>
  <c r="D44" i="45"/>
  <c r="D8" i="45"/>
  <c r="AF9" i="45"/>
  <c r="V52" i="45"/>
  <c r="AF10" i="45"/>
  <c r="V53" i="45"/>
  <c r="AF11" i="45"/>
  <c r="V54" i="45"/>
  <c r="AF12" i="45"/>
  <c r="V55" i="45"/>
  <c r="AF13" i="45"/>
  <c r="V56" i="45"/>
  <c r="AF14" i="45"/>
  <c r="V57" i="45"/>
  <c r="AF15" i="45"/>
  <c r="V58" i="45"/>
  <c r="AF16" i="45"/>
  <c r="V59" i="45"/>
  <c r="AF17" i="45"/>
  <c r="V60" i="45"/>
  <c r="AF18" i="45"/>
  <c r="V61" i="45"/>
  <c r="AF19" i="45"/>
  <c r="V62" i="45"/>
  <c r="AF20" i="45"/>
  <c r="V63" i="45"/>
  <c r="AF21" i="45"/>
  <c r="V64" i="45"/>
  <c r="AF22" i="45"/>
  <c r="V65" i="45"/>
  <c r="AF23" i="45"/>
  <c r="V66" i="45"/>
  <c r="AF24" i="45"/>
  <c r="V67" i="45"/>
  <c r="AF25" i="45"/>
  <c r="V68" i="45"/>
  <c r="AF26" i="45"/>
  <c r="V69" i="45"/>
  <c r="AF27" i="45"/>
  <c r="V70" i="45"/>
  <c r="AF28" i="45"/>
  <c r="V71" i="45"/>
  <c r="AF29" i="45"/>
  <c r="V72" i="45"/>
  <c r="AF30" i="45"/>
  <c r="V73" i="45"/>
  <c r="AF31" i="45"/>
  <c r="V74" i="45"/>
  <c r="AF32" i="45"/>
  <c r="V75" i="45"/>
  <c r="AF33" i="45"/>
  <c r="V76" i="45"/>
  <c r="AF34" i="45"/>
  <c r="V77" i="45"/>
  <c r="AF35" i="45"/>
  <c r="V78" i="45"/>
  <c r="AF36" i="45"/>
  <c r="V79" i="45"/>
  <c r="AF37" i="45"/>
  <c r="V80" i="45"/>
  <c r="AF38" i="45"/>
  <c r="V81" i="45"/>
  <c r="AF39" i="45"/>
  <c r="V82" i="45"/>
  <c r="AF40" i="45"/>
  <c r="V83" i="45"/>
  <c r="AF41" i="45"/>
  <c r="AF42" i="45"/>
  <c r="V85" i="45"/>
  <c r="AF43" i="45"/>
  <c r="V86" i="45"/>
  <c r="AF44" i="45"/>
  <c r="AF8" i="45"/>
  <c r="V51" i="45"/>
  <c r="AA9" i="45"/>
  <c r="U52" i="45"/>
  <c r="AA10" i="45"/>
  <c r="U53" i="45"/>
  <c r="AA11" i="45"/>
  <c r="U54" i="45"/>
  <c r="AA12" i="45"/>
  <c r="U55" i="45"/>
  <c r="AA13" i="45"/>
  <c r="U56" i="45"/>
  <c r="AA14" i="45"/>
  <c r="U57" i="45"/>
  <c r="AA15" i="45"/>
  <c r="AA16" i="45"/>
  <c r="U59" i="45"/>
  <c r="AA17" i="45"/>
  <c r="U60" i="45"/>
  <c r="AA18" i="45"/>
  <c r="U61" i="45"/>
  <c r="AA19" i="45"/>
  <c r="U62" i="45"/>
  <c r="AA20" i="45"/>
  <c r="AA21" i="45"/>
  <c r="U64" i="45"/>
  <c r="AA22" i="45"/>
  <c r="U65" i="45"/>
  <c r="AA23" i="45"/>
  <c r="U66" i="45"/>
  <c r="AA24" i="45"/>
  <c r="U67" i="45"/>
  <c r="AA25" i="45"/>
  <c r="U68" i="45"/>
  <c r="AA26" i="45"/>
  <c r="U69" i="45"/>
  <c r="AA27" i="45"/>
  <c r="U70" i="45"/>
  <c r="AA28" i="45"/>
  <c r="U71" i="45"/>
  <c r="AA29" i="45"/>
  <c r="U72" i="45"/>
  <c r="AA30" i="45"/>
  <c r="U73" i="45"/>
  <c r="AA31" i="45"/>
  <c r="U74" i="45"/>
  <c r="AA32" i="45"/>
  <c r="U75" i="45"/>
  <c r="AA33" i="45"/>
  <c r="U76" i="45"/>
  <c r="AA34" i="45"/>
  <c r="AA35" i="45"/>
  <c r="AA36" i="45"/>
  <c r="U79" i="45"/>
  <c r="AA37" i="45"/>
  <c r="U80" i="45"/>
  <c r="AA38" i="45"/>
  <c r="U81" i="45"/>
  <c r="AA39" i="45"/>
  <c r="U82" i="45"/>
  <c r="AA40" i="45"/>
  <c r="U83" i="45"/>
  <c r="AA41" i="45"/>
  <c r="U84" i="45"/>
  <c r="AA42" i="45"/>
  <c r="U85" i="45"/>
  <c r="AA43" i="45"/>
  <c r="U86" i="45"/>
  <c r="AA44" i="45"/>
  <c r="U87" i="45"/>
  <c r="AA8" i="45"/>
  <c r="U51" i="45"/>
  <c r="H46" i="46"/>
  <c r="K43" i="46"/>
  <c r="J43" i="46"/>
  <c r="I43" i="46"/>
  <c r="H43" i="46"/>
  <c r="G43" i="46"/>
  <c r="E43" i="46"/>
  <c r="D43" i="46"/>
  <c r="C43" i="46"/>
  <c r="B43" i="46"/>
  <c r="K42" i="46"/>
  <c r="J42" i="46"/>
  <c r="I42" i="46"/>
  <c r="H42" i="46"/>
  <c r="G42" i="46"/>
  <c r="E42" i="46"/>
  <c r="D42" i="46"/>
  <c r="C42" i="46"/>
  <c r="B42" i="46"/>
  <c r="K41" i="46"/>
  <c r="J41" i="46"/>
  <c r="I41" i="46"/>
  <c r="H41" i="46"/>
  <c r="G41" i="46"/>
  <c r="E41" i="46"/>
  <c r="D41" i="46"/>
  <c r="C41" i="46"/>
  <c r="B41" i="46"/>
  <c r="K40" i="46"/>
  <c r="J40" i="46"/>
  <c r="I40" i="46"/>
  <c r="H40" i="46"/>
  <c r="G40" i="46"/>
  <c r="E40" i="46"/>
  <c r="D40" i="46"/>
  <c r="C40" i="46"/>
  <c r="B40" i="46"/>
  <c r="K14" i="47"/>
  <c r="J14" i="47"/>
  <c r="I14" i="47"/>
  <c r="H14" i="47"/>
  <c r="G14" i="47"/>
  <c r="F14" i="47"/>
  <c r="K8" i="47"/>
  <c r="J8" i="47"/>
  <c r="I8" i="47"/>
  <c r="H8" i="47"/>
  <c r="G8" i="47"/>
  <c r="F8" i="47"/>
  <c r="K15" i="47"/>
  <c r="J15" i="47"/>
  <c r="I15" i="47"/>
  <c r="H15" i="47"/>
  <c r="G15" i="47"/>
  <c r="F15" i="47"/>
  <c r="K16" i="47"/>
  <c r="J16" i="47"/>
  <c r="I16" i="47"/>
  <c r="H16" i="47"/>
  <c r="G16" i="47"/>
  <c r="F16" i="47"/>
  <c r="K10" i="47"/>
  <c r="J10" i="47"/>
  <c r="I10" i="47"/>
  <c r="H10" i="47"/>
  <c r="G10" i="47"/>
  <c r="F10" i="47"/>
  <c r="K18" i="47"/>
  <c r="J38" i="47"/>
  <c r="J18" i="47"/>
  <c r="I38" i="47"/>
  <c r="I18" i="47"/>
  <c r="H38" i="47"/>
  <c r="H18" i="47"/>
  <c r="G38" i="47"/>
  <c r="G18" i="47"/>
  <c r="F38" i="47"/>
  <c r="F18" i="47"/>
  <c r="K17" i="47"/>
  <c r="J17" i="47"/>
  <c r="I17" i="47"/>
  <c r="H17" i="47"/>
  <c r="G17" i="47"/>
  <c r="F17" i="47"/>
  <c r="K13" i="47"/>
  <c r="J13" i="47"/>
  <c r="I13" i="47"/>
  <c r="H13" i="47"/>
  <c r="G13" i="47"/>
  <c r="F13" i="47"/>
  <c r="K12" i="47"/>
  <c r="J12" i="47"/>
  <c r="I12" i="47"/>
  <c r="H12" i="47"/>
  <c r="G12" i="47"/>
  <c r="F12" i="47"/>
  <c r="K11" i="47"/>
  <c r="J11" i="47"/>
  <c r="I11" i="47"/>
  <c r="H11" i="47"/>
  <c r="G11" i="47"/>
  <c r="F11" i="47"/>
  <c r="C9" i="46"/>
  <c r="D9" i="46"/>
  <c r="E9" i="46"/>
  <c r="F9" i="46"/>
  <c r="G9" i="46"/>
  <c r="H9" i="46"/>
  <c r="I9" i="46"/>
  <c r="J9" i="46"/>
  <c r="K9" i="46"/>
  <c r="C10" i="46"/>
  <c r="D10" i="46"/>
  <c r="E10" i="46"/>
  <c r="F10" i="46"/>
  <c r="G10" i="46"/>
  <c r="H10" i="46"/>
  <c r="I10" i="46"/>
  <c r="J10" i="46"/>
  <c r="K10" i="46"/>
  <c r="C11" i="46"/>
  <c r="D11" i="46"/>
  <c r="E11" i="46"/>
  <c r="F11" i="46"/>
  <c r="G11" i="46"/>
  <c r="H11" i="46"/>
  <c r="I11" i="46"/>
  <c r="J11" i="46"/>
  <c r="K11" i="46"/>
  <c r="C12" i="46"/>
  <c r="D12" i="46"/>
  <c r="E12" i="46"/>
  <c r="F12" i="46"/>
  <c r="G12" i="46"/>
  <c r="H12" i="46"/>
  <c r="I12" i="46"/>
  <c r="J12" i="46"/>
  <c r="K12" i="46"/>
  <c r="C13" i="46"/>
  <c r="D13" i="46"/>
  <c r="E13" i="46"/>
  <c r="F13" i="46"/>
  <c r="G13" i="46"/>
  <c r="H13" i="46"/>
  <c r="I13" i="46"/>
  <c r="J13" i="46"/>
  <c r="K13" i="46"/>
  <c r="C14" i="46"/>
  <c r="D14" i="46"/>
  <c r="E14" i="46"/>
  <c r="F14" i="46"/>
  <c r="G14" i="46"/>
  <c r="H14" i="46"/>
  <c r="I14" i="46"/>
  <c r="J14" i="46"/>
  <c r="K14" i="46"/>
  <c r="C15" i="46"/>
  <c r="D15" i="46"/>
  <c r="E15" i="46"/>
  <c r="F15" i="46"/>
  <c r="G15" i="46"/>
  <c r="H15" i="46"/>
  <c r="I15" i="46"/>
  <c r="J15" i="46"/>
  <c r="K15" i="46"/>
  <c r="C16" i="46"/>
  <c r="D16" i="46"/>
  <c r="E16" i="46"/>
  <c r="F16" i="46"/>
  <c r="G16" i="46"/>
  <c r="H16" i="46"/>
  <c r="I16" i="46"/>
  <c r="J16" i="46"/>
  <c r="K16" i="46"/>
  <c r="C17" i="46"/>
  <c r="D17" i="46"/>
  <c r="E17" i="46"/>
  <c r="F17" i="46"/>
  <c r="G17" i="46"/>
  <c r="H17" i="46"/>
  <c r="I17" i="46"/>
  <c r="J17" i="46"/>
  <c r="K17" i="46"/>
  <c r="C18" i="46"/>
  <c r="D18" i="46"/>
  <c r="E18" i="46"/>
  <c r="F18" i="46"/>
  <c r="G18" i="46"/>
  <c r="H18" i="46"/>
  <c r="I18" i="46"/>
  <c r="J18" i="46"/>
  <c r="K18" i="46"/>
  <c r="C19" i="46"/>
  <c r="D19" i="46"/>
  <c r="E19" i="46"/>
  <c r="F19" i="46"/>
  <c r="G19" i="46"/>
  <c r="H19" i="46"/>
  <c r="I19" i="46"/>
  <c r="J19" i="46"/>
  <c r="K19" i="46"/>
  <c r="C20" i="46"/>
  <c r="D20" i="46"/>
  <c r="E20" i="46"/>
  <c r="F20" i="46"/>
  <c r="G20" i="46"/>
  <c r="H20" i="46"/>
  <c r="I20" i="46"/>
  <c r="J20" i="46"/>
  <c r="K20" i="46"/>
  <c r="C21" i="46"/>
  <c r="D21" i="46"/>
  <c r="E21" i="46"/>
  <c r="F21" i="46"/>
  <c r="G21" i="46"/>
  <c r="H21" i="46"/>
  <c r="I21" i="46"/>
  <c r="J21" i="46"/>
  <c r="K21" i="46"/>
  <c r="C22" i="46"/>
  <c r="D22" i="46"/>
  <c r="E22" i="46"/>
  <c r="F22" i="46"/>
  <c r="G22" i="46"/>
  <c r="H22" i="46"/>
  <c r="I22" i="46"/>
  <c r="J22" i="46"/>
  <c r="K22" i="46"/>
  <c r="C23" i="46"/>
  <c r="D23" i="46"/>
  <c r="E23" i="46"/>
  <c r="F23" i="46"/>
  <c r="G23" i="46"/>
  <c r="H23" i="46"/>
  <c r="I23" i="46"/>
  <c r="J23" i="46"/>
  <c r="K23" i="46"/>
  <c r="C24" i="46"/>
  <c r="D24" i="46"/>
  <c r="E24" i="46"/>
  <c r="F24" i="46"/>
  <c r="G24" i="46"/>
  <c r="H24" i="46"/>
  <c r="I24" i="46"/>
  <c r="J24" i="46"/>
  <c r="K24" i="46"/>
  <c r="C25" i="46"/>
  <c r="D25" i="46"/>
  <c r="E25" i="46"/>
  <c r="F25" i="46"/>
  <c r="G25" i="46"/>
  <c r="H25" i="46"/>
  <c r="I25" i="46"/>
  <c r="J25" i="46"/>
  <c r="K25" i="46"/>
  <c r="C26" i="46"/>
  <c r="D26" i="46"/>
  <c r="E26" i="46"/>
  <c r="F26" i="46"/>
  <c r="G26" i="46"/>
  <c r="H26" i="46"/>
  <c r="I26" i="46"/>
  <c r="J26" i="46"/>
  <c r="K26" i="46"/>
  <c r="C27" i="46"/>
  <c r="D27" i="46"/>
  <c r="E27" i="46"/>
  <c r="F27" i="46"/>
  <c r="G27" i="46"/>
  <c r="H27" i="46"/>
  <c r="I27" i="46"/>
  <c r="J27" i="46"/>
  <c r="K27" i="46"/>
  <c r="C28" i="46"/>
  <c r="D28" i="46"/>
  <c r="E28" i="46"/>
  <c r="F28" i="46"/>
  <c r="G28" i="46"/>
  <c r="H28" i="46"/>
  <c r="I28" i="46"/>
  <c r="J28" i="46"/>
  <c r="K28" i="46"/>
  <c r="C29" i="46"/>
  <c r="D29" i="46"/>
  <c r="E29" i="46"/>
  <c r="G29" i="46"/>
  <c r="H29" i="46"/>
  <c r="I29" i="46"/>
  <c r="J29" i="46"/>
  <c r="K29" i="46"/>
  <c r="C30" i="46"/>
  <c r="D30" i="46"/>
  <c r="E30" i="46"/>
  <c r="G30" i="46"/>
  <c r="H30" i="46"/>
  <c r="I30" i="46"/>
  <c r="J30" i="46"/>
  <c r="K30" i="46"/>
  <c r="C31" i="46"/>
  <c r="D31" i="46"/>
  <c r="E31" i="46"/>
  <c r="G31" i="46"/>
  <c r="H31" i="46"/>
  <c r="I31" i="46"/>
  <c r="J31" i="46"/>
  <c r="K31" i="46"/>
  <c r="C32" i="46"/>
  <c r="D32" i="46"/>
  <c r="E32" i="46"/>
  <c r="G32" i="46"/>
  <c r="H32" i="46"/>
  <c r="I32" i="46"/>
  <c r="J32" i="46"/>
  <c r="K32" i="46"/>
  <c r="C33" i="46"/>
  <c r="D33" i="46"/>
  <c r="E33" i="46"/>
  <c r="G33" i="46"/>
  <c r="H33" i="46"/>
  <c r="I33" i="46"/>
  <c r="J33" i="46"/>
  <c r="K33" i="46"/>
  <c r="C34" i="46"/>
  <c r="D34" i="46"/>
  <c r="E34" i="46"/>
  <c r="G34" i="46"/>
  <c r="H34" i="46"/>
  <c r="I34" i="46"/>
  <c r="J34" i="46"/>
  <c r="K34" i="46"/>
  <c r="C35" i="46"/>
  <c r="D35" i="46"/>
  <c r="E35" i="46"/>
  <c r="G35" i="46"/>
  <c r="H35" i="46"/>
  <c r="I35" i="46"/>
  <c r="J35" i="46"/>
  <c r="K35" i="46"/>
  <c r="C36" i="46"/>
  <c r="D36" i="46"/>
  <c r="E36" i="46"/>
  <c r="G36" i="46"/>
  <c r="H36" i="46"/>
  <c r="I36" i="46"/>
  <c r="J36" i="46"/>
  <c r="K36" i="46"/>
  <c r="C37" i="46"/>
  <c r="D37" i="46"/>
  <c r="E37" i="46"/>
  <c r="G37" i="46"/>
  <c r="H37" i="46"/>
  <c r="I37" i="46"/>
  <c r="J37" i="46"/>
  <c r="K37" i="46"/>
  <c r="C38" i="46"/>
  <c r="D38" i="46"/>
  <c r="E38" i="46"/>
  <c r="G38" i="46"/>
  <c r="H38" i="46"/>
  <c r="I38" i="46"/>
  <c r="J38" i="46"/>
  <c r="K38" i="46"/>
  <c r="C39" i="46"/>
  <c r="D39" i="46"/>
  <c r="E39" i="46"/>
  <c r="G39" i="46"/>
  <c r="H39" i="46"/>
  <c r="I39" i="46"/>
  <c r="J39" i="46"/>
  <c r="K39" i="46"/>
  <c r="B10" i="46"/>
  <c r="B11" i="46"/>
  <c r="B12" i="46"/>
  <c r="B13" i="46"/>
  <c r="B14" i="46"/>
  <c r="B15" i="46"/>
  <c r="B16" i="46"/>
  <c r="B17" i="46"/>
  <c r="B18" i="46"/>
  <c r="B19" i="46"/>
  <c r="B20" i="46"/>
  <c r="B21" i="46"/>
  <c r="B22" i="46"/>
  <c r="B23" i="46"/>
  <c r="B24" i="46"/>
  <c r="B25" i="46"/>
  <c r="B26" i="46"/>
  <c r="B27" i="46"/>
  <c r="B28" i="46"/>
  <c r="B29" i="46"/>
  <c r="B30" i="46"/>
  <c r="B31" i="46"/>
  <c r="B32" i="46"/>
  <c r="B33" i="46"/>
  <c r="B34" i="46"/>
  <c r="B35" i="46"/>
  <c r="B36" i="46"/>
  <c r="B37" i="46"/>
  <c r="B38" i="46"/>
  <c r="B39" i="46"/>
  <c r="B9" i="46"/>
  <c r="V84" i="45"/>
  <c r="T55" i="45"/>
  <c r="T58" i="45"/>
  <c r="T62" i="45"/>
  <c r="T63" i="45"/>
  <c r="T67" i="45"/>
  <c r="T70" i="45"/>
  <c r="T71" i="45"/>
  <c r="T75" i="45"/>
  <c r="T79" i="45"/>
  <c r="Q9" i="45"/>
  <c r="R52" i="45"/>
  <c r="Q10" i="45"/>
  <c r="R53" i="45"/>
  <c r="Q11" i="45"/>
  <c r="R54" i="45"/>
  <c r="Q12" i="45"/>
  <c r="R55" i="45"/>
  <c r="Q13" i="45"/>
  <c r="R56" i="45"/>
  <c r="Q14" i="45"/>
  <c r="R57" i="45"/>
  <c r="Q15" i="45"/>
  <c r="R58" i="45"/>
  <c r="Q16" i="45"/>
  <c r="R59" i="45"/>
  <c r="Q17" i="45"/>
  <c r="R60" i="45"/>
  <c r="Q18" i="45"/>
  <c r="R61" i="45"/>
  <c r="Q19" i="45"/>
  <c r="R62" i="45"/>
  <c r="Q20" i="45"/>
  <c r="R63" i="45"/>
  <c r="Q21" i="45"/>
  <c r="R64" i="45"/>
  <c r="Q22" i="45"/>
  <c r="R65" i="45"/>
  <c r="Q23" i="45"/>
  <c r="R66" i="45"/>
  <c r="Q24" i="45"/>
  <c r="R67" i="45"/>
  <c r="Q25" i="45"/>
  <c r="R68" i="45"/>
  <c r="Q26" i="45"/>
  <c r="R69" i="45"/>
  <c r="Q27" i="45"/>
  <c r="R70" i="45"/>
  <c r="Q28" i="45"/>
  <c r="R71" i="45"/>
  <c r="Q29" i="45"/>
  <c r="R72" i="45"/>
  <c r="Q30" i="45"/>
  <c r="R73" i="45"/>
  <c r="Q31" i="45"/>
  <c r="R74" i="45"/>
  <c r="Q32" i="45"/>
  <c r="R75" i="45"/>
  <c r="Q33" i="45"/>
  <c r="R76" i="45"/>
  <c r="Q34" i="45"/>
  <c r="R77" i="45"/>
  <c r="Q35" i="45"/>
  <c r="R78" i="45"/>
  <c r="Q36" i="45"/>
  <c r="R79" i="45"/>
  <c r="Q37" i="45"/>
  <c r="R80" i="45"/>
  <c r="Q38" i="45"/>
  <c r="R81" i="45"/>
  <c r="Q39" i="45"/>
  <c r="R82" i="45"/>
  <c r="Q40" i="45"/>
  <c r="R83" i="45"/>
  <c r="Q41" i="45"/>
  <c r="R84" i="45"/>
  <c r="Q42" i="45"/>
  <c r="R85" i="45"/>
  <c r="Q43" i="45"/>
  <c r="R86" i="45"/>
  <c r="Q44" i="45"/>
  <c r="Q8" i="45"/>
  <c r="R51" i="45"/>
  <c r="L9" i="45"/>
  <c r="Q52" i="45"/>
  <c r="L10" i="45"/>
  <c r="Q53" i="45"/>
  <c r="L11" i="45"/>
  <c r="Q54" i="45"/>
  <c r="L12" i="45"/>
  <c r="Q55" i="45"/>
  <c r="L13" i="45"/>
  <c r="Q56" i="45"/>
  <c r="L14" i="45"/>
  <c r="Q57" i="45"/>
  <c r="L15" i="45"/>
  <c r="Q58" i="45"/>
  <c r="L16" i="45"/>
  <c r="Q59" i="45"/>
  <c r="L17" i="45"/>
  <c r="Q60" i="45"/>
  <c r="L18" i="45"/>
  <c r="Q61" i="45"/>
  <c r="L19" i="45"/>
  <c r="Q62" i="45"/>
  <c r="L20" i="45"/>
  <c r="Q63" i="45"/>
  <c r="L21" i="45"/>
  <c r="Q64" i="45"/>
  <c r="L22" i="45"/>
  <c r="Q65" i="45"/>
  <c r="L23" i="45"/>
  <c r="Q66" i="45"/>
  <c r="L24" i="45"/>
  <c r="Q67" i="45"/>
  <c r="L25" i="45"/>
  <c r="Q68" i="45"/>
  <c r="L26" i="45"/>
  <c r="Q69" i="45"/>
  <c r="L27" i="45"/>
  <c r="Q70" i="45"/>
  <c r="L28" i="45"/>
  <c r="Q71" i="45"/>
  <c r="L29" i="45"/>
  <c r="Q72" i="45"/>
  <c r="L30" i="45"/>
  <c r="Q73" i="45"/>
  <c r="L31" i="45"/>
  <c r="Q74" i="45"/>
  <c r="L32" i="45"/>
  <c r="Q75" i="45"/>
  <c r="L33" i="45"/>
  <c r="Q76" i="45"/>
  <c r="L34" i="45"/>
  <c r="Q77" i="45"/>
  <c r="L35" i="45"/>
  <c r="Q78" i="45"/>
  <c r="L36" i="45"/>
  <c r="Q79" i="45"/>
  <c r="L37" i="45"/>
  <c r="Q80" i="45"/>
  <c r="L38" i="45"/>
  <c r="Q81" i="45"/>
  <c r="L39" i="45"/>
  <c r="Q82" i="45"/>
  <c r="L40" i="45"/>
  <c r="Q83" i="45"/>
  <c r="L41" i="45"/>
  <c r="Q84" i="45"/>
  <c r="L42" i="45"/>
  <c r="Q85" i="45"/>
  <c r="L43" i="45"/>
  <c r="Q86" i="45"/>
  <c r="L44" i="45"/>
  <c r="L8" i="45"/>
  <c r="Q51" i="45"/>
  <c r="G9" i="45"/>
  <c r="G10" i="45"/>
  <c r="P53" i="45"/>
  <c r="G11" i="45"/>
  <c r="P54" i="45"/>
  <c r="G12" i="45"/>
  <c r="P55" i="45"/>
  <c r="G13" i="45"/>
  <c r="P56" i="45"/>
  <c r="G14" i="45"/>
  <c r="P57" i="45"/>
  <c r="G15" i="45"/>
  <c r="P58" i="45"/>
  <c r="G16" i="45"/>
  <c r="P59" i="45"/>
  <c r="G17" i="45"/>
  <c r="P60" i="45"/>
  <c r="G18" i="45"/>
  <c r="P61" i="45"/>
  <c r="G19" i="45"/>
  <c r="P62" i="45"/>
  <c r="G20" i="45"/>
  <c r="P63" i="45"/>
  <c r="G21" i="45"/>
  <c r="P64" i="45"/>
  <c r="G22" i="45"/>
  <c r="P65" i="45"/>
  <c r="G23" i="45"/>
  <c r="P66" i="45"/>
  <c r="G24" i="45"/>
  <c r="P67" i="45"/>
  <c r="G25" i="45"/>
  <c r="P68" i="45"/>
  <c r="G26" i="45"/>
  <c r="P69" i="45"/>
  <c r="G27" i="45"/>
  <c r="P70" i="45"/>
  <c r="G28" i="45"/>
  <c r="P71" i="45"/>
  <c r="G29" i="45"/>
  <c r="P72" i="45"/>
  <c r="G30" i="45"/>
  <c r="P73" i="45"/>
  <c r="G31" i="45"/>
  <c r="P74" i="45"/>
  <c r="G32" i="45"/>
  <c r="P75" i="45"/>
  <c r="G33" i="45"/>
  <c r="P76" i="45"/>
  <c r="G34" i="45"/>
  <c r="P77" i="45"/>
  <c r="G35" i="45"/>
  <c r="P78" i="45"/>
  <c r="G36" i="45"/>
  <c r="P79" i="45"/>
  <c r="G37" i="45"/>
  <c r="P80" i="45"/>
  <c r="G38" i="45"/>
  <c r="P81" i="45"/>
  <c r="G39" i="45"/>
  <c r="P82" i="45"/>
  <c r="G40" i="45"/>
  <c r="P83" i="45"/>
  <c r="G41" i="45"/>
  <c r="P84" i="45"/>
  <c r="G42" i="45"/>
  <c r="P85" i="45"/>
  <c r="G43" i="45"/>
  <c r="P86" i="45"/>
  <c r="G44" i="45"/>
  <c r="G8" i="45"/>
  <c r="P51" i="45"/>
  <c r="B9" i="45"/>
  <c r="O52" i="45"/>
  <c r="B10" i="45"/>
  <c r="O53" i="45"/>
  <c r="B11" i="45"/>
  <c r="O54" i="45"/>
  <c r="B12" i="45"/>
  <c r="O55" i="45"/>
  <c r="B13" i="45"/>
  <c r="O56" i="45"/>
  <c r="B14" i="45"/>
  <c r="O57" i="45"/>
  <c r="B15" i="45"/>
  <c r="O58" i="45"/>
  <c r="B16" i="45"/>
  <c r="O59" i="45"/>
  <c r="B17" i="45"/>
  <c r="O60" i="45"/>
  <c r="B18" i="45"/>
  <c r="O61" i="45"/>
  <c r="B19" i="45"/>
  <c r="O62" i="45"/>
  <c r="B20" i="45"/>
  <c r="O63" i="45"/>
  <c r="B21" i="45"/>
  <c r="O64" i="45"/>
  <c r="B22" i="45"/>
  <c r="O65" i="45"/>
  <c r="B23" i="45"/>
  <c r="O66" i="45"/>
  <c r="B24" i="45"/>
  <c r="O67" i="45"/>
  <c r="B25" i="45"/>
  <c r="O68" i="45"/>
  <c r="B26" i="45"/>
  <c r="O69" i="45"/>
  <c r="B27" i="45"/>
  <c r="O70" i="45"/>
  <c r="B28" i="45"/>
  <c r="O71" i="45"/>
  <c r="B29" i="45"/>
  <c r="O72" i="45"/>
  <c r="B30" i="45"/>
  <c r="O73" i="45"/>
  <c r="B31" i="45"/>
  <c r="O74" i="45"/>
  <c r="B32" i="45"/>
  <c r="O75" i="45"/>
  <c r="B33" i="45"/>
  <c r="O76" i="45"/>
  <c r="B34" i="45"/>
  <c r="O77" i="45"/>
  <c r="B35" i="45"/>
  <c r="O78" i="45"/>
  <c r="B36" i="45"/>
  <c r="O79" i="45"/>
  <c r="B37" i="45"/>
  <c r="O80" i="45"/>
  <c r="B38" i="45"/>
  <c r="O81" i="45"/>
  <c r="B39" i="45"/>
  <c r="O82" i="45"/>
  <c r="B40" i="45"/>
  <c r="O83" i="45"/>
  <c r="B41" i="45"/>
  <c r="O84" i="45"/>
  <c r="B42" i="45"/>
  <c r="O85" i="45"/>
  <c r="B43" i="45"/>
  <c r="O86" i="45"/>
  <c r="B44" i="45"/>
  <c r="B8" i="45"/>
  <c r="O51" i="45"/>
  <c r="A9" i="46"/>
  <c r="A10" i="46"/>
  <c r="A11" i="46"/>
  <c r="A12" i="46"/>
  <c r="A13" i="46"/>
  <c r="A14" i="46"/>
  <c r="A15" i="46"/>
  <c r="A16" i="46"/>
  <c r="A17" i="46"/>
  <c r="A18" i="46"/>
  <c r="A19" i="46"/>
  <c r="A20" i="46"/>
  <c r="A21" i="46"/>
  <c r="A22" i="46"/>
  <c r="A23" i="46"/>
  <c r="A24" i="46"/>
  <c r="A25" i="46"/>
  <c r="A26" i="46"/>
  <c r="A27" i="46"/>
  <c r="A28" i="46"/>
  <c r="A29" i="46"/>
  <c r="A30" i="46"/>
  <c r="A31" i="46"/>
  <c r="S51" i="45"/>
  <c r="S52" i="45"/>
  <c r="T52" i="45"/>
  <c r="S53" i="45"/>
  <c r="T53" i="45"/>
  <c r="S54" i="45"/>
  <c r="T54" i="45"/>
  <c r="S55" i="45"/>
  <c r="S56" i="45"/>
  <c r="T56" i="45"/>
  <c r="S57" i="45"/>
  <c r="T57" i="45"/>
  <c r="S58" i="45"/>
  <c r="S59" i="45"/>
  <c r="T59" i="45"/>
  <c r="S60" i="45"/>
  <c r="T60" i="45"/>
  <c r="T61" i="45"/>
  <c r="U63" i="45"/>
  <c r="S64" i="45"/>
  <c r="T64" i="45"/>
  <c r="T65" i="45"/>
  <c r="T66" i="45"/>
  <c r="S68" i="45"/>
  <c r="T68" i="45"/>
  <c r="T69" i="45"/>
  <c r="S72" i="45"/>
  <c r="T72" i="45"/>
  <c r="T73" i="45"/>
  <c r="T74" i="45"/>
  <c r="S76" i="45"/>
  <c r="T76" i="45"/>
  <c r="T77" i="45"/>
  <c r="T78" i="45"/>
  <c r="S79" i="45"/>
  <c r="S80" i="45"/>
  <c r="T80" i="45"/>
  <c r="T81" i="45"/>
  <c r="S83" i="45"/>
  <c r="S84" i="45"/>
  <c r="C46" i="44"/>
  <c r="D46" i="44"/>
  <c r="E46" i="44"/>
  <c r="F46" i="44"/>
  <c r="G29" i="43"/>
  <c r="Y29" i="43"/>
  <c r="U5" i="43"/>
  <c r="V7" i="43"/>
  <c r="V9" i="43"/>
  <c r="U12" i="43"/>
  <c r="V13" i="43"/>
  <c r="W19" i="43"/>
  <c r="V23" i="43"/>
  <c r="U28" i="43"/>
  <c r="T30" i="43"/>
  <c r="U35" i="43"/>
  <c r="V35" i="43"/>
  <c r="V39" i="43"/>
  <c r="U43" i="43"/>
  <c r="V44" i="43"/>
  <c r="P7" i="42"/>
  <c r="W98" i="42"/>
  <c r="P8" i="42"/>
  <c r="P9" i="42"/>
  <c r="W100" i="42"/>
  <c r="P10" i="42"/>
  <c r="W101" i="42"/>
  <c r="P11" i="42"/>
  <c r="W102" i="42"/>
  <c r="P12" i="42"/>
  <c r="W103" i="42"/>
  <c r="P13" i="42"/>
  <c r="W104" i="42"/>
  <c r="P14" i="42"/>
  <c r="W105" i="42"/>
  <c r="P15" i="42"/>
  <c r="W106" i="42"/>
  <c r="P16" i="42"/>
  <c r="P17" i="42"/>
  <c r="W108" i="42"/>
  <c r="P18" i="42"/>
  <c r="W109" i="42"/>
  <c r="P19" i="42"/>
  <c r="W110" i="42"/>
  <c r="V19" i="42"/>
  <c r="P20" i="42"/>
  <c r="W111" i="42"/>
  <c r="V20" i="42"/>
  <c r="P21" i="42"/>
  <c r="W112" i="42"/>
  <c r="V21" i="42"/>
  <c r="P22" i="42"/>
  <c r="W113" i="42"/>
  <c r="V22" i="42"/>
  <c r="P23" i="42"/>
  <c r="W114" i="42"/>
  <c r="V23" i="42"/>
  <c r="P24" i="42"/>
  <c r="W115" i="42"/>
  <c r="P25" i="42"/>
  <c r="W116" i="42"/>
  <c r="P26" i="42"/>
  <c r="P27" i="42"/>
  <c r="W118" i="42"/>
  <c r="P28" i="42"/>
  <c r="P29" i="42"/>
  <c r="W120" i="42"/>
  <c r="P30" i="42"/>
  <c r="P31" i="42"/>
  <c r="W122" i="42"/>
  <c r="P32" i="42"/>
  <c r="W123" i="42"/>
  <c r="P33" i="42"/>
  <c r="W124" i="42"/>
  <c r="P34" i="42"/>
  <c r="W126" i="42"/>
  <c r="C38" i="42"/>
  <c r="D38" i="42"/>
  <c r="E38" i="42"/>
  <c r="F38" i="42"/>
  <c r="G38" i="42"/>
  <c r="H38" i="42"/>
  <c r="I38" i="42"/>
  <c r="J38" i="42"/>
  <c r="K38" i="42"/>
  <c r="L38" i="42"/>
  <c r="M38" i="42"/>
  <c r="N38" i="42"/>
  <c r="W38" i="42"/>
  <c r="X38" i="42"/>
  <c r="Y38" i="42"/>
  <c r="Z38" i="42"/>
  <c r="AA38" i="42"/>
  <c r="AB38" i="42"/>
  <c r="AC38" i="42"/>
  <c r="AD38" i="42"/>
  <c r="W85" i="42"/>
  <c r="X85" i="42"/>
  <c r="Y85" i="42"/>
  <c r="Z85" i="42"/>
  <c r="AA85" i="42"/>
  <c r="AB85" i="42"/>
  <c r="AC85" i="42"/>
  <c r="AD85" i="42"/>
  <c r="AD92" i="42"/>
  <c r="AD93" i="42"/>
  <c r="AD94" i="42"/>
  <c r="AD95" i="42"/>
  <c r="AD96" i="42"/>
  <c r="AD97" i="42"/>
  <c r="AD98" i="42"/>
  <c r="AD99" i="42"/>
  <c r="AD100" i="42"/>
  <c r="AD101" i="42"/>
  <c r="AD102" i="42"/>
  <c r="AD103" i="42"/>
  <c r="AD104" i="42"/>
  <c r="AD105" i="42"/>
  <c r="AD106" i="42"/>
  <c r="AD107" i="42"/>
  <c r="AD108" i="42"/>
  <c r="AD109" i="42"/>
  <c r="AD110" i="42"/>
  <c r="AD111" i="42"/>
  <c r="AD112" i="42"/>
  <c r="AD113" i="42"/>
  <c r="AD114" i="42"/>
  <c r="AD115" i="42"/>
  <c r="AD116" i="42"/>
  <c r="AD117" i="42"/>
  <c r="AD118" i="42"/>
  <c r="AD119" i="42"/>
  <c r="AD120" i="42"/>
  <c r="AD121" i="42"/>
  <c r="AD122" i="42"/>
  <c r="AD123" i="42"/>
  <c r="AD124" i="42"/>
  <c r="AD125" i="42"/>
  <c r="AD126" i="42"/>
  <c r="AE93" i="42"/>
  <c r="AE94" i="42"/>
  <c r="AE95" i="42"/>
  <c r="AE96" i="42"/>
  <c r="AE97" i="42"/>
  <c r="AE98" i="42"/>
  <c r="AE99" i="42"/>
  <c r="AE100" i="42"/>
  <c r="AE101" i="42"/>
  <c r="AE102" i="42"/>
  <c r="AE103" i="42"/>
  <c r="AE104" i="42"/>
  <c r="AE105" i="42"/>
  <c r="AE106" i="42"/>
  <c r="AE107" i="42"/>
  <c r="AE108" i="42"/>
  <c r="AE109" i="42"/>
  <c r="AE110" i="42"/>
  <c r="AE111" i="42"/>
  <c r="AE112" i="42"/>
  <c r="AE113" i="42"/>
  <c r="AE114" i="42"/>
  <c r="AE115" i="42"/>
  <c r="AE116" i="42"/>
  <c r="AE117" i="42"/>
  <c r="AE118" i="42"/>
  <c r="AE119" i="42"/>
  <c r="AE120" i="42"/>
  <c r="AE121" i="42"/>
  <c r="AE122" i="42"/>
  <c r="AE123" i="42"/>
  <c r="AE124" i="42"/>
  <c r="AE125" i="42"/>
  <c r="AE126" i="42"/>
  <c r="Y97" i="42"/>
  <c r="Y98" i="42"/>
  <c r="Y99" i="42"/>
  <c r="Y100" i="42"/>
  <c r="Y101" i="42"/>
  <c r="Y102" i="42"/>
  <c r="Y103" i="42"/>
  <c r="Y104" i="42"/>
  <c r="Y105" i="42"/>
  <c r="Y106" i="42"/>
  <c r="Y107" i="42"/>
  <c r="Y108" i="42"/>
  <c r="Y109" i="42"/>
  <c r="Y110" i="42"/>
  <c r="Y111" i="42"/>
  <c r="Y112" i="42"/>
  <c r="Y113" i="42"/>
  <c r="Y114" i="42"/>
  <c r="Y115" i="42"/>
  <c r="Y116" i="42"/>
  <c r="Y117" i="42"/>
  <c r="Y118" i="42"/>
  <c r="Y119" i="42"/>
  <c r="Y120" i="42"/>
  <c r="Y121" i="42"/>
  <c r="Y122" i="42"/>
  <c r="Y123" i="42"/>
  <c r="Y124" i="42"/>
  <c r="Y125" i="42"/>
  <c r="Y126" i="42"/>
  <c r="Z98" i="42"/>
  <c r="Z99" i="42"/>
  <c r="Z100" i="42"/>
  <c r="Z101" i="42"/>
  <c r="Z102" i="42"/>
  <c r="Z103" i="42"/>
  <c r="Z104" i="42"/>
  <c r="Z105" i="42"/>
  <c r="Z106" i="42"/>
  <c r="Z107" i="42"/>
  <c r="Z108" i="42"/>
  <c r="Z109" i="42"/>
  <c r="Z110" i="42"/>
  <c r="Z111" i="42"/>
  <c r="Z112" i="42"/>
  <c r="Z113" i="42"/>
  <c r="Z114" i="42"/>
  <c r="Z115" i="42"/>
  <c r="Z116" i="42"/>
  <c r="Z117" i="42"/>
  <c r="Z118" i="42"/>
  <c r="Z119" i="42"/>
  <c r="Z120" i="42"/>
  <c r="Z121" i="42"/>
  <c r="Z122" i="42"/>
  <c r="Z123" i="42"/>
  <c r="Z124" i="42"/>
  <c r="Z125" i="42"/>
  <c r="Z126" i="42"/>
  <c r="W99" i="42"/>
  <c r="W107" i="42"/>
  <c r="W117" i="42"/>
  <c r="W119" i="42"/>
  <c r="W121" i="42"/>
  <c r="W125" i="42"/>
  <c r="J48" i="41"/>
  <c r="S32" i="10"/>
  <c r="W37" i="10"/>
  <c r="S24" i="10"/>
  <c r="W29" i="10"/>
  <c r="S16" i="10"/>
  <c r="W21" i="10"/>
  <c r="S12" i="10"/>
  <c r="W17" i="10"/>
  <c r="S31" i="10"/>
  <c r="W36" i="10"/>
  <c r="S19" i="10"/>
  <c r="W24" i="10"/>
  <c r="S30" i="10"/>
  <c r="W35" i="10"/>
  <c r="S26" i="10"/>
  <c r="W31" i="10"/>
  <c r="S22" i="10"/>
  <c r="W27" i="10"/>
  <c r="S18" i="10"/>
  <c r="W23" i="10"/>
  <c r="S14" i="10"/>
  <c r="W19" i="10"/>
  <c r="S28" i="10"/>
  <c r="W33" i="10"/>
  <c r="S20" i="10"/>
  <c r="W25" i="10"/>
  <c r="S27" i="10"/>
  <c r="W32" i="10"/>
  <c r="S23" i="10"/>
  <c r="W28" i="10"/>
  <c r="S15" i="10"/>
  <c r="W20" i="10"/>
  <c r="S11" i="10"/>
  <c r="W16" i="10"/>
  <c r="S33" i="10"/>
  <c r="W38" i="10"/>
  <c r="S29" i="10"/>
  <c r="W34" i="10"/>
  <c r="S25" i="10"/>
  <c r="W30" i="10"/>
  <c r="S21" i="10"/>
  <c r="W26" i="10"/>
  <c r="S17" i="10"/>
  <c r="W22" i="10"/>
  <c r="S13" i="10"/>
  <c r="W18" i="10"/>
  <c r="G5" i="43"/>
  <c r="Y5" i="43"/>
  <c r="U78" i="45"/>
  <c r="X47" i="45"/>
  <c r="U58" i="45"/>
  <c r="X50" i="45"/>
  <c r="U77" i="45"/>
  <c r="U89" i="45"/>
  <c r="X51" i="45"/>
  <c r="P52" i="45"/>
  <c r="G47" i="45"/>
  <c r="X48" i="45"/>
  <c r="H39" i="3"/>
  <c r="G39" i="3"/>
  <c r="G40" i="3"/>
  <c r="H40" i="3"/>
  <c r="G38" i="3"/>
  <c r="H38" i="3"/>
  <c r="L43" i="39"/>
  <c r="G5" i="3"/>
  <c r="G31" i="43"/>
  <c r="Y31" i="43"/>
  <c r="G43" i="43"/>
  <c r="Y43" i="43"/>
  <c r="G39" i="43"/>
  <c r="Y39" i="43"/>
  <c r="G26" i="43"/>
  <c r="Y26" i="43"/>
  <c r="G10" i="43"/>
  <c r="Y10" i="43"/>
  <c r="G21" i="43"/>
  <c r="Y21" i="43"/>
  <c r="V43" i="43"/>
  <c r="G15" i="43"/>
  <c r="Y15" i="43"/>
  <c r="G30" i="43"/>
  <c r="Y30" i="43"/>
  <c r="G28" i="43"/>
  <c r="Y28" i="43"/>
  <c r="G18" i="43"/>
  <c r="Y18" i="43"/>
  <c r="G44" i="43"/>
  <c r="Y44" i="43"/>
  <c r="G40" i="43"/>
  <c r="Y40" i="43"/>
  <c r="G46" i="43"/>
  <c r="Y46" i="43"/>
  <c r="G38" i="43"/>
  <c r="Y38" i="43"/>
  <c r="T46" i="43"/>
  <c r="W51" i="43"/>
  <c r="Y50" i="43"/>
  <c r="Y51" i="43"/>
  <c r="G33" i="43"/>
  <c r="Y33" i="43"/>
  <c r="T26" i="43"/>
  <c r="G48" i="43"/>
  <c r="Y48" i="43"/>
  <c r="U51" i="43"/>
  <c r="T21" i="43"/>
  <c r="G19" i="43"/>
  <c r="Y19" i="43"/>
  <c r="G24" i="43"/>
  <c r="Y24" i="43"/>
  <c r="G20" i="43"/>
  <c r="Y20" i="43"/>
  <c r="G12" i="43"/>
  <c r="Y12" i="43"/>
  <c r="G47" i="43"/>
  <c r="Y47" i="43"/>
  <c r="T44" i="43"/>
  <c r="T40" i="43"/>
  <c r="G34" i="43"/>
  <c r="Y34" i="43"/>
  <c r="G17" i="43"/>
  <c r="Y17" i="43"/>
  <c r="G27" i="43"/>
  <c r="Y27" i="43"/>
  <c r="G25" i="43"/>
  <c r="Y25" i="43"/>
  <c r="G23" i="43"/>
  <c r="Y23" i="43"/>
  <c r="G13" i="43"/>
  <c r="Y13" i="43"/>
  <c r="G11" i="43"/>
  <c r="Y11" i="43"/>
  <c r="G9" i="43"/>
  <c r="Y9" i="43"/>
  <c r="G45" i="43"/>
  <c r="Y45" i="43"/>
  <c r="G35" i="43"/>
  <c r="Y35" i="43"/>
  <c r="G37" i="43"/>
  <c r="Y37" i="43"/>
  <c r="X41" i="43"/>
  <c r="G42" i="43"/>
  <c r="Y42" i="43"/>
  <c r="T33" i="43"/>
  <c r="G36" i="43"/>
  <c r="Y36" i="43"/>
  <c r="F51" i="43"/>
  <c r="V45" i="43"/>
  <c r="T43" i="43"/>
  <c r="T39" i="43"/>
  <c r="T35" i="43"/>
  <c r="D51" i="43"/>
  <c r="G14" i="43"/>
  <c r="Y14" i="43"/>
  <c r="G8" i="43"/>
  <c r="Y8" i="43"/>
  <c r="T27" i="43"/>
  <c r="T23" i="43"/>
  <c r="T11" i="43"/>
  <c r="T7" i="43"/>
  <c r="G22" i="43"/>
  <c r="Y22" i="43"/>
  <c r="G6" i="43"/>
  <c r="Y6" i="43"/>
  <c r="G16" i="43"/>
  <c r="Y16" i="43"/>
  <c r="V30" i="43"/>
  <c r="T24" i="43"/>
  <c r="C51" i="43"/>
  <c r="T28" i="43"/>
  <c r="V26" i="43"/>
  <c r="T20" i="43"/>
  <c r="V18" i="43"/>
  <c r="T12" i="43"/>
  <c r="V10" i="43"/>
  <c r="V6" i="43"/>
  <c r="G7" i="43"/>
  <c r="Y7" i="43"/>
  <c r="E51" i="43"/>
  <c r="V5" i="43"/>
  <c r="G46" i="44"/>
  <c r="T51" i="45"/>
  <c r="M11" i="44"/>
  <c r="P38" i="42"/>
  <c r="AA18" i="10"/>
  <c r="AA34" i="10"/>
  <c r="AA16" i="10"/>
  <c r="AA25" i="10"/>
  <c r="AA40" i="10"/>
  <c r="AA19" i="10"/>
  <c r="AA27" i="10"/>
  <c r="AA35" i="10"/>
  <c r="AA21" i="10"/>
  <c r="AA37" i="10"/>
  <c r="AA14" i="10"/>
  <c r="AA13" i="10"/>
  <c r="AA23" i="10"/>
  <c r="AA31" i="10"/>
  <c r="AA24" i="10"/>
  <c r="AA17" i="10"/>
  <c r="AA29" i="10"/>
  <c r="AA26" i="10"/>
  <c r="AA28" i="10"/>
  <c r="AA41" i="10"/>
  <c r="AA15" i="10"/>
  <c r="AA36" i="10"/>
  <c r="AA22" i="10"/>
  <c r="AA30" i="10"/>
  <c r="AA38" i="10"/>
  <c r="AA20" i="10"/>
  <c r="AA32" i="10"/>
  <c r="AA39" i="10"/>
  <c r="AA33" i="10"/>
  <c r="V51" i="43"/>
  <c r="G51" i="43"/>
  <c r="I7" i="41"/>
  <c r="K7" i="41"/>
  <c r="I8" i="41"/>
  <c r="K8" i="41"/>
  <c r="L8" i="41"/>
  <c r="U7" i="41"/>
  <c r="I9" i="41"/>
  <c r="K9" i="41"/>
  <c r="I11" i="41"/>
  <c r="K11" i="41"/>
  <c r="L11" i="41"/>
  <c r="U11" i="41"/>
  <c r="I12" i="41"/>
  <c r="K12" i="41"/>
  <c r="I14" i="41"/>
  <c r="K14" i="41"/>
  <c r="I15" i="41"/>
  <c r="K15" i="41"/>
  <c r="K62" i="41"/>
  <c r="I16" i="41"/>
  <c r="K16" i="41"/>
  <c r="I17" i="41"/>
  <c r="K17" i="41"/>
  <c r="I18" i="41"/>
  <c r="K18" i="41"/>
  <c r="L18" i="41"/>
  <c r="U18" i="41"/>
  <c r="I19" i="41"/>
  <c r="I20" i="41"/>
  <c r="K20" i="41"/>
  <c r="I21" i="41"/>
  <c r="K21" i="41"/>
  <c r="I22" i="41"/>
  <c r="I106" i="41"/>
  <c r="I23" i="41"/>
  <c r="I24" i="41"/>
  <c r="K24" i="41"/>
  <c r="I25" i="41"/>
  <c r="I26" i="41"/>
  <c r="K26" i="41"/>
  <c r="I27" i="41"/>
  <c r="I111" i="41"/>
  <c r="I28" i="41"/>
  <c r="K28" i="41"/>
  <c r="I29" i="41"/>
  <c r="K29" i="41"/>
  <c r="I30" i="41"/>
  <c r="I114" i="41"/>
  <c r="K114" i="41"/>
  <c r="I31" i="41"/>
  <c r="I115" i="41"/>
  <c r="K115" i="41"/>
  <c r="J112" i="40"/>
  <c r="L112" i="40" s="1"/>
  <c r="I32" i="41"/>
  <c r="K32" i="41"/>
  <c r="I33" i="41"/>
  <c r="I34" i="41"/>
  <c r="K34" i="41"/>
  <c r="I35" i="41"/>
  <c r="K35" i="41"/>
  <c r="Q35" i="41"/>
  <c r="I36" i="41"/>
  <c r="K36" i="41"/>
  <c r="I37" i="41"/>
  <c r="K37" i="41"/>
  <c r="I38" i="41"/>
  <c r="I39" i="41"/>
  <c r="K39" i="41"/>
  <c r="I40" i="41"/>
  <c r="I41" i="41"/>
  <c r="I125" i="41"/>
  <c r="K125" i="41"/>
  <c r="I42" i="41"/>
  <c r="K42" i="41"/>
  <c r="H89" i="41"/>
  <c r="I43" i="41"/>
  <c r="K43" i="41"/>
  <c r="I44" i="41"/>
  <c r="K44" i="41"/>
  <c r="I46" i="41"/>
  <c r="C48" i="41"/>
  <c r="D48" i="41"/>
  <c r="E48" i="41"/>
  <c r="F48" i="41"/>
  <c r="G48" i="41"/>
  <c r="H48" i="41"/>
  <c r="F59" i="41"/>
  <c r="C102" i="41"/>
  <c r="D102" i="41"/>
  <c r="E102" i="41"/>
  <c r="F102" i="41"/>
  <c r="G102" i="41"/>
  <c r="H102" i="41"/>
  <c r="I102" i="41"/>
  <c r="C103" i="41"/>
  <c r="D103" i="41"/>
  <c r="E103" i="41"/>
  <c r="F103" i="41"/>
  <c r="G103" i="41"/>
  <c r="H103" i="41"/>
  <c r="I103" i="41"/>
  <c r="K103" i="41"/>
  <c r="J100" i="40"/>
  <c r="L100" i="40" s="1"/>
  <c r="C104" i="41"/>
  <c r="D104" i="41"/>
  <c r="E104" i="41"/>
  <c r="F104" i="41"/>
  <c r="G104" i="41"/>
  <c r="H104" i="41"/>
  <c r="C105" i="41"/>
  <c r="D105" i="41"/>
  <c r="E105" i="41"/>
  <c r="F105" i="41"/>
  <c r="G105" i="41"/>
  <c r="H105" i="41"/>
  <c r="C106" i="41"/>
  <c r="D106" i="41"/>
  <c r="E106" i="41"/>
  <c r="F106" i="41"/>
  <c r="G106" i="41"/>
  <c r="H106" i="41"/>
  <c r="C107" i="41"/>
  <c r="D107" i="41"/>
  <c r="E107" i="41"/>
  <c r="F107" i="41"/>
  <c r="G107" i="41"/>
  <c r="H107" i="41"/>
  <c r="C108" i="41"/>
  <c r="D108" i="41"/>
  <c r="E108" i="41"/>
  <c r="F108" i="41"/>
  <c r="G108" i="41"/>
  <c r="H108" i="41"/>
  <c r="I108" i="41"/>
  <c r="K108" i="41"/>
  <c r="J105" i="40"/>
  <c r="L105" i="40" s="1"/>
  <c r="C109" i="41"/>
  <c r="D109" i="41"/>
  <c r="E109" i="41"/>
  <c r="F109" i="41"/>
  <c r="G109" i="41"/>
  <c r="H109" i="41"/>
  <c r="C110" i="41"/>
  <c r="D110" i="41"/>
  <c r="E110" i="41"/>
  <c r="F110" i="41"/>
  <c r="G110" i="41"/>
  <c r="H110" i="41"/>
  <c r="C111" i="41"/>
  <c r="D111" i="41"/>
  <c r="E111" i="41"/>
  <c r="F111" i="41"/>
  <c r="G111" i="41"/>
  <c r="H111" i="41"/>
  <c r="C112" i="41"/>
  <c r="D112" i="41"/>
  <c r="E112" i="41"/>
  <c r="F112" i="41"/>
  <c r="G112" i="41"/>
  <c r="H112" i="41"/>
  <c r="C113" i="41"/>
  <c r="D113" i="41"/>
  <c r="E113" i="41"/>
  <c r="F113" i="41"/>
  <c r="G113" i="41"/>
  <c r="H113" i="41"/>
  <c r="C114" i="41"/>
  <c r="D114" i="41"/>
  <c r="E114" i="41"/>
  <c r="F114" i="41"/>
  <c r="G114" i="41"/>
  <c r="H114" i="41"/>
  <c r="C115" i="41"/>
  <c r="D115" i="41"/>
  <c r="E115" i="41"/>
  <c r="F115" i="41"/>
  <c r="G115" i="41"/>
  <c r="H115" i="41"/>
  <c r="C116" i="41"/>
  <c r="D116" i="41"/>
  <c r="E116" i="41"/>
  <c r="F116" i="41"/>
  <c r="G116" i="41"/>
  <c r="H116" i="41"/>
  <c r="I116" i="41"/>
  <c r="K116" i="41"/>
  <c r="C117" i="41"/>
  <c r="D117" i="41"/>
  <c r="E117" i="41"/>
  <c r="F117" i="41"/>
  <c r="G117" i="41"/>
  <c r="H117" i="41"/>
  <c r="C118" i="41"/>
  <c r="D118" i="41"/>
  <c r="E118" i="41"/>
  <c r="F118" i="41"/>
  <c r="G118" i="41"/>
  <c r="H118" i="41"/>
  <c r="C119" i="41"/>
  <c r="D119" i="41"/>
  <c r="E119" i="41"/>
  <c r="F119" i="41"/>
  <c r="G119" i="41"/>
  <c r="H119" i="41"/>
  <c r="C120" i="41"/>
  <c r="D120" i="41"/>
  <c r="E120" i="41"/>
  <c r="F120" i="41"/>
  <c r="G120" i="41"/>
  <c r="H120" i="41"/>
  <c r="C121" i="41"/>
  <c r="D121" i="41"/>
  <c r="E121" i="41"/>
  <c r="F121" i="41"/>
  <c r="G121" i="41"/>
  <c r="H121" i="41"/>
  <c r="C122" i="41"/>
  <c r="D122" i="41"/>
  <c r="E122" i="41"/>
  <c r="F122" i="41"/>
  <c r="G122" i="41"/>
  <c r="H122" i="41"/>
  <c r="C123" i="41"/>
  <c r="D123" i="41"/>
  <c r="E123" i="41"/>
  <c r="F123" i="41"/>
  <c r="G123" i="41"/>
  <c r="H123" i="41"/>
  <c r="C124" i="41"/>
  <c r="D124" i="41"/>
  <c r="E124" i="41"/>
  <c r="F124" i="41"/>
  <c r="G124" i="41"/>
  <c r="H124" i="41"/>
  <c r="C125" i="41"/>
  <c r="D125" i="41"/>
  <c r="E125" i="41"/>
  <c r="F125" i="41"/>
  <c r="G125" i="41"/>
  <c r="H125" i="41"/>
  <c r="C126" i="41"/>
  <c r="D126" i="41"/>
  <c r="E126" i="41"/>
  <c r="F126" i="41"/>
  <c r="G126" i="41"/>
  <c r="H126" i="41"/>
  <c r="C127" i="41"/>
  <c r="D127" i="41"/>
  <c r="E127" i="41"/>
  <c r="F127" i="41"/>
  <c r="G127" i="41"/>
  <c r="H127" i="41"/>
  <c r="I128" i="41"/>
  <c r="K128" i="41"/>
  <c r="J125" i="40"/>
  <c r="L125" i="40" s="1"/>
  <c r="K130" i="41"/>
  <c r="AG41" i="10"/>
  <c r="C167" i="41"/>
  <c r="H6" i="40"/>
  <c r="J6" i="40"/>
  <c r="D48" i="40"/>
  <c r="H7" i="40"/>
  <c r="H9" i="40"/>
  <c r="J9" i="40"/>
  <c r="D51" i="40"/>
  <c r="H10" i="40"/>
  <c r="H11" i="40"/>
  <c r="J11" i="40"/>
  <c r="D53" i="40"/>
  <c r="H12" i="40"/>
  <c r="H13" i="40"/>
  <c r="J13" i="40"/>
  <c r="D55" i="40"/>
  <c r="H14" i="40"/>
  <c r="H15" i="40"/>
  <c r="J15" i="40"/>
  <c r="D57" i="40"/>
  <c r="H16" i="40"/>
  <c r="H17" i="40"/>
  <c r="J17" i="40"/>
  <c r="D59" i="40"/>
  <c r="H18" i="40"/>
  <c r="H19" i="40"/>
  <c r="H20" i="40"/>
  <c r="H21" i="40"/>
  <c r="J21" i="40"/>
  <c r="D63" i="40"/>
  <c r="H22" i="40"/>
  <c r="H23" i="40"/>
  <c r="J23" i="40"/>
  <c r="D65" i="40"/>
  <c r="H24" i="40"/>
  <c r="H25" i="40"/>
  <c r="J25" i="40"/>
  <c r="D67" i="40"/>
  <c r="H26" i="40"/>
  <c r="H27" i="40"/>
  <c r="J27" i="40"/>
  <c r="H28" i="40"/>
  <c r="J28" i="40"/>
  <c r="C70" i="40"/>
  <c r="H29" i="40"/>
  <c r="J29" i="40"/>
  <c r="G71" i="40"/>
  <c r="H30" i="40"/>
  <c r="H31" i="40"/>
  <c r="J31" i="40"/>
  <c r="H73" i="40"/>
  <c r="H32" i="40"/>
  <c r="J32" i="40"/>
  <c r="I74" i="40"/>
  <c r="H33" i="40"/>
  <c r="J33" i="40"/>
  <c r="C75" i="40"/>
  <c r="H34" i="40"/>
  <c r="H35" i="40"/>
  <c r="H36" i="40"/>
  <c r="J36" i="40"/>
  <c r="H78" i="40"/>
  <c r="Q37" i="52"/>
  <c r="W37" i="52"/>
  <c r="H37" i="40"/>
  <c r="J37" i="40"/>
  <c r="F79" i="40"/>
  <c r="H38" i="40"/>
  <c r="H39" i="40"/>
  <c r="J39" i="40"/>
  <c r="C48" i="40"/>
  <c r="J48" i="40"/>
  <c r="B69" i="40"/>
  <c r="B70" i="40"/>
  <c r="B71" i="40"/>
  <c r="B72" i="40"/>
  <c r="B73" i="40"/>
  <c r="B74" i="40"/>
  <c r="B75" i="40"/>
  <c r="D75" i="40"/>
  <c r="B76" i="40"/>
  <c r="B77" i="40"/>
  <c r="B78" i="40"/>
  <c r="B79" i="40"/>
  <c r="B80" i="40"/>
  <c r="K6" i="39"/>
  <c r="K7" i="39"/>
  <c r="K8" i="39"/>
  <c r="K9" i="39"/>
  <c r="K10" i="39"/>
  <c r="K11" i="39"/>
  <c r="K12" i="39"/>
  <c r="K13" i="39"/>
  <c r="K14" i="39"/>
  <c r="K15" i="39"/>
  <c r="K16" i="39"/>
  <c r="O16" i="39"/>
  <c r="M16" i="39"/>
  <c r="K17" i="39"/>
  <c r="K18" i="39"/>
  <c r="K19" i="39"/>
  <c r="K20" i="39"/>
  <c r="K21" i="39"/>
  <c r="K22" i="39"/>
  <c r="K23" i="39"/>
  <c r="K24" i="39"/>
  <c r="K25" i="39"/>
  <c r="K26" i="39"/>
  <c r="K27" i="39"/>
  <c r="K28" i="39"/>
  <c r="K29" i="39"/>
  <c r="K30" i="39"/>
  <c r="K31" i="39"/>
  <c r="K32" i="39"/>
  <c r="K33" i="39"/>
  <c r="K34" i="39"/>
  <c r="K35" i="39"/>
  <c r="K36" i="39"/>
  <c r="K37" i="39"/>
  <c r="K38" i="39"/>
  <c r="K39" i="39"/>
  <c r="M41" i="39"/>
  <c r="C43" i="39"/>
  <c r="D43" i="39"/>
  <c r="E43" i="39"/>
  <c r="F43" i="39"/>
  <c r="G43" i="39"/>
  <c r="H43" i="39"/>
  <c r="I43" i="39"/>
  <c r="J43" i="39"/>
  <c r="B51" i="39"/>
  <c r="B52" i="39"/>
  <c r="B53" i="39"/>
  <c r="B54" i="39"/>
  <c r="B55" i="39"/>
  <c r="B56" i="39"/>
  <c r="B57" i="39"/>
  <c r="B58" i="39"/>
  <c r="B59" i="39"/>
  <c r="B60" i="39"/>
  <c r="B61" i="39"/>
  <c r="B62" i="39"/>
  <c r="B63" i="39"/>
  <c r="B64" i="39"/>
  <c r="B65" i="39"/>
  <c r="B66" i="39"/>
  <c r="B67" i="39"/>
  <c r="B68" i="39"/>
  <c r="B69" i="39"/>
  <c r="B70" i="39"/>
  <c r="B71" i="39"/>
  <c r="B72" i="39"/>
  <c r="B73" i="39"/>
  <c r="B74" i="39"/>
  <c r="B75" i="39"/>
  <c r="B76" i="39"/>
  <c r="G24" i="38"/>
  <c r="I24" i="38"/>
  <c r="G25" i="38"/>
  <c r="I25" i="38"/>
  <c r="I71" i="38"/>
  <c r="G26" i="38"/>
  <c r="I26" i="38"/>
  <c r="G27" i="38"/>
  <c r="I27" i="38"/>
  <c r="D73" i="38"/>
  <c r="G28" i="38"/>
  <c r="I28" i="38"/>
  <c r="G29" i="38"/>
  <c r="I29" i="38"/>
  <c r="E75" i="38"/>
  <c r="G30" i="38"/>
  <c r="G31" i="38"/>
  <c r="I31" i="38"/>
  <c r="E77" i="38"/>
  <c r="G32" i="38"/>
  <c r="G33" i="38"/>
  <c r="I33" i="38"/>
  <c r="E79" i="38"/>
  <c r="G34" i="38"/>
  <c r="I34" i="38"/>
  <c r="G80" i="38"/>
  <c r="O33" i="52"/>
  <c r="U33" i="52"/>
  <c r="G35" i="38"/>
  <c r="I35" i="38"/>
  <c r="E81" i="38"/>
  <c r="G36" i="38"/>
  <c r="I36" i="38"/>
  <c r="G82" i="38"/>
  <c r="O35" i="52"/>
  <c r="U35" i="52"/>
  <c r="G37" i="38"/>
  <c r="I37" i="38"/>
  <c r="E83" i="38"/>
  <c r="G38" i="38"/>
  <c r="I38" i="38"/>
  <c r="G84" i="38"/>
  <c r="O37" i="52"/>
  <c r="U37" i="52"/>
  <c r="G39" i="38"/>
  <c r="I39" i="38"/>
  <c r="E85" i="38"/>
  <c r="G40" i="38"/>
  <c r="G41" i="38"/>
  <c r="I41" i="38"/>
  <c r="B40" i="52"/>
  <c r="G43" i="38"/>
  <c r="I43" i="38"/>
  <c r="D44" i="38"/>
  <c r="E44" i="38"/>
  <c r="F44" i="38"/>
  <c r="H44" i="38"/>
  <c r="C52" i="38"/>
  <c r="D52" i="38"/>
  <c r="E52" i="38"/>
  <c r="F52" i="38"/>
  <c r="G52" i="38"/>
  <c r="H52" i="38"/>
  <c r="I52" i="38"/>
  <c r="C53" i="38"/>
  <c r="D53" i="38"/>
  <c r="E53" i="38"/>
  <c r="F53" i="38"/>
  <c r="G53" i="38"/>
  <c r="H53" i="38"/>
  <c r="I53" i="38"/>
  <c r="C54" i="38"/>
  <c r="B7" i="52"/>
  <c r="D54" i="38"/>
  <c r="E54" i="38"/>
  <c r="F54" i="38"/>
  <c r="G54" i="38"/>
  <c r="O7" i="52"/>
  <c r="H54" i="38"/>
  <c r="I54" i="38"/>
  <c r="C55" i="38"/>
  <c r="B8" i="52"/>
  <c r="D55" i="38"/>
  <c r="E55" i="38"/>
  <c r="F55" i="38"/>
  <c r="G55" i="38"/>
  <c r="O8" i="52"/>
  <c r="U8" i="52"/>
  <c r="H55" i="38"/>
  <c r="I55" i="38"/>
  <c r="C56" i="38"/>
  <c r="B9" i="52"/>
  <c r="D56" i="38"/>
  <c r="E56" i="38"/>
  <c r="F56" i="38"/>
  <c r="G56" i="38"/>
  <c r="O9" i="52"/>
  <c r="U9" i="52"/>
  <c r="H56" i="38"/>
  <c r="I56" i="38"/>
  <c r="C57" i="38"/>
  <c r="B10" i="52"/>
  <c r="D57" i="38"/>
  <c r="E57" i="38"/>
  <c r="F57" i="38"/>
  <c r="G57" i="38"/>
  <c r="O10" i="52"/>
  <c r="U10" i="52"/>
  <c r="H57" i="38"/>
  <c r="I57" i="38"/>
  <c r="C58" i="38"/>
  <c r="B11" i="52"/>
  <c r="D58" i="38"/>
  <c r="E58" i="38"/>
  <c r="F58" i="38"/>
  <c r="G58" i="38"/>
  <c r="O11" i="52"/>
  <c r="U11" i="52"/>
  <c r="H58" i="38"/>
  <c r="I58" i="38"/>
  <c r="C59" i="38"/>
  <c r="B12" i="52"/>
  <c r="D59" i="38"/>
  <c r="E59" i="38"/>
  <c r="F59" i="38"/>
  <c r="G59" i="38"/>
  <c r="O12" i="52"/>
  <c r="U12" i="52"/>
  <c r="H59" i="38"/>
  <c r="I59" i="38"/>
  <c r="C60" i="38"/>
  <c r="B13" i="52"/>
  <c r="D60" i="38"/>
  <c r="E60" i="38"/>
  <c r="F60" i="38"/>
  <c r="G60" i="38"/>
  <c r="O13" i="52"/>
  <c r="U13" i="52"/>
  <c r="H60" i="38"/>
  <c r="I60" i="38"/>
  <c r="C61" i="38"/>
  <c r="B14" i="52"/>
  <c r="D61" i="38"/>
  <c r="E61" i="38"/>
  <c r="F61" i="38"/>
  <c r="G61" i="38"/>
  <c r="O14" i="52"/>
  <c r="U14" i="52"/>
  <c r="H61" i="38"/>
  <c r="I61" i="38"/>
  <c r="C62" i="38"/>
  <c r="B15" i="52"/>
  <c r="D62" i="38"/>
  <c r="E62" i="38"/>
  <c r="F62" i="38"/>
  <c r="G62" i="38"/>
  <c r="O15" i="52"/>
  <c r="U15" i="52"/>
  <c r="H62" i="38"/>
  <c r="I62" i="38"/>
  <c r="C63" i="38"/>
  <c r="B16" i="52"/>
  <c r="D63" i="38"/>
  <c r="E63" i="38"/>
  <c r="F63" i="38"/>
  <c r="G63" i="38"/>
  <c r="O16" i="52"/>
  <c r="U16" i="52"/>
  <c r="H63" i="38"/>
  <c r="I63" i="38"/>
  <c r="C64" i="38"/>
  <c r="B17" i="52"/>
  <c r="D64" i="38"/>
  <c r="E64" i="38"/>
  <c r="F64" i="38"/>
  <c r="G64" i="38"/>
  <c r="O17" i="52"/>
  <c r="U17" i="52"/>
  <c r="H64" i="38"/>
  <c r="I64" i="38"/>
  <c r="C65" i="38"/>
  <c r="B18" i="52"/>
  <c r="D65" i="38"/>
  <c r="E65" i="38"/>
  <c r="F65" i="38"/>
  <c r="G65" i="38"/>
  <c r="O18" i="52"/>
  <c r="U18" i="52"/>
  <c r="H65" i="38"/>
  <c r="I65" i="38"/>
  <c r="C66" i="38"/>
  <c r="B19" i="52"/>
  <c r="D66" i="38"/>
  <c r="E66" i="38"/>
  <c r="F66" i="38"/>
  <c r="G66" i="38"/>
  <c r="O19" i="52"/>
  <c r="U19" i="52"/>
  <c r="H66" i="38"/>
  <c r="I66" i="38"/>
  <c r="C67" i="38"/>
  <c r="B20" i="52"/>
  <c r="D67" i="38"/>
  <c r="E67" i="38"/>
  <c r="F67" i="38"/>
  <c r="G67" i="38"/>
  <c r="O20" i="52"/>
  <c r="U20" i="52"/>
  <c r="H67" i="38"/>
  <c r="I67" i="38"/>
  <c r="C68" i="38"/>
  <c r="B21" i="52"/>
  <c r="D68" i="38"/>
  <c r="E68" i="38"/>
  <c r="F68" i="38"/>
  <c r="G68" i="38"/>
  <c r="O21" i="52"/>
  <c r="U21" i="52"/>
  <c r="H68" i="38"/>
  <c r="I68" i="38"/>
  <c r="C69" i="38"/>
  <c r="B22" i="52"/>
  <c r="D69" i="38"/>
  <c r="E69" i="38"/>
  <c r="F69" i="38"/>
  <c r="G69" i="38"/>
  <c r="O22" i="52"/>
  <c r="U22" i="52"/>
  <c r="H69" i="38"/>
  <c r="I69" i="38"/>
  <c r="G73" i="38"/>
  <c r="O26" i="52"/>
  <c r="U26" i="52"/>
  <c r="D75" i="38"/>
  <c r="G75" i="38"/>
  <c r="O28" i="52"/>
  <c r="U28" i="52"/>
  <c r="H75" i="38"/>
  <c r="B30" i="52"/>
  <c r="D80" i="38"/>
  <c r="G81" i="38"/>
  <c r="O34" i="52"/>
  <c r="U34" i="52"/>
  <c r="B36" i="52"/>
  <c r="M36" i="39"/>
  <c r="O36" i="39"/>
  <c r="M28" i="39"/>
  <c r="AR28" i="10"/>
  <c r="O28" i="39"/>
  <c r="M24" i="39"/>
  <c r="O24" i="39"/>
  <c r="M9" i="39"/>
  <c r="H54" i="39"/>
  <c r="O9" i="39"/>
  <c r="M39" i="39"/>
  <c r="O39" i="39"/>
  <c r="M35" i="39"/>
  <c r="D80" i="39"/>
  <c r="O35" i="39"/>
  <c r="M31" i="39"/>
  <c r="O31" i="39"/>
  <c r="M27" i="39"/>
  <c r="O27" i="39"/>
  <c r="M23" i="39"/>
  <c r="O23" i="39"/>
  <c r="M19" i="39"/>
  <c r="I64" i="39"/>
  <c r="O19" i="39"/>
  <c r="M12" i="39"/>
  <c r="O12" i="39"/>
  <c r="M8" i="39"/>
  <c r="O8" i="39"/>
  <c r="M38" i="39"/>
  <c r="O38" i="39"/>
  <c r="M34" i="39"/>
  <c r="E79" i="39"/>
  <c r="O34" i="39"/>
  <c r="M30" i="39"/>
  <c r="AR30" i="10"/>
  <c r="O30" i="39"/>
  <c r="M26" i="39"/>
  <c r="M71" i="39"/>
  <c r="O26" i="39"/>
  <c r="M22" i="39"/>
  <c r="O22" i="39"/>
  <c r="M18" i="39"/>
  <c r="E63" i="39"/>
  <c r="O18" i="39"/>
  <c r="M15" i="39"/>
  <c r="O15" i="39"/>
  <c r="M11" i="39"/>
  <c r="E56" i="39"/>
  <c r="O11" i="39"/>
  <c r="M7" i="39"/>
  <c r="O7" i="39"/>
  <c r="M32" i="39"/>
  <c r="G77" i="39"/>
  <c r="O32" i="39"/>
  <c r="M20" i="39"/>
  <c r="O20" i="39"/>
  <c r="M13" i="39"/>
  <c r="H58" i="39"/>
  <c r="O13" i="39"/>
  <c r="M37" i="39"/>
  <c r="AR37" i="10"/>
  <c r="O37" i="39"/>
  <c r="M33" i="39"/>
  <c r="AR33" i="10"/>
  <c r="O33" i="39"/>
  <c r="M29" i="39"/>
  <c r="O29" i="39"/>
  <c r="M25" i="39"/>
  <c r="G70" i="39"/>
  <c r="O25" i="39"/>
  <c r="M21" i="39"/>
  <c r="O21" i="39"/>
  <c r="M17" i="39"/>
  <c r="N22" i="41"/>
  <c r="O17" i="39"/>
  <c r="M14" i="39"/>
  <c r="O14" i="39"/>
  <c r="M10" i="39"/>
  <c r="N15" i="41"/>
  <c r="O10" i="39"/>
  <c r="M6" i="39"/>
  <c r="O6" i="39"/>
  <c r="F61" i="41"/>
  <c r="L14" i="41"/>
  <c r="U14" i="41"/>
  <c r="F132" i="41"/>
  <c r="I167" i="41"/>
  <c r="P40" i="52"/>
  <c r="V40" i="52" s="1"/>
  <c r="I121" i="41"/>
  <c r="K121" i="41"/>
  <c r="G132" i="41"/>
  <c r="C132" i="41"/>
  <c r="E90" i="41"/>
  <c r="W33" i="4"/>
  <c r="L43" i="41"/>
  <c r="U43" i="41"/>
  <c r="C83" i="41"/>
  <c r="W26" i="4"/>
  <c r="L36" i="41"/>
  <c r="U36" i="41"/>
  <c r="AG25" i="10"/>
  <c r="J111" i="40"/>
  <c r="L111" i="40" s="1"/>
  <c r="E73" i="41"/>
  <c r="L26" i="41"/>
  <c r="U26" i="41"/>
  <c r="H57" i="41"/>
  <c r="L9" i="41"/>
  <c r="U8" i="41"/>
  <c r="E89" i="41"/>
  <c r="W32" i="4"/>
  <c r="L42" i="41"/>
  <c r="U42" i="41"/>
  <c r="G86" i="41"/>
  <c r="W29" i="4"/>
  <c r="L39" i="41"/>
  <c r="U39" i="41"/>
  <c r="D79" i="41"/>
  <c r="W22" i="4"/>
  <c r="L32" i="41"/>
  <c r="U32" i="41"/>
  <c r="E76" i="41"/>
  <c r="W19" i="4"/>
  <c r="L29" i="41"/>
  <c r="U29" i="41"/>
  <c r="H68" i="41"/>
  <c r="L21" i="41"/>
  <c r="U21" i="41"/>
  <c r="E64" i="41"/>
  <c r="L17" i="41"/>
  <c r="U17" i="41"/>
  <c r="K102" i="41"/>
  <c r="J141" i="41"/>
  <c r="E132" i="41"/>
  <c r="K41" i="41"/>
  <c r="C88" i="41"/>
  <c r="E82" i="41"/>
  <c r="W25" i="4"/>
  <c r="L35" i="41"/>
  <c r="U35" i="41"/>
  <c r="K75" i="41"/>
  <c r="L28" i="41"/>
  <c r="U28" i="41"/>
  <c r="C71" i="41"/>
  <c r="L24" i="41"/>
  <c r="U24" i="41"/>
  <c r="G67" i="41"/>
  <c r="L20" i="41"/>
  <c r="U20" i="41"/>
  <c r="D63" i="41"/>
  <c r="L16" i="41"/>
  <c r="U16" i="41"/>
  <c r="H59" i="41"/>
  <c r="L12" i="41"/>
  <c r="U12" i="41"/>
  <c r="F55" i="41"/>
  <c r="L7" i="41"/>
  <c r="U3" i="41"/>
  <c r="AG27" i="10"/>
  <c r="J113" i="40"/>
  <c r="L113" i="40" s="1"/>
  <c r="H132" i="41"/>
  <c r="D132" i="41"/>
  <c r="K91" i="41"/>
  <c r="W34" i="4"/>
  <c r="L44" i="41"/>
  <c r="U44" i="41"/>
  <c r="AG36" i="10"/>
  <c r="J122" i="40"/>
  <c r="L122" i="40" s="1"/>
  <c r="H84" i="41"/>
  <c r="W27" i="4"/>
  <c r="L37" i="41"/>
  <c r="U37" i="41"/>
  <c r="D81" i="41"/>
  <c r="W24" i="4"/>
  <c r="L34" i="41"/>
  <c r="U34" i="41"/>
  <c r="G62" i="41"/>
  <c r="L15" i="41"/>
  <c r="U15" i="41"/>
  <c r="E75" i="39"/>
  <c r="N35" i="41"/>
  <c r="Z30" i="10"/>
  <c r="H75" i="39"/>
  <c r="N42" i="41"/>
  <c r="Z37" i="10"/>
  <c r="J68" i="39"/>
  <c r="N28" i="41"/>
  <c r="AR23" i="10"/>
  <c r="Z23" i="10"/>
  <c r="G57" i="39"/>
  <c r="N17" i="41"/>
  <c r="AR12" i="10"/>
  <c r="Z12" i="10"/>
  <c r="E83" i="39"/>
  <c r="N43" i="41"/>
  <c r="Z38" i="10"/>
  <c r="AR38" i="10"/>
  <c r="F69" i="39"/>
  <c r="N29" i="41"/>
  <c r="AR24" i="10"/>
  <c r="Z24" i="10"/>
  <c r="AR13" i="10"/>
  <c r="F86" i="39"/>
  <c r="N46" i="41"/>
  <c r="AR41" i="10"/>
  <c r="Z41" i="10"/>
  <c r="D81" i="39"/>
  <c r="N41" i="41"/>
  <c r="AR36" i="10"/>
  <c r="Z36" i="10"/>
  <c r="C67" i="39"/>
  <c r="N27" i="41"/>
  <c r="Z22" i="10"/>
  <c r="AR22" i="10"/>
  <c r="C60" i="39"/>
  <c r="N20" i="41"/>
  <c r="Z15" i="10"/>
  <c r="AD15" i="10" s="1"/>
  <c r="AR15" i="10"/>
  <c r="C52" i="39"/>
  <c r="N12" i="41"/>
  <c r="Z7" i="10"/>
  <c r="AR7" i="10"/>
  <c r="C76" i="39"/>
  <c r="N36" i="41"/>
  <c r="AR31" i="10"/>
  <c r="Z31" i="10"/>
  <c r="AD31" i="10" s="1"/>
  <c r="G65" i="39"/>
  <c r="N25" i="41"/>
  <c r="AR20" i="10"/>
  <c r="Z20" i="10"/>
  <c r="F61" i="39"/>
  <c r="N21" i="41"/>
  <c r="AR16" i="10"/>
  <c r="Z16" i="10"/>
  <c r="C84" i="39"/>
  <c r="N44" i="41"/>
  <c r="AR39" i="10"/>
  <c r="Z39" i="10"/>
  <c r="F74" i="39"/>
  <c r="N34" i="41"/>
  <c r="AR29" i="10"/>
  <c r="Z29" i="10"/>
  <c r="G66" i="39"/>
  <c r="N26" i="41"/>
  <c r="AR21" i="10"/>
  <c r="Z21" i="10"/>
  <c r="C59" i="39"/>
  <c r="N19" i="41"/>
  <c r="Z14" i="10"/>
  <c r="AR14" i="10"/>
  <c r="N11" i="41"/>
  <c r="Z6" i="10"/>
  <c r="AR6" i="10"/>
  <c r="C40" i="52"/>
  <c r="I40" i="52"/>
  <c r="C147" i="41"/>
  <c r="AG19" i="10"/>
  <c r="J55" i="41"/>
  <c r="E75" i="41"/>
  <c r="L128" i="41"/>
  <c r="AG39" i="10"/>
  <c r="F154" i="41"/>
  <c r="AG26" i="10"/>
  <c r="H89" i="38"/>
  <c r="H90" i="38"/>
  <c r="D89" i="38"/>
  <c r="D90" i="38"/>
  <c r="G89" i="38"/>
  <c r="F89" i="38"/>
  <c r="F90" i="38"/>
  <c r="I89" i="38"/>
  <c r="I90" i="38"/>
  <c r="E89" i="38"/>
  <c r="E90" i="38"/>
  <c r="B37" i="52"/>
  <c r="F71" i="38"/>
  <c r="U7" i="52"/>
  <c r="E51" i="39"/>
  <c r="M86" i="39"/>
  <c r="D82" i="39"/>
  <c r="V18" i="39"/>
  <c r="K46" i="41"/>
  <c r="I119" i="41"/>
  <c r="I126" i="41"/>
  <c r="I120" i="41"/>
  <c r="K120" i="41"/>
  <c r="C89" i="41"/>
  <c r="F65" i="41"/>
  <c r="K65" i="41"/>
  <c r="L125" i="41"/>
  <c r="H164" i="41"/>
  <c r="D142" i="41"/>
  <c r="J142" i="41"/>
  <c r="F56" i="41"/>
  <c r="I56" i="41"/>
  <c r="D56" i="41"/>
  <c r="K56" i="41"/>
  <c r="E56" i="41"/>
  <c r="G56" i="41"/>
  <c r="K22" i="41"/>
  <c r="E155" i="41"/>
  <c r="G164" i="41"/>
  <c r="C164" i="41"/>
  <c r="I118" i="41"/>
  <c r="K118" i="41"/>
  <c r="I110" i="41"/>
  <c r="K110" i="41"/>
  <c r="J107" i="40"/>
  <c r="L107" i="40" s="1"/>
  <c r="I127" i="41"/>
  <c r="K127" i="41"/>
  <c r="J124" i="40"/>
  <c r="L124" i="40" s="1"/>
  <c r="K31" i="41"/>
  <c r="L121" i="41"/>
  <c r="H160" i="41"/>
  <c r="E142" i="41"/>
  <c r="J154" i="41"/>
  <c r="L115" i="41"/>
  <c r="L130" i="41"/>
  <c r="C169" i="41"/>
  <c r="D169" i="41"/>
  <c r="G169" i="41"/>
  <c r="L118" i="41"/>
  <c r="C157" i="41"/>
  <c r="F157" i="41"/>
  <c r="H169" i="41"/>
  <c r="I169" i="41"/>
  <c r="P42" i="52"/>
  <c r="V42" i="52" s="1"/>
  <c r="K119" i="41"/>
  <c r="J116" i="40"/>
  <c r="L116" i="40" s="1"/>
  <c r="H147" i="41"/>
  <c r="L108" i="41"/>
  <c r="G147" i="41"/>
  <c r="L114" i="41"/>
  <c r="G153" i="41"/>
  <c r="K111" i="41"/>
  <c r="J108" i="40"/>
  <c r="L108" i="40" s="1"/>
  <c r="K106" i="41"/>
  <c r="J103" i="40"/>
  <c r="L103" i="40" s="1"/>
  <c r="L103" i="41"/>
  <c r="I142" i="41"/>
  <c r="F142" i="41"/>
  <c r="L102" i="41"/>
  <c r="F141" i="41"/>
  <c r="D58" i="41"/>
  <c r="F58" i="41"/>
  <c r="C158" i="41"/>
  <c r="J155" i="41"/>
  <c r="L116" i="41"/>
  <c r="I104" i="41"/>
  <c r="K104" i="41"/>
  <c r="H69" i="41"/>
  <c r="E61" i="41"/>
  <c r="H55" i="41"/>
  <c r="G160" i="41"/>
  <c r="C160" i="41"/>
  <c r="H143" i="41"/>
  <c r="H142" i="41"/>
  <c r="J83" i="41"/>
  <c r="D164" i="41"/>
  <c r="F158" i="41"/>
  <c r="I112" i="41"/>
  <c r="J64" i="41"/>
  <c r="H56" i="41"/>
  <c r="C56" i="41"/>
  <c r="I48" i="41"/>
  <c r="K30" i="41"/>
  <c r="E55" i="41"/>
  <c r="C55" i="41"/>
  <c r="G78" i="40"/>
  <c r="H82" i="41"/>
  <c r="G83" i="38"/>
  <c r="O36" i="52"/>
  <c r="U36" i="52"/>
  <c r="G81" i="41"/>
  <c r="K71" i="41"/>
  <c r="F63" i="41"/>
  <c r="D84" i="38"/>
  <c r="D83" i="38"/>
  <c r="H81" i="38"/>
  <c r="K83" i="39"/>
  <c r="R39" i="52"/>
  <c r="X39" i="52" s="1"/>
  <c r="F90" i="41"/>
  <c r="J79" i="41"/>
  <c r="C83" i="39"/>
  <c r="I60" i="39"/>
  <c r="G81" i="39"/>
  <c r="I52" i="39"/>
  <c r="J84" i="39"/>
  <c r="I76" i="39"/>
  <c r="E68" i="39"/>
  <c r="E52" i="39"/>
  <c r="L83" i="39"/>
  <c r="D83" i="39"/>
  <c r="H83" i="39"/>
  <c r="G83" i="39"/>
  <c r="C81" i="39"/>
  <c r="M65" i="39"/>
  <c r="E84" i="39"/>
  <c r="J83" i="39"/>
  <c r="F83" i="39"/>
  <c r="M81" i="39"/>
  <c r="D76" i="39"/>
  <c r="K68" i="39"/>
  <c r="R24" i="52"/>
  <c r="X24" i="52" s="1"/>
  <c r="K67" i="39"/>
  <c r="R23" i="52"/>
  <c r="X23" i="52" s="1"/>
  <c r="I65" i="39"/>
  <c r="M57" i="39"/>
  <c r="F84" i="39"/>
  <c r="E76" i="39"/>
  <c r="E60" i="39"/>
  <c r="L84" i="39"/>
  <c r="M83" i="39"/>
  <c r="I83" i="39"/>
  <c r="I81" i="39"/>
  <c r="J76" i="39"/>
  <c r="F68" i="39"/>
  <c r="F59" i="39"/>
  <c r="I57" i="39"/>
  <c r="C75" i="39"/>
  <c r="M59" i="39"/>
  <c r="G51" i="39"/>
  <c r="E67" i="39"/>
  <c r="M51" i="39"/>
  <c r="G75" i="39"/>
  <c r="J67" i="39"/>
  <c r="K59" i="39"/>
  <c r="R15" i="52"/>
  <c r="X15" i="52"/>
  <c r="E59" i="39"/>
  <c r="F51" i="39"/>
  <c r="J75" i="39"/>
  <c r="D75" i="39"/>
  <c r="M67" i="39"/>
  <c r="F67" i="39"/>
  <c r="G59" i="39"/>
  <c r="I51" i="39"/>
  <c r="C51" i="39"/>
  <c r="L75" i="39"/>
  <c r="K51" i="39"/>
  <c r="K75" i="39"/>
  <c r="F75" i="39"/>
  <c r="G67" i="39"/>
  <c r="J59" i="39"/>
  <c r="J51" i="39"/>
  <c r="F84" i="41"/>
  <c r="H73" i="41"/>
  <c r="D68" i="41"/>
  <c r="I76" i="41"/>
  <c r="G65" i="41"/>
  <c r="I74" i="39"/>
  <c r="I84" i="41"/>
  <c r="J68" i="41"/>
  <c r="E65" i="41"/>
  <c r="I86" i="39"/>
  <c r="F83" i="41"/>
  <c r="I79" i="41"/>
  <c r="J71" i="41"/>
  <c r="K63" i="41"/>
  <c r="E87" i="38"/>
  <c r="E86" i="39"/>
  <c r="I69" i="39"/>
  <c r="M61" i="39"/>
  <c r="C81" i="40"/>
  <c r="D78" i="40"/>
  <c r="G70" i="40"/>
  <c r="J57" i="40"/>
  <c r="E84" i="41"/>
  <c r="E83" i="41"/>
  <c r="L83" i="41"/>
  <c r="C82" i="41"/>
  <c r="E79" i="41"/>
  <c r="H76" i="41"/>
  <c r="G73" i="41"/>
  <c r="F71" i="41"/>
  <c r="I68" i="41"/>
  <c r="I65" i="41"/>
  <c r="D65" i="41"/>
  <c r="J63" i="41"/>
  <c r="J81" i="40"/>
  <c r="D82" i="41"/>
  <c r="E63" i="41"/>
  <c r="D85" i="38"/>
  <c r="E61" i="39"/>
  <c r="C78" i="40"/>
  <c r="D37" i="52"/>
  <c r="F75" i="40"/>
  <c r="D70" i="40"/>
  <c r="I57" i="40"/>
  <c r="H90" i="41"/>
  <c r="K83" i="41"/>
  <c r="J82" i="41"/>
  <c r="C79" i="41"/>
  <c r="D76" i="41"/>
  <c r="D73" i="41"/>
  <c r="E71" i="41"/>
  <c r="L71" i="41"/>
  <c r="F68" i="41"/>
  <c r="H65" i="41"/>
  <c r="C65" i="41"/>
  <c r="G63" i="41"/>
  <c r="B38" i="52"/>
  <c r="L86" i="39"/>
  <c r="D86" i="39"/>
  <c r="C61" i="39"/>
  <c r="J51" i="40"/>
  <c r="K89" i="41"/>
  <c r="G89" i="41"/>
  <c r="D62" i="41"/>
  <c r="H85" i="38"/>
  <c r="H82" i="38"/>
  <c r="H79" i="38"/>
  <c r="G77" i="38"/>
  <c r="O30" i="52"/>
  <c r="U30" i="52"/>
  <c r="K86" i="39"/>
  <c r="G86" i="39"/>
  <c r="C86" i="39"/>
  <c r="K42" i="52"/>
  <c r="C82" i="39"/>
  <c r="M69" i="39"/>
  <c r="E69" i="39"/>
  <c r="I61" i="39"/>
  <c r="D74" i="40"/>
  <c r="J89" i="41"/>
  <c r="F89" i="41"/>
  <c r="H77" i="41"/>
  <c r="D64" i="41"/>
  <c r="K61" i="41"/>
  <c r="H77" i="38"/>
  <c r="H86" i="39"/>
  <c r="G69" i="39"/>
  <c r="J61" i="39"/>
  <c r="G85" i="38"/>
  <c r="O38" i="52"/>
  <c r="U38" i="52"/>
  <c r="D77" i="38"/>
  <c r="J86" i="39"/>
  <c r="J69" i="39"/>
  <c r="C69" i="39"/>
  <c r="G61" i="39"/>
  <c r="I89" i="41"/>
  <c r="D89" i="41"/>
  <c r="G61" i="41"/>
  <c r="K58" i="41"/>
  <c r="G87" i="38"/>
  <c r="O40" i="52"/>
  <c r="U40" i="52"/>
  <c r="I87" i="38"/>
  <c r="H84" i="38"/>
  <c r="B35" i="52"/>
  <c r="D79" i="38"/>
  <c r="F73" i="38"/>
  <c r="F87" i="38"/>
  <c r="H83" i="38"/>
  <c r="B34" i="52"/>
  <c r="B32" i="52"/>
  <c r="B28" i="52"/>
  <c r="B26" i="52"/>
  <c r="D71" i="38"/>
  <c r="G79" i="38"/>
  <c r="O32" i="52"/>
  <c r="U32" i="52"/>
  <c r="H71" i="38"/>
  <c r="D81" i="38"/>
  <c r="E71" i="38"/>
  <c r="I84" i="39"/>
  <c r="K81" i="39"/>
  <c r="R37" i="52"/>
  <c r="X37" i="52" s="1"/>
  <c r="F81" i="39"/>
  <c r="H76" i="39"/>
  <c r="C68" i="39"/>
  <c r="M84" i="39"/>
  <c r="H84" i="39"/>
  <c r="P84" i="39"/>
  <c r="G82" i="39"/>
  <c r="J81" i="39"/>
  <c r="E81" i="39"/>
  <c r="L76" i="39"/>
  <c r="F76" i="39"/>
  <c r="M75" i="39"/>
  <c r="I75" i="39"/>
  <c r="M74" i="39"/>
  <c r="I68" i="39"/>
  <c r="I67" i="39"/>
  <c r="C65" i="39"/>
  <c r="J60" i="39"/>
  <c r="I59" i="39"/>
  <c r="C57" i="39"/>
  <c r="J52" i="39"/>
  <c r="E74" i="39"/>
  <c r="M66" i="39"/>
  <c r="D84" i="39"/>
  <c r="K82" i="39"/>
  <c r="R38" i="52"/>
  <c r="X38" i="52"/>
  <c r="M76" i="39"/>
  <c r="C65" i="40"/>
  <c r="C51" i="40"/>
  <c r="I78" i="40"/>
  <c r="J63" i="40"/>
  <c r="C57" i="40"/>
  <c r="I59" i="40"/>
  <c r="G53" i="40"/>
  <c r="I48" i="40"/>
  <c r="F53" i="40"/>
  <c r="E81" i="40"/>
  <c r="H75" i="40"/>
  <c r="H70" i="40"/>
  <c r="C67" i="40"/>
  <c r="E55" i="40"/>
  <c r="J67" i="40"/>
  <c r="I81" i="40"/>
  <c r="J75" i="40"/>
  <c r="D73" i="40"/>
  <c r="I70" i="40"/>
  <c r="I67" i="40"/>
  <c r="J55" i="40"/>
  <c r="J65" i="40"/>
  <c r="G59" i="40"/>
  <c r="I51" i="40"/>
  <c r="H71" i="40"/>
  <c r="I73" i="40"/>
  <c r="G67" i="40"/>
  <c r="I65" i="40"/>
  <c r="E63" i="40"/>
  <c r="E59" i="40"/>
  <c r="E57" i="40"/>
  <c r="J53" i="40"/>
  <c r="E53" i="40"/>
  <c r="G51" i="40"/>
  <c r="H79" i="40"/>
  <c r="Q38" i="52"/>
  <c r="W38" i="52"/>
  <c r="H53" i="40"/>
  <c r="F71" i="40"/>
  <c r="E67" i="40"/>
  <c r="E65" i="40"/>
  <c r="J59" i="40"/>
  <c r="C59" i="40"/>
  <c r="I53" i="40"/>
  <c r="C53" i="40"/>
  <c r="E51" i="40"/>
  <c r="E48" i="40"/>
  <c r="E81" i="41"/>
  <c r="G69" i="41"/>
  <c r="I90" i="41"/>
  <c r="D90" i="41"/>
  <c r="J84" i="41"/>
  <c r="D84" i="41"/>
  <c r="G83" i="41"/>
  <c r="K82" i="41"/>
  <c r="F82" i="41"/>
  <c r="I81" i="41"/>
  <c r="K79" i="41"/>
  <c r="F79" i="41"/>
  <c r="F76" i="41"/>
  <c r="I73" i="41"/>
  <c r="C73" i="41"/>
  <c r="G71" i="41"/>
  <c r="K69" i="41"/>
  <c r="C69" i="41"/>
  <c r="E68" i="41"/>
  <c r="H64" i="41"/>
  <c r="I63" i="41"/>
  <c r="C63" i="41"/>
  <c r="F62" i="41"/>
  <c r="H61" i="41"/>
  <c r="C61" i="41"/>
  <c r="J62" i="41"/>
  <c r="J90" i="41"/>
  <c r="I83" i="41"/>
  <c r="G82" i="41"/>
  <c r="K81" i="41"/>
  <c r="G79" i="41"/>
  <c r="I71" i="41"/>
  <c r="I64" i="41"/>
  <c r="I61" i="41"/>
  <c r="D61" i="41"/>
  <c r="I82" i="41"/>
  <c r="E58" i="41"/>
  <c r="G58" i="41"/>
  <c r="J58" i="41"/>
  <c r="I58" i="41"/>
  <c r="C58" i="41"/>
  <c r="D167" i="41"/>
  <c r="H167" i="41"/>
  <c r="F155" i="41"/>
  <c r="E153" i="41"/>
  <c r="I153" i="41"/>
  <c r="E91" i="41"/>
  <c r="L91" i="41"/>
  <c r="C91" i="41"/>
  <c r="H91" i="41"/>
  <c r="D91" i="41"/>
  <c r="J91" i="41"/>
  <c r="E86" i="41"/>
  <c r="F86" i="41"/>
  <c r="K86" i="41"/>
  <c r="C86" i="41"/>
  <c r="J86" i="41"/>
  <c r="D86" i="41"/>
  <c r="E57" i="41"/>
  <c r="L57" i="41"/>
  <c r="G57" i="41"/>
  <c r="C57" i="41"/>
  <c r="J57" i="41"/>
  <c r="D57" i="41"/>
  <c r="K57" i="41"/>
  <c r="G167" i="41"/>
  <c r="D155" i="41"/>
  <c r="E154" i="41"/>
  <c r="F153" i="41"/>
  <c r="F169" i="41"/>
  <c r="J169" i="41"/>
  <c r="E160" i="41"/>
  <c r="I160" i="41"/>
  <c r="J160" i="41"/>
  <c r="F160" i="41"/>
  <c r="D157" i="41"/>
  <c r="H157" i="41"/>
  <c r="E157" i="41"/>
  <c r="I157" i="41"/>
  <c r="H153" i="41"/>
  <c r="D153" i="41"/>
  <c r="G91" i="41"/>
  <c r="F57" i="41"/>
  <c r="I91" i="41"/>
  <c r="K33" i="41"/>
  <c r="I117" i="41"/>
  <c r="F77" i="41"/>
  <c r="C77" i="41"/>
  <c r="I77" i="41"/>
  <c r="D75" i="41"/>
  <c r="H75" i="41"/>
  <c r="C75" i="41"/>
  <c r="I75" i="41"/>
  <c r="F75" i="41"/>
  <c r="G75" i="41"/>
  <c r="K23" i="41"/>
  <c r="I107" i="41"/>
  <c r="D67" i="41"/>
  <c r="H67" i="41"/>
  <c r="F67" i="41"/>
  <c r="K67" i="41"/>
  <c r="I67" i="41"/>
  <c r="C67" i="41"/>
  <c r="J67" i="41"/>
  <c r="C59" i="41"/>
  <c r="G59" i="41"/>
  <c r="K59" i="41"/>
  <c r="E59" i="41"/>
  <c r="J59" i="41"/>
  <c r="I59" i="41"/>
  <c r="D59" i="41"/>
  <c r="E169" i="41"/>
  <c r="F167" i="41"/>
  <c r="D160" i="41"/>
  <c r="I155" i="41"/>
  <c r="C153" i="41"/>
  <c r="I166" i="41"/>
  <c r="E164" i="41"/>
  <c r="I164" i="41"/>
  <c r="P37" i="52"/>
  <c r="V37" i="52" s="1"/>
  <c r="J164" i="41"/>
  <c r="F164" i="41"/>
  <c r="F91" i="41"/>
  <c r="J75" i="41"/>
  <c r="E67" i="41"/>
  <c r="C154" i="41"/>
  <c r="G154" i="41"/>
  <c r="D154" i="41"/>
  <c r="H154" i="41"/>
  <c r="J167" i="41"/>
  <c r="K167" i="41"/>
  <c r="E167" i="41"/>
  <c r="H155" i="41"/>
  <c r="I154" i="41"/>
  <c r="J153" i="41"/>
  <c r="G155" i="41"/>
  <c r="C155" i="41"/>
  <c r="J147" i="41"/>
  <c r="D147" i="41"/>
  <c r="I147" i="41"/>
  <c r="E147" i="41"/>
  <c r="F147" i="41"/>
  <c r="H141" i="41"/>
  <c r="H86" i="41"/>
  <c r="I143" i="41"/>
  <c r="G142" i="41"/>
  <c r="C142" i="41"/>
  <c r="K40" i="41"/>
  <c r="I124" i="41"/>
  <c r="K38" i="41"/>
  <c r="I122" i="41"/>
  <c r="F81" i="41"/>
  <c r="J81" i="41"/>
  <c r="C81" i="41"/>
  <c r="H81" i="41"/>
  <c r="H78" i="41"/>
  <c r="K25" i="41"/>
  <c r="L25" i="41"/>
  <c r="U25" i="41"/>
  <c r="I109" i="41"/>
  <c r="F69" i="41"/>
  <c r="J69" i="41"/>
  <c r="D69" i="41"/>
  <c r="I69" i="41"/>
  <c r="E62" i="41"/>
  <c r="C62" i="41"/>
  <c r="H62" i="41"/>
  <c r="F143" i="41"/>
  <c r="C90" i="41"/>
  <c r="G90" i="41"/>
  <c r="K90" i="41"/>
  <c r="D88" i="41"/>
  <c r="C64" i="41"/>
  <c r="G64" i="41"/>
  <c r="K64" i="41"/>
  <c r="F64" i="41"/>
  <c r="G55" i="41"/>
  <c r="K55" i="41"/>
  <c r="D55" i="41"/>
  <c r="I123" i="41"/>
  <c r="I113" i="41"/>
  <c r="I105" i="41"/>
  <c r="J76" i="41"/>
  <c r="K73" i="41"/>
  <c r="I55" i="41"/>
  <c r="D83" i="41"/>
  <c r="H83" i="41"/>
  <c r="K27" i="41"/>
  <c r="D71" i="41"/>
  <c r="H71" i="41"/>
  <c r="K19" i="41"/>
  <c r="I86" i="41"/>
  <c r="C84" i="41"/>
  <c r="G84" i="41"/>
  <c r="K84" i="41"/>
  <c r="C76" i="41"/>
  <c r="G76" i="41"/>
  <c r="K76" i="41"/>
  <c r="F73" i="41"/>
  <c r="J73" i="41"/>
  <c r="C68" i="41"/>
  <c r="G68" i="41"/>
  <c r="K68" i="41"/>
  <c r="I62" i="41"/>
  <c r="I57" i="41"/>
  <c r="H79" i="41"/>
  <c r="J65" i="41"/>
  <c r="H63" i="41"/>
  <c r="J61" i="41"/>
  <c r="H58" i="41"/>
  <c r="J56" i="41"/>
  <c r="C69" i="40"/>
  <c r="G69" i="40"/>
  <c r="I69" i="40"/>
  <c r="E69" i="40"/>
  <c r="J69" i="40"/>
  <c r="F69" i="40"/>
  <c r="D69" i="40"/>
  <c r="E79" i="40"/>
  <c r="I79" i="40"/>
  <c r="F74" i="40"/>
  <c r="J74" i="40"/>
  <c r="J24" i="40"/>
  <c r="H66" i="40"/>
  <c r="H58" i="40"/>
  <c r="Q17" i="52"/>
  <c r="W17" i="52"/>
  <c r="J7" i="40"/>
  <c r="H49" i="40"/>
  <c r="H74" i="40"/>
  <c r="C74" i="40"/>
  <c r="J71" i="40"/>
  <c r="H69" i="40"/>
  <c r="I63" i="40"/>
  <c r="I55" i="40"/>
  <c r="C55" i="40"/>
  <c r="J34" i="40"/>
  <c r="C73" i="40"/>
  <c r="G73" i="40"/>
  <c r="J26" i="40"/>
  <c r="H63" i="40"/>
  <c r="H55" i="40"/>
  <c r="J10" i="40"/>
  <c r="H52" i="40"/>
  <c r="G81" i="40"/>
  <c r="F73" i="40"/>
  <c r="C71" i="40"/>
  <c r="G63" i="40"/>
  <c r="G57" i="40"/>
  <c r="G55" i="40"/>
  <c r="G48" i="40"/>
  <c r="F78" i="40"/>
  <c r="J78" i="40"/>
  <c r="E75" i="40"/>
  <c r="I75" i="40"/>
  <c r="F70" i="40"/>
  <c r="J70" i="40"/>
  <c r="H65" i="40"/>
  <c r="F81" i="40"/>
  <c r="G79" i="40"/>
  <c r="E78" i="40"/>
  <c r="G75" i="40"/>
  <c r="E74" i="40"/>
  <c r="J73" i="40"/>
  <c r="E73" i="40"/>
  <c r="E70" i="40"/>
  <c r="F67" i="40"/>
  <c r="F65" i="40"/>
  <c r="F63" i="40"/>
  <c r="F59" i="40"/>
  <c r="F57" i="40"/>
  <c r="F55" i="40"/>
  <c r="F51" i="40"/>
  <c r="F48" i="40"/>
  <c r="J38" i="40"/>
  <c r="H80" i="40"/>
  <c r="Q39" i="52"/>
  <c r="W39" i="52"/>
  <c r="J35" i="40"/>
  <c r="J30" i="40"/>
  <c r="H67" i="40"/>
  <c r="J22" i="40"/>
  <c r="H64" i="40"/>
  <c r="J19" i="40"/>
  <c r="H61" i="40"/>
  <c r="H59" i="40"/>
  <c r="J14" i="40"/>
  <c r="H56" i="40"/>
  <c r="H51" i="40"/>
  <c r="E71" i="40"/>
  <c r="I71" i="40"/>
  <c r="J79" i="40"/>
  <c r="D79" i="40"/>
  <c r="D71" i="40"/>
  <c r="C63" i="40"/>
  <c r="J18" i="40"/>
  <c r="C79" i="40"/>
  <c r="D38" i="52"/>
  <c r="G74" i="40"/>
  <c r="G65" i="40"/>
  <c r="H81" i="40"/>
  <c r="Q40" i="52"/>
  <c r="W40" i="52"/>
  <c r="J20" i="40"/>
  <c r="H62" i="40"/>
  <c r="H57" i="40"/>
  <c r="J12" i="40"/>
  <c r="H54" i="40"/>
  <c r="H48" i="40"/>
  <c r="D66" i="39"/>
  <c r="H66" i="39"/>
  <c r="L66" i="39"/>
  <c r="J82" i="39"/>
  <c r="L74" i="39"/>
  <c r="H74" i="39"/>
  <c r="D74" i="39"/>
  <c r="K66" i="39"/>
  <c r="R22" i="52"/>
  <c r="X22" i="52" s="1"/>
  <c r="F66" i="39"/>
  <c r="D68" i="39"/>
  <c r="H68" i="39"/>
  <c r="L68" i="39"/>
  <c r="D65" i="39"/>
  <c r="H65" i="39"/>
  <c r="L65" i="39"/>
  <c r="D60" i="39"/>
  <c r="H60" i="39"/>
  <c r="L60" i="39"/>
  <c r="D57" i="39"/>
  <c r="H57" i="39"/>
  <c r="L57" i="39"/>
  <c r="D52" i="39"/>
  <c r="H52" i="39"/>
  <c r="L52" i="39"/>
  <c r="K84" i="39"/>
  <c r="G84" i="39"/>
  <c r="M82" i="39"/>
  <c r="I82" i="39"/>
  <c r="E82" i="39"/>
  <c r="L81" i="39"/>
  <c r="H81" i="39"/>
  <c r="K76" i="39"/>
  <c r="R32" i="52"/>
  <c r="X32" i="52"/>
  <c r="G76" i="39"/>
  <c r="K74" i="39"/>
  <c r="R30" i="52"/>
  <c r="X30" i="52"/>
  <c r="G74" i="39"/>
  <c r="C74" i="39"/>
  <c r="K69" i="39"/>
  <c r="R25" i="52"/>
  <c r="X25" i="52" s="1"/>
  <c r="M68" i="39"/>
  <c r="G68" i="39"/>
  <c r="J66" i="39"/>
  <c r="E66" i="39"/>
  <c r="K65" i="39"/>
  <c r="R21" i="52"/>
  <c r="X21" i="52"/>
  <c r="F65" i="39"/>
  <c r="K61" i="39"/>
  <c r="R17" i="52"/>
  <c r="X17" i="52"/>
  <c r="M60" i="39"/>
  <c r="G60" i="39"/>
  <c r="K57" i="39"/>
  <c r="R13" i="52"/>
  <c r="X13" i="52" s="1"/>
  <c r="Y13" i="52" s="1"/>
  <c r="F57" i="39"/>
  <c r="M52" i="39"/>
  <c r="G52" i="39"/>
  <c r="K43" i="39"/>
  <c r="D67" i="39"/>
  <c r="H67" i="39"/>
  <c r="L67" i="39"/>
  <c r="D59" i="39"/>
  <c r="H59" i="39"/>
  <c r="L59" i="39"/>
  <c r="D51" i="39"/>
  <c r="H51" i="39"/>
  <c r="L51" i="39"/>
  <c r="F82" i="39"/>
  <c r="L82" i="39"/>
  <c r="H82" i="39"/>
  <c r="J74" i="39"/>
  <c r="I66" i="39"/>
  <c r="C66" i="39"/>
  <c r="J65" i="39"/>
  <c r="E65" i="39"/>
  <c r="K60" i="39"/>
  <c r="R16" i="52"/>
  <c r="X16" i="52" s="1"/>
  <c r="F60" i="39"/>
  <c r="C58" i="39"/>
  <c r="J57" i="39"/>
  <c r="E57" i="39"/>
  <c r="K52" i="39"/>
  <c r="R8" i="52"/>
  <c r="X8" i="52" s="1"/>
  <c r="Y8" i="52" s="1"/>
  <c r="F52" i="39"/>
  <c r="D69" i="39"/>
  <c r="H69" i="39"/>
  <c r="L69" i="39"/>
  <c r="D61" i="39"/>
  <c r="H61" i="39"/>
  <c r="L61" i="39"/>
  <c r="I40" i="38"/>
  <c r="G86" i="38"/>
  <c r="O39" i="52"/>
  <c r="U39" i="52"/>
  <c r="I32" i="38"/>
  <c r="G44" i="38"/>
  <c r="G70" i="38"/>
  <c r="O23" i="52"/>
  <c r="U23" i="52"/>
  <c r="E80" i="38"/>
  <c r="I80" i="38"/>
  <c r="F80" i="38"/>
  <c r="B33" i="52"/>
  <c r="E82" i="38"/>
  <c r="I82" i="38"/>
  <c r="F82" i="38"/>
  <c r="G74" i="38"/>
  <c r="O27" i="52"/>
  <c r="U27" i="52"/>
  <c r="D82" i="38"/>
  <c r="H80" i="38"/>
  <c r="E84" i="38"/>
  <c r="I84" i="38"/>
  <c r="F84" i="38"/>
  <c r="I30" i="38"/>
  <c r="G76" i="38"/>
  <c r="O29" i="52"/>
  <c r="U29" i="52"/>
  <c r="H87" i="38"/>
  <c r="D87" i="38"/>
  <c r="F85" i="38"/>
  <c r="F83" i="38"/>
  <c r="F81" i="38"/>
  <c r="F79" i="38"/>
  <c r="F77" i="38"/>
  <c r="F75" i="38"/>
  <c r="I73" i="38"/>
  <c r="E73" i="38"/>
  <c r="G71" i="38"/>
  <c r="O24" i="52"/>
  <c r="U24" i="52"/>
  <c r="B24" i="52"/>
  <c r="I85" i="38"/>
  <c r="I83" i="38"/>
  <c r="I81" i="38"/>
  <c r="I79" i="38"/>
  <c r="I77" i="38"/>
  <c r="I75" i="38"/>
  <c r="H73" i="38"/>
  <c r="F39" i="10"/>
  <c r="Q20" i="10"/>
  <c r="P11" i="10"/>
  <c r="H38" i="4"/>
  <c r="F38" i="4"/>
  <c r="E38" i="4"/>
  <c r="D38" i="4"/>
  <c r="C38" i="4"/>
  <c r="P34" i="10"/>
  <c r="P33" i="10"/>
  <c r="P32" i="10"/>
  <c r="P31" i="10"/>
  <c r="P30" i="10"/>
  <c r="P29" i="10"/>
  <c r="P28" i="10"/>
  <c r="P27" i="10"/>
  <c r="P26" i="10"/>
  <c r="P25" i="10"/>
  <c r="P24" i="10"/>
  <c r="P23" i="10"/>
  <c r="P22" i="10"/>
  <c r="P21" i="10"/>
  <c r="P20" i="10"/>
  <c r="P19" i="10"/>
  <c r="P18" i="10"/>
  <c r="P17" i="10"/>
  <c r="P16" i="10"/>
  <c r="P15" i="10"/>
  <c r="P14" i="10"/>
  <c r="P13" i="10"/>
  <c r="P12" i="10"/>
  <c r="M34" i="4"/>
  <c r="M33" i="4"/>
  <c r="M32" i="4"/>
  <c r="M31" i="4"/>
  <c r="M30" i="4"/>
  <c r="M29" i="4"/>
  <c r="M28" i="4"/>
  <c r="T28" i="4" s="1"/>
  <c r="M27" i="4"/>
  <c r="M26" i="4"/>
  <c r="M25" i="4"/>
  <c r="M24" i="4"/>
  <c r="M23" i="4"/>
  <c r="M22" i="4"/>
  <c r="M21" i="4"/>
  <c r="M20" i="4"/>
  <c r="O34" i="4"/>
  <c r="N34" i="4"/>
  <c r="N33" i="4"/>
  <c r="O32" i="4"/>
  <c r="N32" i="4"/>
  <c r="N31" i="4"/>
  <c r="I26" i="4"/>
  <c r="K26" i="4" s="1"/>
  <c r="I34" i="4"/>
  <c r="K34" i="4"/>
  <c r="D61" i="4" s="1"/>
  <c r="I33" i="4"/>
  <c r="I32" i="4"/>
  <c r="K32" i="4"/>
  <c r="I31" i="4"/>
  <c r="I30" i="4"/>
  <c r="K30" i="4" s="1"/>
  <c r="I29" i="4"/>
  <c r="I28" i="4"/>
  <c r="K28" i="4" s="1"/>
  <c r="I25" i="4"/>
  <c r="I24" i="4"/>
  <c r="K24" i="4"/>
  <c r="AH29" i="10" s="1"/>
  <c r="I23" i="4"/>
  <c r="K23" i="4"/>
  <c r="I22" i="4"/>
  <c r="K22" i="4"/>
  <c r="AH27" i="10" s="1"/>
  <c r="I21" i="4"/>
  <c r="I20" i="4"/>
  <c r="I19" i="4"/>
  <c r="I27" i="4"/>
  <c r="K27" i="4"/>
  <c r="L87" i="3"/>
  <c r="L83" i="3"/>
  <c r="L80" i="3"/>
  <c r="L79" i="3"/>
  <c r="M75" i="3"/>
  <c r="L75" i="3"/>
  <c r="M73" i="3"/>
  <c r="L71" i="3"/>
  <c r="L67" i="3"/>
  <c r="L64" i="3"/>
  <c r="L63" i="3"/>
  <c r="G36" i="10"/>
  <c r="I36" i="10"/>
  <c r="AF41" i="10"/>
  <c r="Q34" i="10"/>
  <c r="G34" i="10"/>
  <c r="I34" i="10"/>
  <c r="AF39" i="10"/>
  <c r="Q33" i="10"/>
  <c r="G33" i="10"/>
  <c r="I33" i="10"/>
  <c r="AF38" i="10"/>
  <c r="G126" i="3"/>
  <c r="I126" i="3"/>
  <c r="G131" i="3"/>
  <c r="G127" i="3"/>
  <c r="Q32" i="10"/>
  <c r="G32" i="10"/>
  <c r="I32" i="10"/>
  <c r="AF37" i="10"/>
  <c r="G161" i="3"/>
  <c r="H161" i="3" s="1"/>
  <c r="G125" i="3"/>
  <c r="H125" i="3"/>
  <c r="Q8" i="10"/>
  <c r="Q21" i="10"/>
  <c r="G159" i="3"/>
  <c r="N30" i="4"/>
  <c r="N29" i="4"/>
  <c r="N28" i="4"/>
  <c r="N26" i="4"/>
  <c r="N25" i="4"/>
  <c r="N24" i="4"/>
  <c r="N23" i="4"/>
  <c r="N22" i="4"/>
  <c r="N21" i="4"/>
  <c r="N20" i="4"/>
  <c r="N19" i="4"/>
  <c r="M19" i="4"/>
  <c r="Q6" i="10"/>
  <c r="Q7" i="10"/>
  <c r="Q9" i="10"/>
  <c r="Q10" i="10"/>
  <c r="Q11" i="10"/>
  <c r="G11" i="10"/>
  <c r="Q15" i="10"/>
  <c r="Q16" i="10"/>
  <c r="G19" i="10"/>
  <c r="Q19" i="10"/>
  <c r="G20" i="10"/>
  <c r="I20" i="10"/>
  <c r="AF25" i="10"/>
  <c r="G21" i="10"/>
  <c r="I21" i="10"/>
  <c r="AF26" i="10"/>
  <c r="G28" i="10"/>
  <c r="Q28" i="10"/>
  <c r="Q29" i="10"/>
  <c r="G29" i="10"/>
  <c r="G31" i="10"/>
  <c r="I31" i="10"/>
  <c r="AF36" i="10"/>
  <c r="Q31" i="10"/>
  <c r="AA257" i="5"/>
  <c r="AA258" i="5"/>
  <c r="Y262" i="5"/>
  <c r="Y263" i="5"/>
  <c r="Y264" i="5"/>
  <c r="O6" i="4"/>
  <c r="O8" i="4"/>
  <c r="O9" i="4"/>
  <c r="O10" i="4"/>
  <c r="O12" i="4"/>
  <c r="O13" i="4"/>
  <c r="O14" i="4"/>
  <c r="O16" i="4"/>
  <c r="O17" i="4"/>
  <c r="O18" i="4"/>
  <c r="O20" i="4"/>
  <c r="O22" i="4"/>
  <c r="O24" i="4"/>
  <c r="O26" i="4"/>
  <c r="T26" i="4" s="1"/>
  <c r="U26" i="4" s="1"/>
  <c r="O28" i="4"/>
  <c r="O30" i="4"/>
  <c r="G6" i="3"/>
  <c r="G7" i="3"/>
  <c r="H7" i="3"/>
  <c r="G8" i="3"/>
  <c r="H8" i="3"/>
  <c r="G9" i="3"/>
  <c r="H9" i="3"/>
  <c r="G10" i="3"/>
  <c r="H10" i="3"/>
  <c r="G11" i="3"/>
  <c r="H11" i="3"/>
  <c r="G12" i="3"/>
  <c r="H12" i="3"/>
  <c r="G13" i="3"/>
  <c r="H13" i="3"/>
  <c r="G14" i="3"/>
  <c r="H14" i="3"/>
  <c r="G15" i="3"/>
  <c r="H15" i="3"/>
  <c r="G16" i="3"/>
  <c r="H16" i="3"/>
  <c r="G17" i="3"/>
  <c r="H17" i="3"/>
  <c r="G18" i="3"/>
  <c r="H18" i="3"/>
  <c r="G19" i="3"/>
  <c r="H19" i="3"/>
  <c r="G20" i="3"/>
  <c r="H20" i="3"/>
  <c r="G21" i="3"/>
  <c r="H21" i="3"/>
  <c r="G22" i="3"/>
  <c r="H22" i="3"/>
  <c r="G23" i="3"/>
  <c r="H23" i="3"/>
  <c r="G24" i="3"/>
  <c r="H24" i="3"/>
  <c r="G25" i="3"/>
  <c r="H25" i="3"/>
  <c r="G26" i="3"/>
  <c r="H26" i="3"/>
  <c r="G27" i="3"/>
  <c r="H27" i="3"/>
  <c r="G28" i="3"/>
  <c r="H28" i="3"/>
  <c r="G29" i="3"/>
  <c r="G30" i="3"/>
  <c r="H30" i="3"/>
  <c r="G31" i="3"/>
  <c r="H31" i="3"/>
  <c r="G32" i="3"/>
  <c r="H32" i="3"/>
  <c r="G33" i="3"/>
  <c r="H33" i="3"/>
  <c r="G34" i="3"/>
  <c r="H34" i="3"/>
  <c r="G35" i="3"/>
  <c r="H35" i="3"/>
  <c r="G36" i="3"/>
  <c r="H36" i="3"/>
  <c r="G37" i="3"/>
  <c r="H37" i="3"/>
  <c r="G54" i="3"/>
  <c r="G55" i="3"/>
  <c r="G75" i="3"/>
  <c r="G93" i="3"/>
  <c r="L93" i="3"/>
  <c r="J93" i="3"/>
  <c r="M93" i="3"/>
  <c r="G94" i="3"/>
  <c r="I94" i="3"/>
  <c r="J94" i="3"/>
  <c r="M94" i="3"/>
  <c r="M95" i="3"/>
  <c r="G96" i="3"/>
  <c r="L96" i="3"/>
  <c r="J96" i="3"/>
  <c r="M96" i="3"/>
  <c r="G97" i="3"/>
  <c r="H97" i="3"/>
  <c r="J97" i="3"/>
  <c r="M97" i="3"/>
  <c r="G98" i="3"/>
  <c r="H98" i="3"/>
  <c r="J98" i="3"/>
  <c r="M98" i="3"/>
  <c r="G99" i="3"/>
  <c r="L99" i="3"/>
  <c r="J99" i="3"/>
  <c r="M99" i="3"/>
  <c r="G100" i="3"/>
  <c r="I100" i="3"/>
  <c r="J100" i="3"/>
  <c r="M100" i="3"/>
  <c r="G101" i="3"/>
  <c r="K101" i="3"/>
  <c r="J101" i="3"/>
  <c r="M101" i="3"/>
  <c r="G102" i="3"/>
  <c r="H102" i="3"/>
  <c r="J102" i="3"/>
  <c r="M102" i="3"/>
  <c r="G103" i="3"/>
  <c r="I103" i="3"/>
  <c r="J103" i="3"/>
  <c r="M103" i="3"/>
  <c r="G104" i="3"/>
  <c r="L104" i="3"/>
  <c r="J104" i="3"/>
  <c r="M104" i="3"/>
  <c r="G105" i="3"/>
  <c r="H105" i="3"/>
  <c r="J105" i="3"/>
  <c r="M105" i="3"/>
  <c r="G106" i="3"/>
  <c r="K106" i="3"/>
  <c r="J106" i="3"/>
  <c r="M106" i="3"/>
  <c r="G107" i="3"/>
  <c r="H107" i="3"/>
  <c r="J107" i="3"/>
  <c r="M107" i="3"/>
  <c r="G108" i="3"/>
  <c r="I108" i="3"/>
  <c r="J108" i="3"/>
  <c r="M108" i="3"/>
  <c r="G109" i="3"/>
  <c r="H109" i="3"/>
  <c r="J109" i="3"/>
  <c r="M109" i="3"/>
  <c r="G110" i="3"/>
  <c r="H110" i="3"/>
  <c r="J110" i="3"/>
  <c r="M110" i="3"/>
  <c r="G111" i="3"/>
  <c r="K111" i="3"/>
  <c r="J111" i="3"/>
  <c r="M111" i="3"/>
  <c r="G112" i="3"/>
  <c r="K112" i="3"/>
  <c r="J112" i="3"/>
  <c r="M112" i="3"/>
  <c r="G113" i="3"/>
  <c r="H113" i="3"/>
  <c r="J113" i="3"/>
  <c r="M113" i="3"/>
  <c r="G114" i="3"/>
  <c r="L114" i="3"/>
  <c r="J114" i="3"/>
  <c r="M114" i="3"/>
  <c r="G115" i="3"/>
  <c r="L115" i="3"/>
  <c r="J115" i="3"/>
  <c r="M115" i="3"/>
  <c r="G116" i="3"/>
  <c r="K116" i="3"/>
  <c r="G117" i="3"/>
  <c r="L117" i="3"/>
  <c r="G118" i="3"/>
  <c r="I118" i="3"/>
  <c r="G119" i="3"/>
  <c r="L119" i="3"/>
  <c r="G120" i="3"/>
  <c r="H120" i="3"/>
  <c r="G121" i="3"/>
  <c r="I121" i="3"/>
  <c r="G122" i="3"/>
  <c r="H122" i="3"/>
  <c r="G123" i="3"/>
  <c r="I123" i="3"/>
  <c r="G124" i="3"/>
  <c r="I124" i="3"/>
  <c r="G132" i="3"/>
  <c r="I132" i="3" s="1"/>
  <c r="K132" i="3"/>
  <c r="G133" i="3"/>
  <c r="I133" i="3"/>
  <c r="G136" i="3"/>
  <c r="I136" i="3" s="1"/>
  <c r="J136" i="3" s="1"/>
  <c r="G137" i="3"/>
  <c r="H137" i="3" s="1"/>
  <c r="G139" i="3"/>
  <c r="G140" i="3"/>
  <c r="K140" i="3"/>
  <c r="G141" i="3"/>
  <c r="K141" i="3" s="1"/>
  <c r="G144" i="3"/>
  <c r="H144" i="3" s="1"/>
  <c r="J144" i="3" s="1"/>
  <c r="K144" i="3"/>
  <c r="G145" i="3"/>
  <c r="I145" i="3" s="1"/>
  <c r="G148" i="3"/>
  <c r="K148" i="3" s="1"/>
  <c r="H148" i="3"/>
  <c r="G152" i="3"/>
  <c r="K152" i="3"/>
  <c r="G155" i="3"/>
  <c r="I155" i="3" s="1"/>
  <c r="G156" i="3"/>
  <c r="I156" i="3" s="1"/>
  <c r="J156" i="3" s="1"/>
  <c r="G160" i="3"/>
  <c r="I160" i="3" s="1"/>
  <c r="Q30" i="10"/>
  <c r="G30" i="10"/>
  <c r="I30" i="10"/>
  <c r="AF35" i="10"/>
  <c r="Q27" i="10"/>
  <c r="G25" i="10"/>
  <c r="I25" i="10"/>
  <c r="AF30" i="10"/>
  <c r="Q25" i="10"/>
  <c r="G23" i="10"/>
  <c r="G14" i="10"/>
  <c r="I14" i="10"/>
  <c r="AF19" i="10"/>
  <c r="Q13" i="10"/>
  <c r="G13" i="10"/>
  <c r="I13" i="10"/>
  <c r="AF18" i="10"/>
  <c r="Q17" i="10"/>
  <c r="G17" i="10"/>
  <c r="I17" i="10"/>
  <c r="AF22" i="10"/>
  <c r="Q12" i="10"/>
  <c r="G12" i="10"/>
  <c r="I12" i="10"/>
  <c r="AF17" i="10"/>
  <c r="G22" i="10"/>
  <c r="I22" i="10"/>
  <c r="AF27" i="10"/>
  <c r="Q18" i="10"/>
  <c r="G16" i="10"/>
  <c r="I16" i="10"/>
  <c r="AF21" i="10"/>
  <c r="G18" i="10"/>
  <c r="G15" i="10"/>
  <c r="I15" i="10"/>
  <c r="AF20" i="10"/>
  <c r="G26" i="10"/>
  <c r="I26" i="10"/>
  <c r="AF31" i="10"/>
  <c r="Q26" i="10"/>
  <c r="Q22" i="10"/>
  <c r="G24" i="10"/>
  <c r="I24" i="10"/>
  <c r="AF29" i="10"/>
  <c r="Q24" i="10"/>
  <c r="G27" i="10"/>
  <c r="I27" i="10"/>
  <c r="AF32" i="10"/>
  <c r="Q23" i="10"/>
  <c r="Q14" i="10"/>
  <c r="I18" i="10"/>
  <c r="AF23" i="10"/>
  <c r="I28" i="10"/>
  <c r="AF33" i="10"/>
  <c r="I19" i="10"/>
  <c r="AF24" i="10"/>
  <c r="I23" i="10"/>
  <c r="AF28" i="10"/>
  <c r="I29" i="10"/>
  <c r="AF34" i="10"/>
  <c r="N27" i="4"/>
  <c r="K19" i="4"/>
  <c r="K88" i="41"/>
  <c r="H88" i="41"/>
  <c r="E88" i="41"/>
  <c r="G88" i="41"/>
  <c r="L68" i="41"/>
  <c r="F88" i="41"/>
  <c r="L89" i="41"/>
  <c r="L90" i="41"/>
  <c r="I88" i="41"/>
  <c r="L67" i="41"/>
  <c r="L63" i="41"/>
  <c r="L61" i="41"/>
  <c r="L56" i="39"/>
  <c r="F73" i="39"/>
  <c r="AR9" i="10"/>
  <c r="P61" i="39"/>
  <c r="P52" i="39"/>
  <c r="E78" i="39"/>
  <c r="L73" i="39"/>
  <c r="V17" i="39"/>
  <c r="G56" i="39"/>
  <c r="Z17" i="10"/>
  <c r="AD17" i="10" s="1"/>
  <c r="I62" i="39"/>
  <c r="H62" i="39"/>
  <c r="G62" i="39"/>
  <c r="F62" i="39"/>
  <c r="E62" i="39"/>
  <c r="J62" i="39"/>
  <c r="AR17" i="10"/>
  <c r="K62" i="39"/>
  <c r="R18" i="52"/>
  <c r="X18" i="52" s="1"/>
  <c r="D62" i="39"/>
  <c r="C78" i="39"/>
  <c r="L78" i="39"/>
  <c r="F78" i="39"/>
  <c r="Z33" i="10"/>
  <c r="M78" i="39"/>
  <c r="I78" i="39"/>
  <c r="J78" i="39"/>
  <c r="G78" i="39"/>
  <c r="N38" i="41"/>
  <c r="D78" i="39"/>
  <c r="D92" i="39"/>
  <c r="H78" i="39"/>
  <c r="AR32" i="10"/>
  <c r="E77" i="39"/>
  <c r="J77" i="39"/>
  <c r="M77" i="39"/>
  <c r="N37" i="41"/>
  <c r="F77" i="39"/>
  <c r="Z32" i="10"/>
  <c r="C77" i="39"/>
  <c r="Z26" i="10"/>
  <c r="D71" i="39"/>
  <c r="C71" i="39"/>
  <c r="K27" i="52"/>
  <c r="J71" i="39"/>
  <c r="P71" i="39"/>
  <c r="N31" i="41"/>
  <c r="I71" i="39"/>
  <c r="G71" i="39"/>
  <c r="AR26" i="10"/>
  <c r="K71" i="39"/>
  <c r="R27" i="52"/>
  <c r="X27" i="52"/>
  <c r="H71" i="39"/>
  <c r="F53" i="39"/>
  <c r="M43" i="39"/>
  <c r="N47" i="41"/>
  <c r="E53" i="39"/>
  <c r="I53" i="39"/>
  <c r="H53" i="39"/>
  <c r="N13" i="41"/>
  <c r="Z8" i="10"/>
  <c r="G53" i="39"/>
  <c r="C53" i="39"/>
  <c r="E9" i="52"/>
  <c r="F9" i="52" s="1"/>
  <c r="M53" i="39"/>
  <c r="D53" i="39"/>
  <c r="C72" i="39"/>
  <c r="G72" i="39"/>
  <c r="K72" i="39"/>
  <c r="R28" i="52"/>
  <c r="X28" i="52" s="1"/>
  <c r="D72" i="39"/>
  <c r="E72" i="39"/>
  <c r="AR27" i="10"/>
  <c r="F72" i="39"/>
  <c r="N32" i="41"/>
  <c r="G54" i="39"/>
  <c r="F54" i="39"/>
  <c r="K54" i="39"/>
  <c r="R10" i="52"/>
  <c r="X10" i="52"/>
  <c r="Y10" i="52" s="1"/>
  <c r="E54" i="39"/>
  <c r="J54" i="39"/>
  <c r="Z9" i="10"/>
  <c r="L54" i="39"/>
  <c r="N14" i="41"/>
  <c r="C54" i="39"/>
  <c r="E10" i="52"/>
  <c r="F10" i="52" s="1"/>
  <c r="D64" i="39"/>
  <c r="D54" i="39"/>
  <c r="L71" i="39"/>
  <c r="M54" i="39"/>
  <c r="M62" i="39"/>
  <c r="J80" i="39"/>
  <c r="C62" i="39"/>
  <c r="L53" i="39"/>
  <c r="G63" i="39"/>
  <c r="M56" i="39"/>
  <c r="I63" i="39"/>
  <c r="M72" i="39"/>
  <c r="L77" i="39"/>
  <c r="L55" i="39"/>
  <c r="K77" i="39"/>
  <c r="J53" i="39"/>
  <c r="I77" i="39"/>
  <c r="P77" i="39"/>
  <c r="J72" i="39"/>
  <c r="I54" i="39"/>
  <c r="D77" i="39"/>
  <c r="Z27" i="10"/>
  <c r="AR10" i="10"/>
  <c r="D55" i="39"/>
  <c r="C55" i="39"/>
  <c r="E11" i="52"/>
  <c r="F11" i="52" s="1"/>
  <c r="M55" i="39"/>
  <c r="K55" i="39"/>
  <c r="R11" i="52"/>
  <c r="X11" i="52" s="1"/>
  <c r="Y11" i="52" s="1"/>
  <c r="H55" i="39"/>
  <c r="J55" i="39"/>
  <c r="Z10" i="10"/>
  <c r="I55" i="39"/>
  <c r="P55" i="39"/>
  <c r="AR25" i="10"/>
  <c r="C70" i="39"/>
  <c r="E26" i="52"/>
  <c r="F26" i="52"/>
  <c r="M70" i="39"/>
  <c r="Z25" i="10"/>
  <c r="N30" i="41"/>
  <c r="K70" i="39"/>
  <c r="R26" i="52"/>
  <c r="X26" i="52" s="1"/>
  <c r="I70" i="39"/>
  <c r="L70" i="39"/>
  <c r="F70" i="39"/>
  <c r="G58" i="39"/>
  <c r="F58" i="39"/>
  <c r="I58" i="39"/>
  <c r="Z13" i="10"/>
  <c r="AD13" i="10" s="1"/>
  <c r="M58" i="39"/>
  <c r="L58" i="39"/>
  <c r="K58" i="39"/>
  <c r="R14" i="52"/>
  <c r="X14" i="52" s="1"/>
  <c r="E58" i="39"/>
  <c r="N18" i="41"/>
  <c r="D58" i="39"/>
  <c r="Z11" i="10"/>
  <c r="J56" i="39"/>
  <c r="D56" i="39"/>
  <c r="F56" i="39"/>
  <c r="K56" i="39"/>
  <c r="R12" i="52"/>
  <c r="X12" i="52" s="1"/>
  <c r="Y12" i="52" s="1"/>
  <c r="C56" i="39"/>
  <c r="N16" i="41"/>
  <c r="I56" i="39"/>
  <c r="P56" i="39"/>
  <c r="AR11" i="10"/>
  <c r="Z18" i="10"/>
  <c r="L63" i="39"/>
  <c r="M63" i="39"/>
  <c r="N23" i="41"/>
  <c r="H63" i="39"/>
  <c r="AR18" i="10"/>
  <c r="K63" i="39"/>
  <c r="R19" i="52"/>
  <c r="X19" i="52" s="1"/>
  <c r="J63" i="39"/>
  <c r="P63" i="39"/>
  <c r="Z34" i="10"/>
  <c r="L79" i="39"/>
  <c r="H79" i="39"/>
  <c r="K79" i="39"/>
  <c r="R35" i="52"/>
  <c r="X35" i="52" s="1"/>
  <c r="F79" i="39"/>
  <c r="G79" i="39"/>
  <c r="I79" i="39"/>
  <c r="N39" i="41"/>
  <c r="J79" i="39"/>
  <c r="M79" i="39"/>
  <c r="AR34" i="10"/>
  <c r="C79" i="39"/>
  <c r="K35" i="52"/>
  <c r="G64" i="39"/>
  <c r="E64" i="39"/>
  <c r="C64" i="39"/>
  <c r="E20" i="52"/>
  <c r="F20" i="52"/>
  <c r="F64" i="39"/>
  <c r="M64" i="39"/>
  <c r="L64" i="39"/>
  <c r="AR19" i="10"/>
  <c r="K64" i="39"/>
  <c r="R20" i="52"/>
  <c r="X20" i="52" s="1"/>
  <c r="J64" i="39"/>
  <c r="H64" i="39"/>
  <c r="P64" i="39"/>
  <c r="N24" i="41"/>
  <c r="Z35" i="10"/>
  <c r="L80" i="39"/>
  <c r="K80" i="39"/>
  <c r="R36" i="52"/>
  <c r="X36" i="52"/>
  <c r="G80" i="39"/>
  <c r="M80" i="39"/>
  <c r="AR35" i="10"/>
  <c r="N40" i="41"/>
  <c r="F80" i="39"/>
  <c r="H80" i="39"/>
  <c r="P80" i="39"/>
  <c r="C80" i="39"/>
  <c r="I80" i="39"/>
  <c r="J73" i="39"/>
  <c r="I73" i="39"/>
  <c r="H73" i="39"/>
  <c r="K73" i="39"/>
  <c r="R29" i="52"/>
  <c r="X29" i="52" s="1"/>
  <c r="N33" i="41"/>
  <c r="E73" i="39"/>
  <c r="M73" i="39"/>
  <c r="Z28" i="10"/>
  <c r="G73" i="39"/>
  <c r="D73" i="39"/>
  <c r="C73" i="39"/>
  <c r="H56" i="39"/>
  <c r="L72" i="39"/>
  <c r="G55" i="39"/>
  <c r="L62" i="39"/>
  <c r="H70" i="39"/>
  <c r="D63" i="39"/>
  <c r="J70" i="39"/>
  <c r="E70" i="39"/>
  <c r="F63" i="39"/>
  <c r="AR8" i="10"/>
  <c r="H72" i="39"/>
  <c r="D70" i="39"/>
  <c r="K53" i="39"/>
  <c r="R9" i="52"/>
  <c r="X9" i="52"/>
  <c r="Y9" i="52" s="1"/>
  <c r="J58" i="39"/>
  <c r="C63" i="39"/>
  <c r="K19" i="52"/>
  <c r="H77" i="39"/>
  <c r="E55" i="39"/>
  <c r="E71" i="39"/>
  <c r="E88" i="39"/>
  <c r="D79" i="39"/>
  <c r="F55" i="39"/>
  <c r="I72" i="39"/>
  <c r="K78" i="39"/>
  <c r="E80" i="39"/>
  <c r="F71" i="39"/>
  <c r="Z19" i="10"/>
  <c r="P60" i="39"/>
  <c r="P59" i="39"/>
  <c r="P57" i="39"/>
  <c r="P74" i="39"/>
  <c r="P83" i="39"/>
  <c r="P67" i="39"/>
  <c r="I74" i="41"/>
  <c r="L27" i="41"/>
  <c r="U27" i="41"/>
  <c r="I85" i="41"/>
  <c r="W28" i="4"/>
  <c r="L38" i="41"/>
  <c r="U38" i="41"/>
  <c r="I80" i="41"/>
  <c r="W23" i="4"/>
  <c r="L33" i="41"/>
  <c r="U33" i="41"/>
  <c r="L65" i="41"/>
  <c r="L56" i="41"/>
  <c r="L82" i="41"/>
  <c r="I66" i="41"/>
  <c r="L19" i="41"/>
  <c r="U19" i="41"/>
  <c r="L59" i="41"/>
  <c r="I70" i="41"/>
  <c r="L23" i="41"/>
  <c r="U23" i="41"/>
  <c r="L55" i="41"/>
  <c r="J88" i="41"/>
  <c r="W31" i="4"/>
  <c r="L41" i="41"/>
  <c r="U41" i="41"/>
  <c r="E141" i="41"/>
  <c r="J99" i="40"/>
  <c r="L99" i="40" s="1"/>
  <c r="L73" i="41"/>
  <c r="W30" i="4"/>
  <c r="L40" i="41"/>
  <c r="U40" i="41"/>
  <c r="L58" i="41"/>
  <c r="L84" i="41"/>
  <c r="E77" i="41"/>
  <c r="L77" i="41"/>
  <c r="W20" i="4"/>
  <c r="L30" i="41"/>
  <c r="U30" i="41"/>
  <c r="D143" i="41"/>
  <c r="J101" i="40"/>
  <c r="L101" i="40" s="1"/>
  <c r="C141" i="41"/>
  <c r="C14" i="52"/>
  <c r="G157" i="41"/>
  <c r="J115" i="40"/>
  <c r="L115" i="40" s="1"/>
  <c r="E69" i="41"/>
  <c r="L69" i="41"/>
  <c r="L22" i="41"/>
  <c r="U22" i="41"/>
  <c r="L64" i="41"/>
  <c r="AG31" i="10"/>
  <c r="J117" i="40"/>
  <c r="L117" i="40" s="1"/>
  <c r="L62" i="41"/>
  <c r="D141" i="41"/>
  <c r="L86" i="41"/>
  <c r="L81" i="41"/>
  <c r="L79" i="41"/>
  <c r="L88" i="41"/>
  <c r="G141" i="41"/>
  <c r="I141" i="41"/>
  <c r="D78" i="41"/>
  <c r="W21" i="4"/>
  <c r="L31" i="41"/>
  <c r="U31" i="41"/>
  <c r="I93" i="41"/>
  <c r="W36" i="4"/>
  <c r="L46" i="41"/>
  <c r="U46" i="41"/>
  <c r="L75" i="41"/>
  <c r="I132" i="41"/>
  <c r="L76" i="41"/>
  <c r="AG32" i="10"/>
  <c r="J118" i="40"/>
  <c r="L118" i="40" s="1"/>
  <c r="E30" i="52"/>
  <c r="F30" i="52" s="1"/>
  <c r="K30" i="52"/>
  <c r="E24" i="52"/>
  <c r="F24" i="52" s="1"/>
  <c r="K24" i="52"/>
  <c r="E18" i="52"/>
  <c r="F18" i="52" s="1"/>
  <c r="K18" i="52"/>
  <c r="E34" i="52"/>
  <c r="F34" i="52" s="1"/>
  <c r="P82" i="39"/>
  <c r="P54" i="39"/>
  <c r="P70" i="39"/>
  <c r="P81" i="39"/>
  <c r="P68" i="39"/>
  <c r="E13" i="52"/>
  <c r="F13" i="52"/>
  <c r="K13" i="52"/>
  <c r="L13" i="52" s="1"/>
  <c r="E21" i="52"/>
  <c r="F21" i="52"/>
  <c r="K21" i="52"/>
  <c r="E12" i="52"/>
  <c r="F12" i="52" s="1"/>
  <c r="K12" i="52"/>
  <c r="L12" i="52" s="1"/>
  <c r="E38" i="52"/>
  <c r="F38" i="52" s="1"/>
  <c r="K38" i="52"/>
  <c r="E36" i="52"/>
  <c r="F36" i="52" s="1"/>
  <c r="K36" i="52"/>
  <c r="L46" i="52" s="1"/>
  <c r="R7" i="52"/>
  <c r="X7" i="52" s="1"/>
  <c r="E29" i="52"/>
  <c r="F29" i="52"/>
  <c r="K29" i="52"/>
  <c r="E14" i="52"/>
  <c r="F14" i="52" s="1"/>
  <c r="K14" i="52"/>
  <c r="E22" i="52"/>
  <c r="F22" i="52" s="1"/>
  <c r="K22" i="52"/>
  <c r="P51" i="39"/>
  <c r="P65" i="39"/>
  <c r="E35" i="52"/>
  <c r="F35" i="52" s="1"/>
  <c r="E17" i="52"/>
  <c r="F17" i="52" s="1"/>
  <c r="K17" i="52"/>
  <c r="E7" i="52"/>
  <c r="F7" i="52"/>
  <c r="K7" i="52"/>
  <c r="L7" i="52" s="1"/>
  <c r="E37" i="52"/>
  <c r="F37" i="52"/>
  <c r="K37" i="52"/>
  <c r="E39" i="52"/>
  <c r="F39" i="52" s="1"/>
  <c r="K39" i="52"/>
  <c r="E40" i="52"/>
  <c r="F40" i="52" s="1"/>
  <c r="K40" i="52"/>
  <c r="E32" i="52"/>
  <c r="F32" i="52" s="1"/>
  <c r="K32" i="52"/>
  <c r="E8" i="52"/>
  <c r="F8" i="52" s="1"/>
  <c r="K8" i="52"/>
  <c r="L8" i="52" s="1"/>
  <c r="E16" i="52"/>
  <c r="F16" i="52"/>
  <c r="K16" i="52"/>
  <c r="E23" i="52"/>
  <c r="F23" i="52" s="1"/>
  <c r="K23" i="52"/>
  <c r="P75" i="39"/>
  <c r="P69" i="39"/>
  <c r="K11" i="52"/>
  <c r="L11" i="52"/>
  <c r="P66" i="39"/>
  <c r="P76" i="39"/>
  <c r="E25" i="52"/>
  <c r="F25" i="52"/>
  <c r="K25" i="52"/>
  <c r="E31" i="52"/>
  <c r="F31" i="52" s="1"/>
  <c r="K31" i="52"/>
  <c r="E15" i="52"/>
  <c r="F15" i="52" s="1"/>
  <c r="K15" i="52"/>
  <c r="I27" i="52"/>
  <c r="L27" i="52" s="1"/>
  <c r="C27" i="52"/>
  <c r="F166" i="41"/>
  <c r="AG38" i="10"/>
  <c r="I15" i="52"/>
  <c r="C15" i="52"/>
  <c r="I26" i="52"/>
  <c r="C26" i="52"/>
  <c r="C150" i="41"/>
  <c r="AG22" i="10"/>
  <c r="D149" i="41"/>
  <c r="AG21" i="10"/>
  <c r="C20" i="52"/>
  <c r="I20" i="52"/>
  <c r="I31" i="52"/>
  <c r="L31" i="52" s="1"/>
  <c r="C31" i="52"/>
  <c r="I145" i="41"/>
  <c r="AG17" i="10"/>
  <c r="C28" i="52"/>
  <c r="I28" i="52"/>
  <c r="I33" i="52"/>
  <c r="C33" i="52"/>
  <c r="J157" i="41"/>
  <c r="K157" i="41"/>
  <c r="AG29" i="10"/>
  <c r="I158" i="41"/>
  <c r="AG30" i="10"/>
  <c r="I30" i="52"/>
  <c r="L30" i="52" s="1"/>
  <c r="C30" i="52"/>
  <c r="I42" i="52"/>
  <c r="L42" i="52" s="1"/>
  <c r="C42" i="52"/>
  <c r="C37" i="52"/>
  <c r="I37" i="52"/>
  <c r="G39" i="10"/>
  <c r="I11" i="10"/>
  <c r="AF16" i="10"/>
  <c r="AJ24" i="10"/>
  <c r="AJ23" i="10"/>
  <c r="G51" i="4"/>
  <c r="J51" i="4"/>
  <c r="I51" i="4"/>
  <c r="I57" i="4"/>
  <c r="T22" i="4"/>
  <c r="T34" i="4"/>
  <c r="T19" i="4"/>
  <c r="V19" i="4" s="1"/>
  <c r="S27" i="4"/>
  <c r="D34" i="53" s="1"/>
  <c r="I49" i="4"/>
  <c r="G59" i="4"/>
  <c r="S23" i="4"/>
  <c r="D30" i="53" s="1"/>
  <c r="T32" i="4"/>
  <c r="H50" i="10"/>
  <c r="C68" i="10"/>
  <c r="C48" i="10"/>
  <c r="F61" i="10"/>
  <c r="D69" i="10"/>
  <c r="C59" i="10"/>
  <c r="D63" i="10"/>
  <c r="E51" i="10"/>
  <c r="F55" i="10"/>
  <c r="H58" i="10"/>
  <c r="D56" i="10"/>
  <c r="F64" i="10"/>
  <c r="C52" i="10"/>
  <c r="D49" i="10"/>
  <c r="H70" i="10"/>
  <c r="H62" i="10"/>
  <c r="C65" i="10"/>
  <c r="H54" i="10"/>
  <c r="E60" i="10"/>
  <c r="E67" i="10"/>
  <c r="D53" i="10"/>
  <c r="H66" i="10"/>
  <c r="E57" i="10"/>
  <c r="G90" i="38"/>
  <c r="O42" i="52"/>
  <c r="U42" i="52"/>
  <c r="H42" i="52"/>
  <c r="K89" i="38"/>
  <c r="J89" i="38"/>
  <c r="B42" i="52"/>
  <c r="E42" i="52"/>
  <c r="E72" i="10"/>
  <c r="D72" i="10"/>
  <c r="C72" i="10"/>
  <c r="F72" i="10"/>
  <c r="B72" i="10"/>
  <c r="H72" i="10"/>
  <c r="E61" i="4"/>
  <c r="R42" i="52"/>
  <c r="X42" i="52" s="1"/>
  <c r="R40" i="52"/>
  <c r="X40" i="52" s="1"/>
  <c r="R31" i="52"/>
  <c r="X31" i="52" s="1"/>
  <c r="R33" i="52"/>
  <c r="E93" i="41"/>
  <c r="H93" i="41"/>
  <c r="D93" i="41"/>
  <c r="K93" i="41"/>
  <c r="G93" i="41"/>
  <c r="C93" i="41"/>
  <c r="J93" i="41"/>
  <c r="F93" i="41"/>
  <c r="I159" i="41"/>
  <c r="P32" i="52"/>
  <c r="V32" i="52" s="1"/>
  <c r="F159" i="41"/>
  <c r="E159" i="41"/>
  <c r="E166" i="41"/>
  <c r="J166" i="41"/>
  <c r="K77" i="41"/>
  <c r="G77" i="41"/>
  <c r="G158" i="41"/>
  <c r="C166" i="41"/>
  <c r="K126" i="41"/>
  <c r="D166" i="41"/>
  <c r="D77" i="41"/>
  <c r="J77" i="41"/>
  <c r="G149" i="41"/>
  <c r="C78" i="41"/>
  <c r="D145" i="41"/>
  <c r="F145" i="41"/>
  <c r="F78" i="41"/>
  <c r="I149" i="41"/>
  <c r="P22" i="52"/>
  <c r="V22" i="52"/>
  <c r="C159" i="41"/>
  <c r="G159" i="41"/>
  <c r="H159" i="41"/>
  <c r="L110" i="41"/>
  <c r="J149" i="41"/>
  <c r="F149" i="41"/>
  <c r="E149" i="41"/>
  <c r="I78" i="41"/>
  <c r="E78" i="41"/>
  <c r="L78" i="41"/>
  <c r="H145" i="41"/>
  <c r="K78" i="41"/>
  <c r="G78" i="41"/>
  <c r="G145" i="41"/>
  <c r="D158" i="41"/>
  <c r="H158" i="41"/>
  <c r="H149" i="41"/>
  <c r="C149" i="41"/>
  <c r="J78" i="41"/>
  <c r="L127" i="41"/>
  <c r="G166" i="41"/>
  <c r="H166" i="41"/>
  <c r="P18" i="52"/>
  <c r="V18" i="52" s="1"/>
  <c r="P31" i="52"/>
  <c r="V31" i="52" s="1"/>
  <c r="P16" i="52"/>
  <c r="V16" i="52" s="1"/>
  <c r="K155" i="41"/>
  <c r="P28" i="52"/>
  <c r="V28" i="52" s="1"/>
  <c r="P30" i="52"/>
  <c r="V30" i="52" s="1"/>
  <c r="J159" i="41"/>
  <c r="L120" i="41"/>
  <c r="D159" i="41"/>
  <c r="I150" i="41"/>
  <c r="E158" i="41"/>
  <c r="E143" i="41"/>
  <c r="K160" i="41"/>
  <c r="P33" i="52"/>
  <c r="V33" i="52" s="1"/>
  <c r="K154" i="41"/>
  <c r="P27" i="52"/>
  <c r="V27" i="52" s="1"/>
  <c r="K166" i="41"/>
  <c r="P39" i="52"/>
  <c r="V39" i="52" s="1"/>
  <c r="K153" i="41"/>
  <c r="P26" i="52"/>
  <c r="V26" i="52" s="1"/>
  <c r="K149" i="41"/>
  <c r="K142" i="41"/>
  <c r="P15" i="52"/>
  <c r="V15" i="52" s="1"/>
  <c r="K147" i="41"/>
  <c r="P20" i="52"/>
  <c r="V20" i="52" s="1"/>
  <c r="L111" i="41"/>
  <c r="J150" i="41"/>
  <c r="E150" i="41"/>
  <c r="F150" i="41"/>
  <c r="H150" i="41"/>
  <c r="K169" i="41"/>
  <c r="K112" i="41"/>
  <c r="J143" i="41"/>
  <c r="K143" i="41"/>
  <c r="L104" i="41"/>
  <c r="C143" i="41"/>
  <c r="G143" i="41"/>
  <c r="G150" i="41"/>
  <c r="L106" i="41"/>
  <c r="E145" i="41"/>
  <c r="J145" i="41"/>
  <c r="C145" i="41"/>
  <c r="D150" i="41"/>
  <c r="L119" i="41"/>
  <c r="J158" i="41"/>
  <c r="K158" i="41"/>
  <c r="I97" i="3"/>
  <c r="I125" i="3"/>
  <c r="H76" i="40"/>
  <c r="Q35" i="52"/>
  <c r="J40" i="40"/>
  <c r="I61" i="4"/>
  <c r="I152" i="3"/>
  <c r="J152" i="3" s="1"/>
  <c r="H152" i="3"/>
  <c r="H133" i="3"/>
  <c r="J133" i="3"/>
  <c r="H132" i="3"/>
  <c r="F59" i="4"/>
  <c r="I115" i="3"/>
  <c r="H145" i="3"/>
  <c r="C51" i="4"/>
  <c r="I93" i="3"/>
  <c r="H118" i="3"/>
  <c r="C56" i="10"/>
  <c r="K117" i="3"/>
  <c r="K145" i="3"/>
  <c r="I53" i="4"/>
  <c r="K51" i="4"/>
  <c r="L97" i="3"/>
  <c r="E61" i="10"/>
  <c r="L98" i="3"/>
  <c r="D51" i="4"/>
  <c r="H160" i="3"/>
  <c r="I110" i="3"/>
  <c r="B69" i="10"/>
  <c r="K110" i="3"/>
  <c r="E51" i="4"/>
  <c r="K53" i="4"/>
  <c r="L110" i="3"/>
  <c r="F70" i="10"/>
  <c r="K156" i="3"/>
  <c r="H156" i="3"/>
  <c r="I140" i="3"/>
  <c r="K133" i="3"/>
  <c r="H140" i="3"/>
  <c r="I144" i="3"/>
  <c r="I141" i="3"/>
  <c r="H136" i="3"/>
  <c r="K136" i="3"/>
  <c r="L118" i="3"/>
  <c r="H117" i="3"/>
  <c r="I117" i="3"/>
  <c r="K120" i="3"/>
  <c r="I109" i="3"/>
  <c r="K115" i="3"/>
  <c r="L120" i="3"/>
  <c r="I112" i="3"/>
  <c r="K97" i="3"/>
  <c r="K108" i="3"/>
  <c r="H124" i="3"/>
  <c r="I122" i="3"/>
  <c r="L112" i="3"/>
  <c r="J128" i="3"/>
  <c r="L105" i="3"/>
  <c r="H108" i="3"/>
  <c r="L108" i="3"/>
  <c r="K118" i="3"/>
  <c r="L102" i="3"/>
  <c r="L101" i="3"/>
  <c r="I120" i="3"/>
  <c r="I99" i="3"/>
  <c r="K109" i="3"/>
  <c r="L106" i="3"/>
  <c r="L111" i="3"/>
  <c r="H123" i="3"/>
  <c r="I106" i="3"/>
  <c r="K94" i="3"/>
  <c r="H94" i="3"/>
  <c r="L109" i="3"/>
  <c r="H126" i="3"/>
  <c r="L130" i="3"/>
  <c r="K93" i="3"/>
  <c r="H29" i="3"/>
  <c r="H2" i="3"/>
  <c r="K155" i="3"/>
  <c r="K137" i="3"/>
  <c r="I104" i="3"/>
  <c r="L100" i="3"/>
  <c r="L113" i="3"/>
  <c r="H115" i="3"/>
  <c r="I119" i="3"/>
  <c r="I102" i="3"/>
  <c r="H104" i="3"/>
  <c r="H99" i="3"/>
  <c r="H116" i="3"/>
  <c r="I98" i="3"/>
  <c r="K100" i="3"/>
  <c r="H121" i="3"/>
  <c r="I114" i="3"/>
  <c r="L132" i="3"/>
  <c r="H114" i="3"/>
  <c r="K96" i="3"/>
  <c r="L94" i="3"/>
  <c r="I105" i="3"/>
  <c r="H101" i="3"/>
  <c r="K119" i="3"/>
  <c r="H96" i="3"/>
  <c r="L107" i="3"/>
  <c r="I107" i="3"/>
  <c r="H106" i="3"/>
  <c r="K113" i="3"/>
  <c r="I113" i="3"/>
  <c r="K114" i="3"/>
  <c r="H112" i="3"/>
  <c r="K103" i="3"/>
  <c r="H103" i="3"/>
  <c r="K102" i="3"/>
  <c r="K105" i="3"/>
  <c r="I116" i="3"/>
  <c r="K104" i="3"/>
  <c r="L116" i="3"/>
  <c r="K99" i="3"/>
  <c r="K98" i="3"/>
  <c r="H100" i="3"/>
  <c r="L131" i="3"/>
  <c r="I111" i="3"/>
  <c r="L103" i="3"/>
  <c r="H111" i="3"/>
  <c r="I96" i="3"/>
  <c r="L133" i="3"/>
  <c r="I101" i="3"/>
  <c r="K107" i="3"/>
  <c r="H119" i="3"/>
  <c r="G128" i="3"/>
  <c r="H93" i="3"/>
  <c r="H49" i="4"/>
  <c r="F51" i="4"/>
  <c r="C46" i="4"/>
  <c r="F49" i="4"/>
  <c r="D46" i="4"/>
  <c r="H57" i="4"/>
  <c r="J59" i="4"/>
  <c r="H54" i="4"/>
  <c r="S24" i="4"/>
  <c r="D31" i="53" s="1"/>
  <c r="J49" i="4"/>
  <c r="E49" i="4"/>
  <c r="K57" i="4"/>
  <c r="G49" i="4"/>
  <c r="C49" i="4"/>
  <c r="F55" i="4"/>
  <c r="C54" i="4"/>
  <c r="S22" i="4"/>
  <c r="D29" i="53" s="1"/>
  <c r="F57" i="4"/>
  <c r="D49" i="4"/>
  <c r="K49" i="4"/>
  <c r="D55" i="4"/>
  <c r="C55" i="4"/>
  <c r="H51" i="4"/>
  <c r="H61" i="4"/>
  <c r="K54" i="4"/>
  <c r="D54" i="4"/>
  <c r="J53" i="4"/>
  <c r="D50" i="10"/>
  <c r="D64" i="10"/>
  <c r="C69" i="10"/>
  <c r="H56" i="10"/>
  <c r="D47" i="10"/>
  <c r="C53" i="10"/>
  <c r="D61" i="10"/>
  <c r="D67" i="10"/>
  <c r="E70" i="10"/>
  <c r="H69" i="10"/>
  <c r="F56" i="10"/>
  <c r="E50" i="10"/>
  <c r="B59" i="10"/>
  <c r="C67" i="10"/>
  <c r="B70" i="10"/>
  <c r="H61" i="10"/>
  <c r="F65" i="10"/>
  <c r="H48" i="10"/>
  <c r="C51" i="10"/>
  <c r="F53" i="10"/>
  <c r="C57" i="10"/>
  <c r="E59" i="10"/>
  <c r="C62" i="10"/>
  <c r="E64" i="10"/>
  <c r="D66" i="10"/>
  <c r="B68" i="10"/>
  <c r="H52" i="10"/>
  <c r="H64" i="10"/>
  <c r="E48" i="10"/>
  <c r="E52" i="10"/>
  <c r="B56" i="10"/>
  <c r="B58" i="10"/>
  <c r="F59" i="10"/>
  <c r="B63" i="10"/>
  <c r="B65" i="10"/>
  <c r="E66" i="10"/>
  <c r="E68" i="10"/>
  <c r="F69" i="10"/>
  <c r="H53" i="10"/>
  <c r="H65" i="10"/>
  <c r="B53" i="10"/>
  <c r="F58" i="10"/>
  <c r="F63" i="10"/>
  <c r="E65" i="10"/>
  <c r="F68" i="10"/>
  <c r="H68" i="10"/>
  <c r="B49" i="10"/>
  <c r="D55" i="10"/>
  <c r="C60" i="10"/>
  <c r="H60" i="10"/>
  <c r="B48" i="10"/>
  <c r="F49" i="10"/>
  <c r="D51" i="10"/>
  <c r="F52" i="10"/>
  <c r="B54" i="10"/>
  <c r="D57" i="10"/>
  <c r="D60" i="10"/>
  <c r="H49" i="10"/>
  <c r="D48" i="10"/>
  <c r="C50" i="10"/>
  <c r="B51" i="10"/>
  <c r="F51" i="10"/>
  <c r="D52" i="10"/>
  <c r="E53" i="10"/>
  <c r="D54" i="10"/>
  <c r="C55" i="10"/>
  <c r="E56" i="10"/>
  <c r="B57" i="10"/>
  <c r="F57" i="10"/>
  <c r="E58" i="10"/>
  <c r="D59" i="10"/>
  <c r="B60" i="10"/>
  <c r="F60" i="10"/>
  <c r="C61" i="10"/>
  <c r="B62" i="10"/>
  <c r="F62" i="10"/>
  <c r="E63" i="10"/>
  <c r="C64" i="10"/>
  <c r="D65" i="10"/>
  <c r="C66" i="10"/>
  <c r="B67" i="10"/>
  <c r="F67" i="10"/>
  <c r="D68" i="10"/>
  <c r="E69" i="10"/>
  <c r="D70" i="10"/>
  <c r="H51" i="10"/>
  <c r="H55" i="10"/>
  <c r="H59" i="10"/>
  <c r="H63" i="10"/>
  <c r="H67" i="10"/>
  <c r="E49" i="10"/>
  <c r="E54" i="10"/>
  <c r="F48" i="10"/>
  <c r="C49" i="10"/>
  <c r="B52" i="10"/>
  <c r="F54" i="10"/>
  <c r="E55" i="10"/>
  <c r="C58" i="10"/>
  <c r="D62" i="10"/>
  <c r="C63" i="10"/>
  <c r="H57" i="10"/>
  <c r="B50" i="10"/>
  <c r="F50" i="10"/>
  <c r="C54" i="10"/>
  <c r="B55" i="10"/>
  <c r="D58" i="10"/>
  <c r="B61" i="10"/>
  <c r="E62" i="10"/>
  <c r="B64" i="10"/>
  <c r="B66" i="10"/>
  <c r="F66" i="10"/>
  <c r="C70" i="10"/>
  <c r="C72" i="41"/>
  <c r="G72" i="41"/>
  <c r="K72" i="41"/>
  <c r="D72" i="41"/>
  <c r="E72" i="41"/>
  <c r="L72" i="41"/>
  <c r="F72" i="41"/>
  <c r="H72" i="41"/>
  <c r="J72" i="41"/>
  <c r="K122" i="41"/>
  <c r="J119" i="40"/>
  <c r="L119" i="40" s="1"/>
  <c r="K113" i="41"/>
  <c r="J110" i="40"/>
  <c r="L110" i="40" s="1"/>
  <c r="K117" i="41"/>
  <c r="J114" i="40"/>
  <c r="L114" i="40" s="1"/>
  <c r="K123" i="41"/>
  <c r="J120" i="40"/>
  <c r="L120" i="40" s="1"/>
  <c r="K109" i="41"/>
  <c r="J106" i="40"/>
  <c r="L106" i="40" s="1"/>
  <c r="F85" i="41"/>
  <c r="J85" i="41"/>
  <c r="D85" i="41"/>
  <c r="E85" i="41"/>
  <c r="G85" i="41"/>
  <c r="C85" i="41"/>
  <c r="H85" i="41"/>
  <c r="K85" i="41"/>
  <c r="E70" i="41"/>
  <c r="F70" i="41"/>
  <c r="K70" i="41"/>
  <c r="C70" i="41"/>
  <c r="J70" i="41"/>
  <c r="D70" i="41"/>
  <c r="G70" i="41"/>
  <c r="H70" i="41"/>
  <c r="C80" i="41"/>
  <c r="G80" i="41"/>
  <c r="K80" i="41"/>
  <c r="F80" i="41"/>
  <c r="H80" i="41"/>
  <c r="D80" i="41"/>
  <c r="E80" i="41"/>
  <c r="J80" i="41"/>
  <c r="K105" i="41"/>
  <c r="J102" i="40"/>
  <c r="L102" i="40" s="1"/>
  <c r="D87" i="41"/>
  <c r="H87" i="41"/>
  <c r="G87" i="41"/>
  <c r="I87" i="41"/>
  <c r="C87" i="41"/>
  <c r="J87" i="41"/>
  <c r="E87" i="41"/>
  <c r="L87" i="41"/>
  <c r="F87" i="41"/>
  <c r="K87" i="41"/>
  <c r="K107" i="41"/>
  <c r="E66" i="41"/>
  <c r="L66" i="41"/>
  <c r="D66" i="41"/>
  <c r="J66" i="41"/>
  <c r="C66" i="41"/>
  <c r="K66" i="41"/>
  <c r="F66" i="41"/>
  <c r="H66" i="41"/>
  <c r="G66" i="41"/>
  <c r="E74" i="41"/>
  <c r="L74" i="41"/>
  <c r="G74" i="41"/>
  <c r="H74" i="41"/>
  <c r="C74" i="41"/>
  <c r="J74" i="41"/>
  <c r="D74" i="41"/>
  <c r="F74" i="41"/>
  <c r="K74" i="41"/>
  <c r="K164" i="41"/>
  <c r="I72" i="41"/>
  <c r="K124" i="41"/>
  <c r="J121" i="40"/>
  <c r="L121" i="40" s="1"/>
  <c r="K48" i="41"/>
  <c r="D60" i="40"/>
  <c r="J60" i="40"/>
  <c r="F60" i="40"/>
  <c r="C60" i="40"/>
  <c r="I60" i="40"/>
  <c r="E60" i="40"/>
  <c r="G60" i="40"/>
  <c r="D72" i="40"/>
  <c r="F72" i="40"/>
  <c r="G72" i="40"/>
  <c r="C72" i="40"/>
  <c r="I72" i="40"/>
  <c r="E72" i="40"/>
  <c r="J72" i="40"/>
  <c r="D68" i="40"/>
  <c r="F68" i="40"/>
  <c r="C68" i="40"/>
  <c r="I68" i="40"/>
  <c r="E68" i="40"/>
  <c r="J68" i="40"/>
  <c r="G68" i="40"/>
  <c r="D62" i="40"/>
  <c r="J62" i="40"/>
  <c r="C62" i="40"/>
  <c r="I62" i="40"/>
  <c r="E62" i="40"/>
  <c r="F62" i="40"/>
  <c r="G62" i="40"/>
  <c r="D56" i="40"/>
  <c r="E56" i="40"/>
  <c r="F56" i="40"/>
  <c r="C56" i="40"/>
  <c r="I56" i="40"/>
  <c r="J56" i="40"/>
  <c r="G56" i="40"/>
  <c r="D64" i="40"/>
  <c r="C64" i="40"/>
  <c r="I64" i="40"/>
  <c r="E64" i="40"/>
  <c r="J64" i="40"/>
  <c r="F64" i="40"/>
  <c r="G64" i="40"/>
  <c r="C77" i="40"/>
  <c r="D36" i="52"/>
  <c r="G77" i="40"/>
  <c r="F77" i="40"/>
  <c r="D77" i="40"/>
  <c r="E77" i="40"/>
  <c r="J77" i="40"/>
  <c r="I77" i="40"/>
  <c r="D49" i="40"/>
  <c r="E49" i="40"/>
  <c r="C49" i="40"/>
  <c r="I49" i="40"/>
  <c r="J49" i="40"/>
  <c r="F49" i="40"/>
  <c r="G49" i="40"/>
  <c r="H60" i="40"/>
  <c r="D61" i="40"/>
  <c r="I61" i="40"/>
  <c r="J61" i="40"/>
  <c r="F61" i="40"/>
  <c r="G61" i="40"/>
  <c r="C61" i="40"/>
  <c r="E61" i="40"/>
  <c r="H72" i="40"/>
  <c r="D80" i="40"/>
  <c r="J80" i="40"/>
  <c r="C80" i="40"/>
  <c r="D39" i="52"/>
  <c r="I80" i="40"/>
  <c r="E80" i="40"/>
  <c r="F80" i="40"/>
  <c r="G80" i="40"/>
  <c r="H68" i="40"/>
  <c r="D58" i="40"/>
  <c r="J58" i="40"/>
  <c r="G58" i="40"/>
  <c r="C58" i="40"/>
  <c r="I58" i="40"/>
  <c r="E58" i="40"/>
  <c r="F58" i="40"/>
  <c r="H77" i="40"/>
  <c r="Q36" i="52"/>
  <c r="W36" i="52"/>
  <c r="D52" i="40"/>
  <c r="E52" i="40"/>
  <c r="F52" i="40"/>
  <c r="C52" i="40"/>
  <c r="I52" i="40"/>
  <c r="J52" i="40"/>
  <c r="G52" i="40"/>
  <c r="D76" i="40"/>
  <c r="E76" i="40"/>
  <c r="C76" i="40"/>
  <c r="I76" i="40"/>
  <c r="J76" i="40"/>
  <c r="F76" i="40"/>
  <c r="G76" i="40"/>
  <c r="D54" i="40"/>
  <c r="E54" i="40"/>
  <c r="C54" i="40"/>
  <c r="I54" i="40"/>
  <c r="J54" i="40"/>
  <c r="F54" i="40"/>
  <c r="G54" i="40"/>
  <c r="D66" i="40"/>
  <c r="F66" i="40"/>
  <c r="C66" i="40"/>
  <c r="I66" i="40"/>
  <c r="E66" i="40"/>
  <c r="J66" i="40"/>
  <c r="G66" i="40"/>
  <c r="M88" i="39"/>
  <c r="B25" i="52"/>
  <c r="D72" i="38"/>
  <c r="H72" i="38"/>
  <c r="E72" i="38"/>
  <c r="I72" i="38"/>
  <c r="F72" i="38"/>
  <c r="E78" i="38"/>
  <c r="I78" i="38"/>
  <c r="F78" i="38"/>
  <c r="B31" i="52"/>
  <c r="D78" i="38"/>
  <c r="H78" i="38"/>
  <c r="E76" i="38"/>
  <c r="I76" i="38"/>
  <c r="F76" i="38"/>
  <c r="B29" i="52"/>
  <c r="D76" i="38"/>
  <c r="H76" i="38"/>
  <c r="E74" i="38"/>
  <c r="I74" i="38"/>
  <c r="F74" i="38"/>
  <c r="B27" i="52"/>
  <c r="D74" i="38"/>
  <c r="H74" i="38"/>
  <c r="E70" i="38"/>
  <c r="I70" i="38"/>
  <c r="F70" i="38"/>
  <c r="C70" i="38"/>
  <c r="B23" i="52"/>
  <c r="I44" i="38"/>
  <c r="H70" i="38"/>
  <c r="D70" i="38"/>
  <c r="F86" i="38"/>
  <c r="B39" i="52"/>
  <c r="H86" i="38"/>
  <c r="I86" i="38"/>
  <c r="D86" i="38"/>
  <c r="E86" i="38"/>
  <c r="G72" i="38"/>
  <c r="O25" i="52"/>
  <c r="U25" i="52"/>
  <c r="G78" i="38"/>
  <c r="O31" i="52"/>
  <c r="U31" i="52"/>
  <c r="L85" i="41"/>
  <c r="L80" i="41"/>
  <c r="I162" i="41"/>
  <c r="P35" i="52"/>
  <c r="V35" i="52" s="1"/>
  <c r="K159" i="41"/>
  <c r="C90" i="39"/>
  <c r="C91" i="39"/>
  <c r="R34" i="52"/>
  <c r="X34" i="52" s="1"/>
  <c r="K92" i="39"/>
  <c r="P58" i="39"/>
  <c r="P79" i="39"/>
  <c r="L88" i="39"/>
  <c r="F88" i="39"/>
  <c r="E27" i="52"/>
  <c r="F27" i="52" s="1"/>
  <c r="E33" i="52"/>
  <c r="F33" i="52" s="1"/>
  <c r="E19" i="52"/>
  <c r="F19" i="52" s="1"/>
  <c r="K91" i="39"/>
  <c r="K90" i="39"/>
  <c r="H88" i="39"/>
  <c r="P78" i="39"/>
  <c r="E92" i="39"/>
  <c r="P53" i="39"/>
  <c r="Q66" i="39"/>
  <c r="K33" i="52"/>
  <c r="P72" i="39"/>
  <c r="D88" i="39"/>
  <c r="D91" i="39"/>
  <c r="D90" i="39"/>
  <c r="G88" i="39"/>
  <c r="I88" i="39"/>
  <c r="E91" i="39"/>
  <c r="E90" i="39"/>
  <c r="K34" i="52"/>
  <c r="C92" i="39"/>
  <c r="AD23" i="10"/>
  <c r="J88" i="39"/>
  <c r="K9" i="52"/>
  <c r="L9" i="52" s="1"/>
  <c r="K20" i="52"/>
  <c r="E28" i="52"/>
  <c r="F28" i="52" s="1"/>
  <c r="K28" i="52"/>
  <c r="P62" i="39"/>
  <c r="AD26" i="10"/>
  <c r="K26" i="52"/>
  <c r="K10" i="52"/>
  <c r="L10" i="52" s="1"/>
  <c r="P73" i="39"/>
  <c r="P90" i="39"/>
  <c r="AG37" i="10"/>
  <c r="J123" i="40"/>
  <c r="L123" i="40" s="1"/>
  <c r="I95" i="41"/>
  <c r="L70" i="41"/>
  <c r="N93" i="41"/>
  <c r="K145" i="41"/>
  <c r="AG23" i="10"/>
  <c r="J109" i="40"/>
  <c r="L109" i="40" s="1"/>
  <c r="I165" i="41"/>
  <c r="P38" i="52"/>
  <c r="V38" i="52" s="1"/>
  <c r="Y38" i="52" s="1"/>
  <c r="N119" i="41"/>
  <c r="N120" i="41"/>
  <c r="P14" i="52"/>
  <c r="V14" i="52" s="1"/>
  <c r="AG18" i="10"/>
  <c r="J104" i="40"/>
  <c r="L104" i="40" s="1"/>
  <c r="L93" i="41"/>
  <c r="K141" i="41"/>
  <c r="K132" i="41"/>
  <c r="I14" i="52"/>
  <c r="L14" i="52" s="1"/>
  <c r="Q67" i="39"/>
  <c r="D87" i="40"/>
  <c r="K58" i="40"/>
  <c r="K83" i="40"/>
  <c r="D82" i="40"/>
  <c r="C84" i="40"/>
  <c r="D85" i="40"/>
  <c r="D86" i="40"/>
  <c r="J17" i="52"/>
  <c r="C83" i="40"/>
  <c r="D17" i="52"/>
  <c r="U43" i="52"/>
  <c r="L113" i="41"/>
  <c r="AG24" i="10"/>
  <c r="L105" i="41"/>
  <c r="AG16" i="10"/>
  <c r="L122" i="41"/>
  <c r="AG33" i="10"/>
  <c r="L117" i="41"/>
  <c r="AG28" i="10"/>
  <c r="I22" i="52"/>
  <c r="C22" i="52"/>
  <c r="C32" i="52"/>
  <c r="I32" i="52"/>
  <c r="I39" i="52"/>
  <c r="L39" i="52" s="1"/>
  <c r="C39" i="52"/>
  <c r="AJ21" i="10"/>
  <c r="L124" i="41"/>
  <c r="AG35" i="10"/>
  <c r="L15" i="52"/>
  <c r="L123" i="41"/>
  <c r="AG34" i="10"/>
  <c r="C16" i="52"/>
  <c r="I16" i="52"/>
  <c r="L109" i="41"/>
  <c r="AG20" i="10"/>
  <c r="I152" i="41"/>
  <c r="P25" i="52"/>
  <c r="V25" i="52" s="1"/>
  <c r="I18" i="52"/>
  <c r="C18" i="52"/>
  <c r="AJ28" i="10"/>
  <c r="I23" i="52"/>
  <c r="L23" i="52" s="1"/>
  <c r="C23" i="52"/>
  <c r="AJ26" i="10"/>
  <c r="AJ36" i="10"/>
  <c r="AJ33" i="10"/>
  <c r="F47" i="10"/>
  <c r="H47" i="10"/>
  <c r="AJ35" i="10"/>
  <c r="AJ34" i="10"/>
  <c r="B47" i="10"/>
  <c r="AJ39" i="10"/>
  <c r="AJ17" i="10"/>
  <c r="AJ38" i="10"/>
  <c r="AJ20" i="10"/>
  <c r="AJ37" i="10"/>
  <c r="AJ32" i="10"/>
  <c r="AJ29" i="10"/>
  <c r="AJ40" i="10"/>
  <c r="AJ41" i="10"/>
  <c r="AJ25" i="10"/>
  <c r="AJ19" i="10"/>
  <c r="I39" i="10"/>
  <c r="C47" i="10"/>
  <c r="G47" i="10"/>
  <c r="I47" i="10" s="1"/>
  <c r="E47" i="10"/>
  <c r="AJ18" i="10"/>
  <c r="AJ16" i="10"/>
  <c r="AJ22" i="10"/>
  <c r="AJ31" i="10"/>
  <c r="AJ27" i="10"/>
  <c r="AJ30" i="10"/>
  <c r="V32" i="4"/>
  <c r="U32" i="4"/>
  <c r="U30" i="4"/>
  <c r="V30" i="4"/>
  <c r="V28" i="4"/>
  <c r="U28" i="4"/>
  <c r="V26" i="4"/>
  <c r="U22" i="4"/>
  <c r="V22" i="4"/>
  <c r="U34" i="4"/>
  <c r="V34" i="4"/>
  <c r="F42" i="52"/>
  <c r="G72" i="10"/>
  <c r="I72" i="10"/>
  <c r="B43" i="52"/>
  <c r="O43" i="52"/>
  <c r="X33" i="52"/>
  <c r="L126" i="41"/>
  <c r="J165" i="41"/>
  <c r="F165" i="41"/>
  <c r="D165" i="41"/>
  <c r="E165" i="41"/>
  <c r="C165" i="41"/>
  <c r="H165" i="41"/>
  <c r="G165" i="41"/>
  <c r="I148" i="41"/>
  <c r="P21" i="52"/>
  <c r="V21" i="52" s="1"/>
  <c r="I156" i="41"/>
  <c r="P29" i="52"/>
  <c r="V29" i="52" s="1"/>
  <c r="L112" i="41"/>
  <c r="J151" i="41"/>
  <c r="E151" i="41"/>
  <c r="F151" i="41"/>
  <c r="H151" i="41"/>
  <c r="C151" i="41"/>
  <c r="D151" i="41"/>
  <c r="G151" i="41"/>
  <c r="I163" i="41"/>
  <c r="P36" i="52"/>
  <c r="V36" i="52" s="1"/>
  <c r="I146" i="41"/>
  <c r="P19" i="52"/>
  <c r="V19" i="52" s="1"/>
  <c r="L107" i="41"/>
  <c r="I161" i="41"/>
  <c r="I151" i="41"/>
  <c r="K150" i="41"/>
  <c r="P23" i="52"/>
  <c r="V23" i="52" s="1"/>
  <c r="C82" i="40"/>
  <c r="D35" i="52"/>
  <c r="W35" i="52"/>
  <c r="W43" i="52"/>
  <c r="Q43" i="52"/>
  <c r="H82" i="40"/>
  <c r="G56" i="10"/>
  <c r="I56" i="10"/>
  <c r="H1" i="3"/>
  <c r="K95" i="41"/>
  <c r="G70" i="10"/>
  <c r="I70" i="10"/>
  <c r="G68" i="10"/>
  <c r="I68" i="10"/>
  <c r="J140" i="3"/>
  <c r="D95" i="41"/>
  <c r="M148" i="3"/>
  <c r="L128" i="3"/>
  <c r="M118" i="3"/>
  <c r="L148" i="3"/>
  <c r="M119" i="3"/>
  <c r="G59" i="10"/>
  <c r="I59" i="10" s="1"/>
  <c r="G65" i="10"/>
  <c r="I65" i="10" s="1"/>
  <c r="G64" i="10"/>
  <c r="I64" i="10" s="1"/>
  <c r="G55" i="10"/>
  <c r="I55" i="10" s="1"/>
  <c r="G52" i="10"/>
  <c r="I52" i="10" s="1"/>
  <c r="E74" i="10"/>
  <c r="G69" i="10"/>
  <c r="I69" i="10"/>
  <c r="G53" i="10"/>
  <c r="I53" i="10"/>
  <c r="H74" i="10"/>
  <c r="G63" i="10"/>
  <c r="I63" i="10" s="1"/>
  <c r="F74" i="10"/>
  <c r="G58" i="10"/>
  <c r="I58" i="10"/>
  <c r="G67" i="10"/>
  <c r="I67" i="10"/>
  <c r="G51" i="10"/>
  <c r="I51" i="10"/>
  <c r="C74" i="10"/>
  <c r="G54" i="10"/>
  <c r="I54" i="10" s="1"/>
  <c r="G48" i="10"/>
  <c r="I48" i="10" s="1"/>
  <c r="B74" i="10"/>
  <c r="G49" i="10"/>
  <c r="I49" i="10"/>
  <c r="G61" i="10"/>
  <c r="I61" i="10"/>
  <c r="G60" i="10"/>
  <c r="I60" i="10"/>
  <c r="G57" i="10"/>
  <c r="I57" i="10"/>
  <c r="G66" i="10"/>
  <c r="I66" i="10"/>
  <c r="G50" i="10"/>
  <c r="I50" i="10"/>
  <c r="G62" i="10"/>
  <c r="I62" i="10"/>
  <c r="G82" i="40"/>
  <c r="F82" i="40"/>
  <c r="E95" i="41"/>
  <c r="G95" i="41"/>
  <c r="C95" i="41"/>
  <c r="F95" i="41"/>
  <c r="J95" i="41"/>
  <c r="E144" i="41"/>
  <c r="E171" i="41"/>
  <c r="J144" i="41"/>
  <c r="C144" i="41"/>
  <c r="G144" i="41"/>
  <c r="H144" i="41"/>
  <c r="D144" i="41"/>
  <c r="F144" i="41"/>
  <c r="H95" i="41"/>
  <c r="I144" i="41"/>
  <c r="P17" i="52"/>
  <c r="V17" i="52" s="1"/>
  <c r="D161" i="41"/>
  <c r="H161" i="41"/>
  <c r="E161" i="41"/>
  <c r="J161" i="41"/>
  <c r="F161" i="41"/>
  <c r="G161" i="41"/>
  <c r="C161" i="41"/>
  <c r="F163" i="41"/>
  <c r="J163" i="41"/>
  <c r="C163" i="41"/>
  <c r="G163" i="41"/>
  <c r="H163" i="41"/>
  <c r="E163" i="41"/>
  <c r="D163" i="41"/>
  <c r="E148" i="41"/>
  <c r="J148" i="41"/>
  <c r="G148" i="41"/>
  <c r="H148" i="41"/>
  <c r="C148" i="41"/>
  <c r="D148" i="41"/>
  <c r="F148" i="41"/>
  <c r="J162" i="41"/>
  <c r="K162" i="41"/>
  <c r="K174" i="41"/>
  <c r="E162" i="41"/>
  <c r="E174" i="41"/>
  <c r="F162" i="41"/>
  <c r="D162" i="41"/>
  <c r="D174" i="41"/>
  <c r="H162" i="41"/>
  <c r="G162" i="41"/>
  <c r="C162" i="41"/>
  <c r="C174" i="41"/>
  <c r="E152" i="41"/>
  <c r="F152" i="41"/>
  <c r="J152" i="41"/>
  <c r="H152" i="41"/>
  <c r="C152" i="41"/>
  <c r="D152" i="41"/>
  <c r="G152" i="41"/>
  <c r="H146" i="41"/>
  <c r="D146" i="41"/>
  <c r="E146" i="41"/>
  <c r="F146" i="41"/>
  <c r="J146" i="41"/>
  <c r="G146" i="41"/>
  <c r="C146" i="41"/>
  <c r="E156" i="41"/>
  <c r="J156" i="41"/>
  <c r="G156" i="41"/>
  <c r="D156" i="41"/>
  <c r="H156" i="41"/>
  <c r="C156" i="41"/>
  <c r="F156" i="41"/>
  <c r="E82" i="40"/>
  <c r="J82" i="40"/>
  <c r="I82" i="40"/>
  <c r="J171" i="41"/>
  <c r="C175" i="41"/>
  <c r="C173" i="41"/>
  <c r="E175" i="41"/>
  <c r="E173" i="41"/>
  <c r="D175" i="41"/>
  <c r="D173" i="41"/>
  <c r="G171" i="41"/>
  <c r="C171" i="41"/>
  <c r="K165" i="41"/>
  <c r="M93" i="41"/>
  <c r="H171" i="41"/>
  <c r="F171" i="41"/>
  <c r="K152" i="41"/>
  <c r="I171" i="41"/>
  <c r="C29" i="52"/>
  <c r="I29" i="52"/>
  <c r="I35" i="52"/>
  <c r="C35" i="52"/>
  <c r="I21" i="52"/>
  <c r="L21" i="52" s="1"/>
  <c r="C21" i="52"/>
  <c r="M130" i="41"/>
  <c r="I19" i="52"/>
  <c r="C19" i="52"/>
  <c r="C36" i="52"/>
  <c r="I36" i="52"/>
  <c r="I34" i="52"/>
  <c r="L34" i="52" s="1"/>
  <c r="C34" i="52"/>
  <c r="I25" i="52"/>
  <c r="C25" i="52"/>
  <c r="C17" i="52"/>
  <c r="I17" i="52"/>
  <c r="L17" i="52" s="1"/>
  <c r="C24" i="52"/>
  <c r="I24" i="52"/>
  <c r="I38" i="52"/>
  <c r="C38" i="52"/>
  <c r="M129" i="41"/>
  <c r="H43" i="52"/>
  <c r="K163" i="41"/>
  <c r="K156" i="41"/>
  <c r="K161" i="41"/>
  <c r="K146" i="41"/>
  <c r="K148" i="41"/>
  <c r="P34" i="52"/>
  <c r="V34" i="52" s="1"/>
  <c r="K151" i="41"/>
  <c r="P24" i="52"/>
  <c r="V24" i="52" s="1"/>
  <c r="D43" i="52"/>
  <c r="K144" i="41"/>
  <c r="K171" i="41"/>
  <c r="K175" i="41"/>
  <c r="K173" i="41"/>
  <c r="N130" i="41"/>
  <c r="N131" i="41"/>
  <c r="J43" i="52"/>
  <c r="AA25" i="53" l="1"/>
  <c r="AA19" i="53"/>
  <c r="AA11" i="53"/>
  <c r="AB42" i="53"/>
  <c r="L49" i="49"/>
  <c r="AC49" i="53"/>
  <c r="Z50" i="53"/>
  <c r="AB49" i="53"/>
  <c r="AB51" i="53" s="1"/>
  <c r="AB50" i="53"/>
  <c r="G51" i="49"/>
  <c r="G57" i="3"/>
  <c r="N72" i="3"/>
  <c r="G64" i="3"/>
  <c r="H64" i="3" s="1"/>
  <c r="I147" i="3"/>
  <c r="K143" i="3"/>
  <c r="I135" i="3"/>
  <c r="J132" i="3"/>
  <c r="J155" i="3"/>
  <c r="Y14" i="52"/>
  <c r="M143" i="3"/>
  <c r="I163" i="3"/>
  <c r="J163" i="3" s="1"/>
  <c r="Y28" i="52"/>
  <c r="J160" i="3"/>
  <c r="G135" i="3"/>
  <c r="AD36" i="10"/>
  <c r="AD22" i="10"/>
  <c r="G158" i="3"/>
  <c r="I158" i="3" s="1"/>
  <c r="G134" i="3"/>
  <c r="I134" i="3" s="1"/>
  <c r="I161" i="3"/>
  <c r="L36" i="52"/>
  <c r="L35" i="52"/>
  <c r="L32" i="52"/>
  <c r="I131" i="3"/>
  <c r="J131" i="3" s="1"/>
  <c r="H141" i="3"/>
  <c r="J141" i="3" s="1"/>
  <c r="I139" i="3"/>
  <c r="Y27" i="52"/>
  <c r="L20" i="52"/>
  <c r="AD34" i="10"/>
  <c r="G147" i="3"/>
  <c r="G143" i="3"/>
  <c r="G164" i="3"/>
  <c r="H164" i="3" s="1"/>
  <c r="J148" i="3"/>
  <c r="L22" i="52"/>
  <c r="AD24" i="10"/>
  <c r="H159" i="3"/>
  <c r="J159" i="3" s="1"/>
  <c r="AD37" i="10"/>
  <c r="G162" i="3"/>
  <c r="H162" i="3" s="1"/>
  <c r="Y36" i="52"/>
  <c r="Y21" i="52"/>
  <c r="L18" i="52"/>
  <c r="M18" i="52" s="1"/>
  <c r="H139" i="3"/>
  <c r="I137" i="3"/>
  <c r="J137" i="3" s="1"/>
  <c r="I151" i="3"/>
  <c r="J151" i="3" s="1"/>
  <c r="K131" i="3"/>
  <c r="K151" i="3"/>
  <c r="I148" i="3"/>
  <c r="Y15" i="52"/>
  <c r="AD25" i="10"/>
  <c r="AD32" i="10"/>
  <c r="J145" i="3"/>
  <c r="G166" i="3"/>
  <c r="H166" i="3" s="1"/>
  <c r="H165" i="3"/>
  <c r="I165" i="3"/>
  <c r="H138" i="3"/>
  <c r="J161" i="3"/>
  <c r="K157" i="3"/>
  <c r="H157" i="3"/>
  <c r="I157" i="3"/>
  <c r="H153" i="3"/>
  <c r="I153" i="3"/>
  <c r="I164" i="3"/>
  <c r="X43" i="52"/>
  <c r="Y7" i="52"/>
  <c r="I166" i="3"/>
  <c r="Y40" i="52"/>
  <c r="L38" i="52"/>
  <c r="L19" i="52"/>
  <c r="K43" i="52"/>
  <c r="Y17" i="52"/>
  <c r="Y23" i="52"/>
  <c r="AD29" i="10"/>
  <c r="AD28" i="10"/>
  <c r="AD18" i="10"/>
  <c r="AD14" i="10"/>
  <c r="AD35" i="10"/>
  <c r="H158" i="3"/>
  <c r="J158" i="3" s="1"/>
  <c r="K149" i="3"/>
  <c r="I162" i="3"/>
  <c r="H134" i="3"/>
  <c r="J134" i="3" s="1"/>
  <c r="K134" i="3"/>
  <c r="K154" i="3"/>
  <c r="Y39" i="52"/>
  <c r="Y33" i="52"/>
  <c r="Y30" i="52"/>
  <c r="Y31" i="52"/>
  <c r="Y22" i="52"/>
  <c r="Y32" i="52"/>
  <c r="L37" i="52"/>
  <c r="L33" i="52"/>
  <c r="G154" i="3"/>
  <c r="I154" i="3" s="1"/>
  <c r="G150" i="3"/>
  <c r="G146" i="3"/>
  <c r="K146" i="3" s="1"/>
  <c r="G142" i="3"/>
  <c r="I142" i="3" s="1"/>
  <c r="G138" i="3"/>
  <c r="Y37" i="52"/>
  <c r="Y35" i="52"/>
  <c r="Y24" i="52"/>
  <c r="L24" i="52"/>
  <c r="E43" i="52"/>
  <c r="Y19" i="52"/>
  <c r="Y29" i="52"/>
  <c r="AD33" i="10"/>
  <c r="AD16" i="10"/>
  <c r="AD20" i="10"/>
  <c r="AD39" i="10"/>
  <c r="AD30" i="10"/>
  <c r="AD21" i="10"/>
  <c r="K130" i="3"/>
  <c r="Y20" i="52"/>
  <c r="Y18" i="52"/>
  <c r="L28" i="52"/>
  <c r="K153" i="3"/>
  <c r="I149" i="3"/>
  <c r="J149" i="3" s="1"/>
  <c r="I130" i="3"/>
  <c r="J130" i="3" s="1"/>
  <c r="Y42" i="52"/>
  <c r="L40" i="52"/>
  <c r="Y34" i="52"/>
  <c r="L25" i="52"/>
  <c r="L29" i="52"/>
  <c r="R43" i="52"/>
  <c r="Y25" i="52"/>
  <c r="L16" i="52"/>
  <c r="AD38" i="10"/>
  <c r="AD41" i="10"/>
  <c r="AD19" i="10"/>
  <c r="AD27" i="10"/>
  <c r="Y26" i="52"/>
  <c r="L26" i="52"/>
  <c r="Y41" i="52"/>
  <c r="N65" i="3"/>
  <c r="G80" i="3"/>
  <c r="H80" i="3" s="1"/>
  <c r="G85" i="3"/>
  <c r="H85" i="3" s="1"/>
  <c r="L70" i="3"/>
  <c r="N71" i="3"/>
  <c r="L85" i="3"/>
  <c r="AK35" i="10"/>
  <c r="M64" i="3"/>
  <c r="G69" i="3"/>
  <c r="H69" i="3" s="1"/>
  <c r="L65" i="3"/>
  <c r="AK28" i="10"/>
  <c r="N81" i="3"/>
  <c r="G77" i="3"/>
  <c r="H77" i="3" s="1"/>
  <c r="G65" i="3"/>
  <c r="H65" i="3" s="1"/>
  <c r="AK34" i="10"/>
  <c r="AK32" i="10"/>
  <c r="G86" i="3"/>
  <c r="H86" i="3" s="1"/>
  <c r="M72" i="3"/>
  <c r="M77" i="3"/>
  <c r="L86" i="3"/>
  <c r="N84" i="3"/>
  <c r="N80" i="3"/>
  <c r="G76" i="3"/>
  <c r="E91" i="3" s="1"/>
  <c r="N68" i="3"/>
  <c r="N64" i="3"/>
  <c r="G60" i="3"/>
  <c r="N87" i="3"/>
  <c r="G71" i="3"/>
  <c r="H71" i="3" s="1"/>
  <c r="G88" i="3"/>
  <c r="H88" i="3" s="1"/>
  <c r="N61" i="3"/>
  <c r="N69" i="3"/>
  <c r="N73" i="3"/>
  <c r="N77" i="3"/>
  <c r="N85" i="3"/>
  <c r="AK19" i="10"/>
  <c r="AO19" i="10" s="1"/>
  <c r="AK22" i="10"/>
  <c r="AO22" i="10" s="1"/>
  <c r="G81" i="3"/>
  <c r="H81" i="3" s="1"/>
  <c r="G73" i="3"/>
  <c r="H73" i="3" s="1"/>
  <c r="G61" i="3"/>
  <c r="N82" i="3"/>
  <c r="BE8" i="49"/>
  <c r="BE12" i="49"/>
  <c r="BE16" i="49"/>
  <c r="BE21" i="49"/>
  <c r="BE25" i="49"/>
  <c r="BE29" i="49"/>
  <c r="BE33" i="49"/>
  <c r="BE39" i="49"/>
  <c r="BG26" i="49"/>
  <c r="BG30" i="49"/>
  <c r="BG34" i="49"/>
  <c r="BG38" i="49"/>
  <c r="BE36" i="49"/>
  <c r="BG28" i="49"/>
  <c r="BG32" i="49"/>
  <c r="BG24" i="49"/>
  <c r="BE9" i="49"/>
  <c r="BE13" i="49"/>
  <c r="BE17" i="49"/>
  <c r="BE22" i="49"/>
  <c r="BE37" i="49"/>
  <c r="BE20" i="49"/>
  <c r="H76" i="3"/>
  <c r="AB17" i="10"/>
  <c r="AB25" i="10"/>
  <c r="AB33" i="10"/>
  <c r="AB41" i="10"/>
  <c r="C43" i="52"/>
  <c r="G84" i="3"/>
  <c r="H84" i="3" s="1"/>
  <c r="G79" i="3"/>
  <c r="H79" i="3" s="1"/>
  <c r="G68" i="3"/>
  <c r="H68" i="3" s="1"/>
  <c r="G63" i="3"/>
  <c r="H63" i="3" s="1"/>
  <c r="M71" i="3"/>
  <c r="L76" i="3"/>
  <c r="M87" i="3"/>
  <c r="AK25" i="10"/>
  <c r="N76" i="3"/>
  <c r="G87" i="3"/>
  <c r="H87" i="3" s="1"/>
  <c r="N83" i="3"/>
  <c r="H75" i="3"/>
  <c r="N67" i="3"/>
  <c r="G59" i="3"/>
  <c r="N66" i="3"/>
  <c r="G58" i="3"/>
  <c r="N89" i="3"/>
  <c r="AK33" i="10"/>
  <c r="AB16" i="10"/>
  <c r="AB29" i="10"/>
  <c r="S89" i="45"/>
  <c r="M16" i="52"/>
  <c r="G83" i="3"/>
  <c r="G72" i="3"/>
  <c r="H72" i="3" s="1"/>
  <c r="G67" i="3"/>
  <c r="H67" i="3" s="1"/>
  <c r="AK39" i="10"/>
  <c r="P43" i="52"/>
  <c r="AK41" i="10"/>
  <c r="AK23" i="10"/>
  <c r="AO23" i="10" s="1"/>
  <c r="L68" i="3"/>
  <c r="L84" i="3"/>
  <c r="AB15" i="10"/>
  <c r="AB21" i="10"/>
  <c r="AB28" i="10"/>
  <c r="I43" i="52"/>
  <c r="AK21" i="10"/>
  <c r="AO21" i="10" s="1"/>
  <c r="AK26" i="10"/>
  <c r="AK36" i="10"/>
  <c r="AK40" i="10"/>
  <c r="AK30" i="10"/>
  <c r="N75" i="3"/>
  <c r="N74" i="3"/>
  <c r="L89" i="3"/>
  <c r="AB23" i="10"/>
  <c r="AB13" i="10"/>
  <c r="AB39" i="10"/>
  <c r="AB40" i="10"/>
  <c r="AB24" i="10"/>
  <c r="AB22" i="10"/>
  <c r="AB27" i="10"/>
  <c r="AB37" i="10"/>
  <c r="AB26" i="10"/>
  <c r="AB30" i="10"/>
  <c r="AK37" i="10"/>
  <c r="AK20" i="10"/>
  <c r="AO20" i="10" s="1"/>
  <c r="AK17" i="10"/>
  <c r="AO17" i="10" s="1"/>
  <c r="AK38" i="10"/>
  <c r="AK29" i="10"/>
  <c r="G82" i="3"/>
  <c r="H82" i="3" s="1"/>
  <c r="G78" i="3"/>
  <c r="H78" i="3" s="1"/>
  <c r="G74" i="3"/>
  <c r="H74" i="3" s="1"/>
  <c r="G70" i="3"/>
  <c r="H70" i="3" s="1"/>
  <c r="G66" i="3"/>
  <c r="H66" i="3" s="1"/>
  <c r="G62" i="3"/>
  <c r="H62" i="3" s="1"/>
  <c r="N63" i="3"/>
  <c r="N79" i="3"/>
  <c r="N62" i="3"/>
  <c r="N78" i="3"/>
  <c r="G89" i="3"/>
  <c r="H89" i="3" s="1"/>
  <c r="N88" i="3"/>
  <c r="AB35" i="10"/>
  <c r="AB19" i="10"/>
  <c r="AB14" i="10"/>
  <c r="AB38" i="10"/>
  <c r="AB36" i="10"/>
  <c r="AB20" i="10"/>
  <c r="AB18" i="10"/>
  <c r="AK18" i="10"/>
  <c r="AO18" i="10" s="1"/>
  <c r="AK24" i="10"/>
  <c r="AK31" i="10"/>
  <c r="AK27" i="10"/>
  <c r="AK16" i="10"/>
  <c r="AO16" i="10" s="1"/>
  <c r="H83" i="3"/>
  <c r="M66" i="3"/>
  <c r="M82" i="3"/>
  <c r="AB31" i="10"/>
  <c r="AB34" i="10"/>
  <c r="AB32" i="10"/>
  <c r="M41" i="52"/>
  <c r="Y16" i="52"/>
  <c r="V43" i="52"/>
  <c r="M33" i="52"/>
  <c r="M36" i="52"/>
  <c r="M88" i="3"/>
  <c r="G90" i="3"/>
  <c r="H90" i="3" s="1"/>
  <c r="N90" i="3"/>
  <c r="I74" i="10"/>
  <c r="G74" i="10"/>
  <c r="F48" i="4"/>
  <c r="H48" i="4"/>
  <c r="I48" i="4"/>
  <c r="S21" i="4"/>
  <c r="D28" i="53" s="1"/>
  <c r="T21" i="4"/>
  <c r="G48" i="4"/>
  <c r="D48" i="4"/>
  <c r="AH26" i="10"/>
  <c r="E48" i="4"/>
  <c r="K48" i="4"/>
  <c r="C48" i="4"/>
  <c r="Y30" i="10"/>
  <c r="K25" i="4"/>
  <c r="J52" i="4" s="1"/>
  <c r="O25" i="4"/>
  <c r="D57" i="4"/>
  <c r="J57" i="4"/>
  <c r="C57" i="4"/>
  <c r="S30" i="4"/>
  <c r="D37" i="53" s="1"/>
  <c r="AH35" i="10"/>
  <c r="E57" i="4"/>
  <c r="G57" i="4"/>
  <c r="V35" i="4"/>
  <c r="U35" i="4"/>
  <c r="T23" i="4"/>
  <c r="E50" i="4"/>
  <c r="I50" i="4"/>
  <c r="K50" i="4"/>
  <c r="H50" i="4"/>
  <c r="F50" i="4"/>
  <c r="C50" i="4"/>
  <c r="AH28" i="10"/>
  <c r="D50" i="4"/>
  <c r="Y38" i="10"/>
  <c r="J60" i="4"/>
  <c r="K33" i="4"/>
  <c r="O33" i="4"/>
  <c r="Y26" i="10"/>
  <c r="J48" i="4"/>
  <c r="O21" i="4"/>
  <c r="S19" i="4"/>
  <c r="AH24" i="10"/>
  <c r="H46" i="4"/>
  <c r="I46" i="4"/>
  <c r="G46" i="4"/>
  <c r="F46" i="4"/>
  <c r="E46" i="4"/>
  <c r="K46" i="4"/>
  <c r="T27" i="4"/>
  <c r="G54" i="4"/>
  <c r="AH32" i="10"/>
  <c r="E54" i="4"/>
  <c r="F54" i="4"/>
  <c r="I54" i="4"/>
  <c r="AH33" i="10"/>
  <c r="G55" i="4"/>
  <c r="S28" i="4"/>
  <c r="D35" i="53" s="1"/>
  <c r="E55" i="4"/>
  <c r="I55" i="4"/>
  <c r="H55" i="4"/>
  <c r="K55" i="4"/>
  <c r="J55" i="4"/>
  <c r="AH37" i="10"/>
  <c r="H59" i="4"/>
  <c r="E59" i="4"/>
  <c r="K59" i="4"/>
  <c r="D59" i="4"/>
  <c r="C59" i="4"/>
  <c r="I59" i="4"/>
  <c r="S32" i="4"/>
  <c r="D39" i="53" s="1"/>
  <c r="T20" i="4"/>
  <c r="T24" i="4"/>
  <c r="U19" i="4"/>
  <c r="N36" i="4"/>
  <c r="T36" i="4" s="1"/>
  <c r="G38" i="4"/>
  <c r="I36" i="4"/>
  <c r="I38" i="4" s="1"/>
  <c r="K20" i="4"/>
  <c r="S34" i="4"/>
  <c r="D41" i="53" s="1"/>
  <c r="G61" i="4"/>
  <c r="J61" i="4"/>
  <c r="C61" i="4"/>
  <c r="AH39" i="10"/>
  <c r="F61" i="4"/>
  <c r="K61" i="4"/>
  <c r="Y34" i="10"/>
  <c r="K29" i="4"/>
  <c r="J56" i="4"/>
  <c r="O29" i="4"/>
  <c r="G50" i="4"/>
  <c r="I56" i="4"/>
  <c r="H53" i="4"/>
  <c r="D53" i="4"/>
  <c r="F53" i="4"/>
  <c r="S26" i="4"/>
  <c r="D33" i="53" s="1"/>
  <c r="G53" i="4"/>
  <c r="C53" i="4"/>
  <c r="E53" i="4"/>
  <c r="AH31" i="10"/>
  <c r="J40" i="4"/>
  <c r="Y11" i="10"/>
  <c r="Y36" i="10"/>
  <c r="O31" i="4"/>
  <c r="K31" i="4"/>
  <c r="J58" i="4" s="1"/>
  <c r="Y32" i="10"/>
  <c r="O27" i="4"/>
  <c r="J54" i="4"/>
  <c r="Y28" i="10"/>
  <c r="O23" i="4"/>
  <c r="J50" i="4"/>
  <c r="Y24" i="10"/>
  <c r="O19" i="4"/>
  <c r="J38" i="4"/>
  <c r="J46" i="4"/>
  <c r="Y20" i="10"/>
  <c r="O15" i="4"/>
  <c r="Y16" i="10"/>
  <c r="AC21" i="10" s="1"/>
  <c r="O11" i="4"/>
  <c r="Y12" i="10"/>
  <c r="O7" i="4"/>
  <c r="AC41" i="10"/>
  <c r="I91" i="38"/>
  <c r="E91" i="38"/>
  <c r="H91" i="38"/>
  <c r="D91" i="38"/>
  <c r="C91" i="38"/>
  <c r="F91" i="38"/>
  <c r="G91" i="38"/>
  <c r="R45" i="53" l="1"/>
  <c r="Q45" i="53"/>
  <c r="U48" i="53"/>
  <c r="U49" i="53" s="1"/>
  <c r="AA50" i="53"/>
  <c r="M22" i="52"/>
  <c r="M20" i="52"/>
  <c r="M39" i="52"/>
  <c r="M37" i="52"/>
  <c r="M29" i="52"/>
  <c r="M42" i="52"/>
  <c r="L43" i="52"/>
  <c r="J147" i="3"/>
  <c r="M40" i="52"/>
  <c r="M21" i="52"/>
  <c r="M31" i="52"/>
  <c r="M32" i="52"/>
  <c r="H154" i="3"/>
  <c r="J154" i="3" s="1"/>
  <c r="H143" i="3"/>
  <c r="I143" i="3"/>
  <c r="H135" i="3"/>
  <c r="J135" i="3" s="1"/>
  <c r="K135" i="3"/>
  <c r="M34" i="52"/>
  <c r="K142" i="3"/>
  <c r="M38" i="52"/>
  <c r="M35" i="52"/>
  <c r="J165" i="3"/>
  <c r="H147" i="3"/>
  <c r="K147" i="3"/>
  <c r="J139" i="3"/>
  <c r="I150" i="3"/>
  <c r="M142" i="3"/>
  <c r="M24" i="52"/>
  <c r="M19" i="52"/>
  <c r="M17" i="52"/>
  <c r="I138" i="3"/>
  <c r="J138" i="3" s="1"/>
  <c r="K138" i="3"/>
  <c r="J162" i="3"/>
  <c r="J153" i="3"/>
  <c r="H142" i="3"/>
  <c r="M27" i="52"/>
  <c r="M25" i="52"/>
  <c r="M30" i="52"/>
  <c r="Y43" i="52"/>
  <c r="M23" i="52"/>
  <c r="H150" i="3"/>
  <c r="L156" i="3"/>
  <c r="J142" i="3"/>
  <c r="M26" i="52"/>
  <c r="M28" i="52"/>
  <c r="I146" i="3"/>
  <c r="H146" i="3"/>
  <c r="J166" i="3"/>
  <c r="J164" i="3"/>
  <c r="J157" i="3"/>
  <c r="K150" i="3"/>
  <c r="L157" i="3" s="1"/>
  <c r="P77" i="3"/>
  <c r="P78" i="3" s="1"/>
  <c r="P79" i="3" s="1"/>
  <c r="P80" i="3" s="1"/>
  <c r="P81" i="3" s="1"/>
  <c r="P82" i="3" s="1"/>
  <c r="P83" i="3" s="1"/>
  <c r="P84" i="3" s="1"/>
  <c r="P85" i="3" s="1"/>
  <c r="P86" i="3" s="1"/>
  <c r="P87" i="3" s="1"/>
  <c r="P88" i="3" s="1"/>
  <c r="P89" i="3" s="1"/>
  <c r="P90" i="3" s="1"/>
  <c r="O61" i="3"/>
  <c r="O62" i="3" s="1"/>
  <c r="O63" i="3" s="1"/>
  <c r="O64" i="3" s="1"/>
  <c r="O65" i="3" s="1"/>
  <c r="O66" i="3" s="1"/>
  <c r="O67" i="3" s="1"/>
  <c r="O68" i="3" s="1"/>
  <c r="O69" i="3" s="1"/>
  <c r="O70" i="3" s="1"/>
  <c r="O71" i="3" s="1"/>
  <c r="O72" i="3" s="1"/>
  <c r="O73" i="3" s="1"/>
  <c r="O74" i="3" s="1"/>
  <c r="O75" i="3" s="1"/>
  <c r="O76" i="3" s="1"/>
  <c r="AC20" i="10"/>
  <c r="AC16" i="10"/>
  <c r="AC35" i="10"/>
  <c r="AC25" i="10"/>
  <c r="AC32" i="10"/>
  <c r="AC36" i="10"/>
  <c r="J47" i="4"/>
  <c r="D47" i="4"/>
  <c r="G47" i="4"/>
  <c r="F47" i="4"/>
  <c r="AH25" i="10"/>
  <c r="K47" i="4"/>
  <c r="C47" i="4"/>
  <c r="E47" i="4"/>
  <c r="H47" i="4"/>
  <c r="S20" i="4"/>
  <c r="D27" i="53" s="1"/>
  <c r="U24" i="4"/>
  <c r="V24" i="4"/>
  <c r="D26" i="53"/>
  <c r="U23" i="4"/>
  <c r="V23" i="4"/>
  <c r="AC19" i="10"/>
  <c r="AC39" i="10"/>
  <c r="AC30" i="10"/>
  <c r="AC18" i="10"/>
  <c r="AC28" i="10"/>
  <c r="AC13" i="10"/>
  <c r="G56" i="4"/>
  <c r="S29" i="4"/>
  <c r="D36" i="53" s="1"/>
  <c r="H56" i="4"/>
  <c r="K56" i="4"/>
  <c r="T29" i="4"/>
  <c r="C56" i="4"/>
  <c r="F56" i="4"/>
  <c r="D56" i="4"/>
  <c r="AH34" i="10"/>
  <c r="E56" i="4"/>
  <c r="K36" i="4"/>
  <c r="K38" i="4" s="1"/>
  <c r="AC40" i="10"/>
  <c r="U20" i="4"/>
  <c r="V20" i="4"/>
  <c r="C60" i="4"/>
  <c r="S33" i="4"/>
  <c r="D40" i="53" s="1"/>
  <c r="G60" i="4"/>
  <c r="E60" i="4"/>
  <c r="K60" i="4"/>
  <c r="D60" i="4"/>
  <c r="H60" i="4"/>
  <c r="I60" i="4"/>
  <c r="AH38" i="10"/>
  <c r="T33" i="4"/>
  <c r="F60" i="4"/>
  <c r="AC23" i="10"/>
  <c r="AC17" i="10"/>
  <c r="I52" i="4"/>
  <c r="AC24" i="10"/>
  <c r="K58" i="4"/>
  <c r="I58" i="4"/>
  <c r="F58" i="4"/>
  <c r="C58" i="4"/>
  <c r="AH36" i="10"/>
  <c r="S31" i="4"/>
  <c r="D38" i="53" s="1"/>
  <c r="D58" i="4"/>
  <c r="H58" i="4"/>
  <c r="G58" i="4"/>
  <c r="E58" i="4"/>
  <c r="AC22" i="10"/>
  <c r="AC34" i="10"/>
  <c r="I47" i="4"/>
  <c r="AC29" i="10"/>
  <c r="AC27" i="10"/>
  <c r="AC37" i="10"/>
  <c r="U36" i="4"/>
  <c r="P46" i="41"/>
  <c r="V36" i="4"/>
  <c r="AC33" i="10"/>
  <c r="U27" i="4"/>
  <c r="V27" i="4"/>
  <c r="AC26" i="10"/>
  <c r="AC38" i="10"/>
  <c r="AC15" i="10"/>
  <c r="AC31" i="10"/>
  <c r="G52" i="4"/>
  <c r="F52" i="4"/>
  <c r="D52" i="4"/>
  <c r="T25" i="4"/>
  <c r="C52" i="4"/>
  <c r="K52" i="4"/>
  <c r="S25" i="4"/>
  <c r="D32" i="53" s="1"/>
  <c r="AH30" i="10"/>
  <c r="E52" i="4"/>
  <c r="H52" i="4"/>
  <c r="AC14" i="10"/>
  <c r="U21" i="4"/>
  <c r="V21" i="4"/>
  <c r="J143" i="3" l="1"/>
  <c r="J146" i="3"/>
  <c r="J150" i="3"/>
  <c r="S36" i="4"/>
  <c r="D43" i="53" s="1"/>
  <c r="D45" i="53" s="1"/>
  <c r="C63" i="4"/>
  <c r="C65" i="4" s="1"/>
  <c r="H63" i="4"/>
  <c r="H65" i="4" s="1"/>
  <c r="J63" i="4"/>
  <c r="J65" i="4" s="1"/>
  <c r="AH41" i="10"/>
  <c r="AL41" i="10" s="1"/>
  <c r="AO41" i="10" s="1"/>
  <c r="F63" i="4"/>
  <c r="F65" i="4" s="1"/>
  <c r="D63" i="4"/>
  <c r="D65" i="4" s="1"/>
  <c r="K63" i="4"/>
  <c r="K65" i="4" s="1"/>
  <c r="E63" i="4"/>
  <c r="E65" i="4" s="1"/>
  <c r="G63" i="4"/>
  <c r="G65" i="4" s="1"/>
  <c r="AL34" i="10"/>
  <c r="AO34" i="10" s="1"/>
  <c r="U29" i="4"/>
  <c r="V29" i="4"/>
  <c r="S38" i="4"/>
  <c r="I63" i="4"/>
  <c r="I65" i="4" s="1"/>
  <c r="U25" i="4"/>
  <c r="V25" i="4"/>
  <c r="AL29" i="10"/>
  <c r="AO29" i="10" s="1"/>
  <c r="U31" i="4"/>
  <c r="V31" i="4"/>
  <c r="U33" i="4"/>
  <c r="V33" i="4"/>
  <c r="AL39" i="10"/>
  <c r="AO39" i="10" s="1"/>
  <c r="AL25" i="10"/>
  <c r="AO25" i="10" s="1"/>
  <c r="AL40" i="10"/>
  <c r="AO40" i="10" s="1"/>
  <c r="AL38" i="10"/>
  <c r="AO38" i="10" s="1"/>
  <c r="AL33" i="10"/>
  <c r="AO33" i="10" s="1"/>
  <c r="AL26" i="10"/>
  <c r="AO26" i="10" s="1"/>
  <c r="AL31" i="10" l="1"/>
  <c r="AO31" i="10" s="1"/>
  <c r="AL32" i="10"/>
  <c r="AO32" i="10" s="1"/>
  <c r="AL30" i="10"/>
  <c r="AO30" i="10" s="1"/>
  <c r="AL36" i="10"/>
  <c r="AO36" i="10" s="1"/>
  <c r="AL35" i="10"/>
  <c r="AO35" i="10" s="1"/>
  <c r="AL24" i="10"/>
  <c r="AO24" i="10" s="1"/>
  <c r="AL37" i="10"/>
  <c r="AO37" i="10" s="1"/>
  <c r="AL28" i="10"/>
  <c r="AO28" i="10" s="1"/>
  <c r="AL27" i="10"/>
  <c r="AO27" i="10" s="1"/>
</calcChain>
</file>

<file path=xl/sharedStrings.xml><?xml version="1.0" encoding="utf-8"?>
<sst xmlns="http://schemas.openxmlformats.org/spreadsheetml/2006/main" count="1606" uniqueCount="438">
  <si>
    <t>FW Sport</t>
  </si>
  <si>
    <t>Troll Catch, Other Catch and Escapement</t>
  </si>
  <si>
    <t>Auke Creek</t>
  </si>
  <si>
    <t>Year</t>
  </si>
  <si>
    <t>Troll</t>
  </si>
  <si>
    <t>Escapement</t>
  </si>
  <si>
    <t>Upper</t>
  </si>
  <si>
    <t>Lower</t>
  </si>
  <si>
    <t>Berners River</t>
  </si>
  <si>
    <t>Other</t>
  </si>
  <si>
    <t>Escape</t>
  </si>
  <si>
    <t>Ford Arm Lake</t>
  </si>
  <si>
    <t>Hugh Smith Lake</t>
  </si>
  <si>
    <t>Excl. 91</t>
  </si>
  <si>
    <t>11.5 Percent</t>
  </si>
  <si>
    <t>Seine</t>
  </si>
  <si>
    <t>Gillnet</t>
  </si>
  <si>
    <t>Sport</t>
  </si>
  <si>
    <t>Smolts</t>
  </si>
  <si>
    <t>Survival</t>
  </si>
  <si>
    <t>Inriver</t>
  </si>
  <si>
    <t>Run</t>
  </si>
  <si>
    <t>Marine</t>
  </si>
  <si>
    <t>Catch</t>
  </si>
  <si>
    <t>Return</t>
  </si>
  <si>
    <t xml:space="preserve">Sport </t>
  </si>
  <si>
    <t xml:space="preserve">Total </t>
  </si>
  <si>
    <t xml:space="preserve">Total  </t>
  </si>
  <si>
    <t xml:space="preserve">       Number of Fish</t>
  </si>
  <si>
    <t>Total</t>
  </si>
  <si>
    <t>Above</t>
  </si>
  <si>
    <t>Border</t>
  </si>
  <si>
    <t>Average</t>
  </si>
  <si>
    <t>Fishery</t>
  </si>
  <si>
    <t>linear trend</t>
  </si>
  <si>
    <t>Figure 3.9-  Total estimated run size, catch and escapement of coho salmon bound for the Taku River</t>
  </si>
  <si>
    <t xml:space="preserve">   Number of Fish</t>
  </si>
  <si>
    <t xml:space="preserve"> Sample</t>
  </si>
  <si>
    <t xml:space="preserve">Drift  </t>
  </si>
  <si>
    <t xml:space="preserve">   Size   </t>
  </si>
  <si>
    <t xml:space="preserve"> Escapement</t>
  </si>
  <si>
    <t>⁭</t>
  </si>
  <si>
    <t>Figure 3.8- Total run size, catch, escapement and biological escapement goal range for three wild Southeast</t>
  </si>
  <si>
    <t>Alaska coho indicator stocks, 1982-2016.</t>
  </si>
  <si>
    <t>Biological Goal</t>
  </si>
  <si>
    <t>Adj Esc</t>
  </si>
  <si>
    <t>Adjusted Goal Bounds</t>
  </si>
  <si>
    <t>Non-Troll</t>
  </si>
  <si>
    <t>Figure 16.-Total estimated run size, catch, and escapement of coho salmon bound for the Taku River (above Canyon Island) and the Chilkat and Berners rivers, 1987-2016. The Berners River escapement and escapement goal bounds are based on an estimated survey expansion factor of 1.241.</t>
  </si>
  <si>
    <t xml:space="preserve">Figure 15.-Total run size, catch, escapement, and biological escapement goal range for 4 wild Southeast Alaska coho salmon indicator stocks, 1982-2010. </t>
  </si>
  <si>
    <t xml:space="preserve">                  above Canyon Island, 1987-2004.  There are no catch estimates for 1987-1991.</t>
  </si>
  <si>
    <t>Subsistence</t>
  </si>
  <si>
    <t xml:space="preserve"> Troll  </t>
  </si>
  <si>
    <t xml:space="preserve">Run   </t>
  </si>
  <si>
    <t>Table 22.–Estimated harvest (by gear type) and escapement as a percent of the total Chilkat River coho salmon run, 2000–2016.</t>
  </si>
  <si>
    <t>Table 14.–Estimated harvest by gear type, escapement, and total run of coho salmon returning to the Chilkat River, 1987–2016.</t>
  </si>
  <si>
    <t>Table 21.–Estimated harvest (by gear type) and escapement as a percent of the total Taku River coho salmon run above Canyon Island, 1992–2016.</t>
  </si>
  <si>
    <r>
      <t>FW Sport</t>
    </r>
    <r>
      <rPr>
        <vertAlign val="superscript"/>
        <sz val="10"/>
        <rFont val="Times New Roman"/>
        <family val="1"/>
      </rPr>
      <t>a</t>
    </r>
  </si>
  <si>
    <t>Brian's Sum</t>
  </si>
  <si>
    <t>Sheet</t>
  </si>
  <si>
    <t xml:space="preserve">   Seine</t>
  </si>
  <si>
    <t>Size</t>
  </si>
  <si>
    <t xml:space="preserve">Year </t>
  </si>
  <si>
    <t>Sample</t>
  </si>
  <si>
    <t xml:space="preserve"> </t>
  </si>
  <si>
    <t>Percent of Run</t>
  </si>
  <si>
    <t>Table 17.–Estimated harvest (by gear type) and escapement as a percent of the total Auke Creek coho salmon run, 1980–2016.</t>
  </si>
  <si>
    <t>Number of Fish</t>
  </si>
  <si>
    <t>Table 9.–Estimated harvest by gear type, escapement, and total run of coho salmon returning to Auke Creek, 1980–2016.</t>
  </si>
  <si>
    <t xml:space="preserve"> Return</t>
  </si>
  <si>
    <t xml:space="preserve"> Catch</t>
  </si>
  <si>
    <t>Net</t>
  </si>
  <si>
    <t xml:space="preserve">Trap </t>
  </si>
  <si>
    <t xml:space="preserve"> Size</t>
  </si>
  <si>
    <t xml:space="preserve">  Total  </t>
  </si>
  <si>
    <t>B.C.</t>
  </si>
  <si>
    <t>Alaska</t>
  </si>
  <si>
    <t xml:space="preserve">     Number of Fish</t>
  </si>
  <si>
    <t xml:space="preserve"> Run  </t>
  </si>
  <si>
    <t xml:space="preserve"> Seine</t>
  </si>
  <si>
    <t xml:space="preserve"> Size   </t>
  </si>
  <si>
    <t>Canadian</t>
  </si>
  <si>
    <t xml:space="preserve">Drift </t>
  </si>
  <si>
    <t>Table 19.–Estimated harvest (by gear type) and escapement as a percent of the total Ford Arm Creek coho salmon run, 1982–2015.</t>
  </si>
  <si>
    <t>-</t>
  </si>
  <si>
    <t xml:space="preserve">Table 11.–Estimated harvest by gear type, escapement, and total run of coho salmon returning to Ford Arm Creek, 1982–2016. </t>
  </si>
  <si>
    <t>Recovery</t>
  </si>
  <si>
    <t>Cost</t>
  </si>
  <si>
    <t xml:space="preserve">       Percent of Total Run</t>
  </si>
  <si>
    <t>Table 18.–Estimated harvest (by gear type) and escapement as a percent of the total Berners River coho salmon run based on the expanded escapement survey count, 1989–2016.</t>
  </si>
  <si>
    <t>Table 10.–Estimated harvest by gear type, escapement and total run of coho salmon returning to the Berners River based on the expanded escapement survey count, 1989-2016</t>
  </si>
  <si>
    <t>Table 18.–Estimated harvest (by gear type) and escapement as a percent of the total Berners River coho salmon run based on the unadjusted escapement survey count, 1982–2016.</t>
  </si>
  <si>
    <t>Chilkat</t>
  </si>
  <si>
    <t>Table 10.–Estimated harvest by gear type, escapement and total run of coho salmon returning to the Berners River based on the unadjusted escapement survey count, 1974-2016</t>
  </si>
  <si>
    <t>7 pt LOESS</t>
  </si>
  <si>
    <t>Index</t>
  </si>
  <si>
    <t>Ketchikan</t>
  </si>
  <si>
    <t xml:space="preserve">   Creek</t>
  </si>
  <si>
    <t xml:space="preserve">    Creek</t>
  </si>
  <si>
    <t xml:space="preserve">     Creek</t>
  </si>
  <si>
    <t xml:space="preserve">     River</t>
  </si>
  <si>
    <t xml:space="preserve">      River </t>
  </si>
  <si>
    <t xml:space="preserve">     River  </t>
  </si>
  <si>
    <t xml:space="preserve">  Creek </t>
  </si>
  <si>
    <t xml:space="preserve">   Choca</t>
  </si>
  <si>
    <t xml:space="preserve">     King </t>
  </si>
  <si>
    <t xml:space="preserve">    Barrier</t>
  </si>
  <si>
    <t xml:space="preserve">    Indian</t>
  </si>
  <si>
    <t xml:space="preserve">    Klahini</t>
  </si>
  <si>
    <t xml:space="preserve"> Eulachon</t>
  </si>
  <si>
    <t xml:space="preserve">    Grant</t>
  </si>
  <si>
    <t xml:space="preserve"> Herman</t>
  </si>
  <si>
    <t>Table  . Peak coho salmon survey counts for 14 streams in the Ketchikan area and total adult coho salmon escapement to Hugh Smith Lake, 1987-2016.a</t>
  </si>
  <si>
    <t>Point</t>
  </si>
  <si>
    <t>a Total index is the sum of counts and interpolated values.  Interpolated values are shown in shaded bold itallic print.</t>
  </si>
  <si>
    <t>Goal:</t>
  </si>
  <si>
    <t xml:space="preserve">     (Weir) </t>
  </si>
  <si>
    <t>Count</t>
  </si>
  <si>
    <t xml:space="preserve">     River    </t>
  </si>
  <si>
    <t xml:space="preserve">    Creek   </t>
  </si>
  <si>
    <t xml:space="preserve">     River </t>
  </si>
  <si>
    <t xml:space="preserve">      River</t>
  </si>
  <si>
    <t xml:space="preserve">  River </t>
  </si>
  <si>
    <t>(Weir- M/R)</t>
  </si>
  <si>
    <t>River</t>
  </si>
  <si>
    <t>Creek</t>
  </si>
  <si>
    <t xml:space="preserve">      Lake</t>
  </si>
  <si>
    <t xml:space="preserve">   Survey</t>
  </si>
  <si>
    <t xml:space="preserve"> Tombstone</t>
  </si>
  <si>
    <t xml:space="preserve"> Humpback</t>
  </si>
  <si>
    <t xml:space="preserve">    Marten</t>
  </si>
  <si>
    <t xml:space="preserve">      Keta</t>
  </si>
  <si>
    <t xml:space="preserve">   Blossum</t>
  </si>
  <si>
    <t xml:space="preserve"> Carroll</t>
  </si>
  <si>
    <t>Lake</t>
  </si>
  <si>
    <t>Survey</t>
  </si>
  <si>
    <t>Tombstone</t>
  </si>
  <si>
    <t>Humpback</t>
  </si>
  <si>
    <t>Marten</t>
  </si>
  <si>
    <t>Keta</t>
  </si>
  <si>
    <t>Blossum</t>
  </si>
  <si>
    <t>Carroll</t>
  </si>
  <si>
    <t>Choca</t>
  </si>
  <si>
    <t>King</t>
  </si>
  <si>
    <t>Barrier</t>
  </si>
  <si>
    <t>Indian</t>
  </si>
  <si>
    <t>Klahini</t>
  </si>
  <si>
    <t>Eulachon</t>
  </si>
  <si>
    <t>Grant</t>
  </si>
  <si>
    <t>Herman</t>
  </si>
  <si>
    <t xml:space="preserve"> Hugh Smith </t>
  </si>
  <si>
    <t>Combined</t>
  </si>
  <si>
    <t>Hugh Smith</t>
  </si>
  <si>
    <t xml:space="preserve">  </t>
  </si>
  <si>
    <t xml:space="preserve">Table 5.-Peak coho salmon survey counts for 14 streams in the Ketchikan area and total adult coho salmon escapement to Hugh Smith Lake, 1987-2016. </t>
  </si>
  <si>
    <t>Upper Bound</t>
  </si>
  <si>
    <t>Lower Bound</t>
  </si>
  <si>
    <t>Goals:</t>
  </si>
  <si>
    <t xml:space="preserve">Figure 7.-Peak coho salmon escapement survey counts for 3 systems in the Yakutat area, 1972-2016, and escapement goal bounds. </t>
  </si>
  <si>
    <r>
      <t>Count</t>
    </r>
    <r>
      <rPr>
        <vertAlign val="superscript"/>
        <sz val="9"/>
        <color rgb="FF000000"/>
        <rFont val="Times New Roman"/>
        <family val="1"/>
      </rPr>
      <t>a</t>
    </r>
  </si>
  <si>
    <t>Mark–Recapture</t>
  </si>
  <si>
    <t>Tsiu River</t>
  </si>
  <si>
    <t>Situk River</t>
  </si>
  <si>
    <t>Tawah Creek</t>
  </si>
  <si>
    <r>
      <t>a</t>
    </r>
    <r>
      <rPr>
        <sz val="11"/>
        <rFont val="Times New Roman"/>
        <family val="1"/>
      </rPr>
      <t xml:space="preserve"> Total includes interpolations for systems without counts (see text for method description).</t>
    </r>
  </si>
  <si>
    <t>–</t>
  </si>
  <si>
    <t>Mark-Recap.</t>
  </si>
  <si>
    <t>Table 6.-Yakutat area coho salmon peak escapement survey counts and available total escapement estimates, 1972-2016.</t>
  </si>
  <si>
    <t>Tawah Creek Goal</t>
  </si>
  <si>
    <t>Tsiu Goal</t>
  </si>
  <si>
    <t>Situk Goal</t>
  </si>
  <si>
    <t>Table   .  Yakutat area coho salmon peak escapement counts, 1972-2010.</t>
  </si>
  <si>
    <t>Figure 5.-Coho salmon escapement estimates and indices for streams in the Sitka area (District 113) with 7 pt LOESS trends, 1982-2016.</t>
  </si>
  <si>
    <r>
      <t>Total index is the sum of counts and interpolated values. Interpolated values are shown in shaded bold italic print.</t>
    </r>
    <r>
      <rPr>
        <sz val="9"/>
        <rFont val="Times New Roman"/>
        <family val="1"/>
      </rPr>
      <t xml:space="preserve"> </t>
    </r>
  </si>
  <si>
    <t>Note:</t>
  </si>
  <si>
    <t xml:space="preserve">  Creek</t>
  </si>
  <si>
    <t xml:space="preserve">     Lake</t>
  </si>
  <si>
    <t>Eagle</t>
  </si>
  <si>
    <t>Nakwasina</t>
  </si>
  <si>
    <t>St. John's</t>
  </si>
  <si>
    <t xml:space="preserve"> Sinitsin</t>
  </si>
  <si>
    <t>Starrigavan</t>
  </si>
  <si>
    <t xml:space="preserve">  Ford Arm</t>
  </si>
  <si>
    <t xml:space="preserve">Sitka </t>
  </si>
  <si>
    <t>Ford Arm</t>
  </si>
  <si>
    <t>Table 4.-Peak counts of coho salmon in the Sitka escapement survey index (sum of 5 streams) and a combination of weir counts and mark-recapture estimates of the Ford Arm Creek escapement, 1982-2016.</t>
  </si>
  <si>
    <t xml:space="preserve">Data from </t>
  </si>
  <si>
    <t>Taku River</t>
  </si>
  <si>
    <t>Expanded Estimate</t>
  </si>
  <si>
    <t>Index Count</t>
  </si>
  <si>
    <t>Peterson Creek</t>
  </si>
  <si>
    <t>Montana Creek</t>
  </si>
  <si>
    <t>Auke Creek (Weir)</t>
  </si>
  <si>
    <t>Chilkat River</t>
  </si>
  <si>
    <t>Juneau Roadside</t>
  </si>
  <si>
    <t>linked to columns above</t>
  </si>
  <si>
    <t>Table 1. Northern Inside area coho salmon escapements, 1980-2016.</t>
  </si>
  <si>
    <t>LOESS</t>
  </si>
  <si>
    <t>Taku</t>
  </si>
  <si>
    <t>Expanded</t>
  </si>
  <si>
    <t>expanded</t>
  </si>
  <si>
    <t>Peterson</t>
  </si>
  <si>
    <t>Montana</t>
  </si>
  <si>
    <t>Auke</t>
  </si>
  <si>
    <t>MR estimates</t>
  </si>
  <si>
    <t>Berners</t>
  </si>
  <si>
    <t>7 pt</t>
  </si>
  <si>
    <t>Bold are</t>
  </si>
  <si>
    <r>
      <rPr>
        <vertAlign val="superscript"/>
        <sz val="10"/>
        <rFont val="Times New Roman"/>
        <family val="1"/>
      </rPr>
      <t>c</t>
    </r>
    <r>
      <rPr>
        <sz val="10"/>
        <rFont val="Times New Roman"/>
        <family val="1"/>
      </rPr>
      <t xml:space="preserve"> The Ketchikan survey index is the sum of peak survey counts on 14 streams.</t>
    </r>
  </si>
  <si>
    <r>
      <t xml:space="preserve">c. </t>
    </r>
    <r>
      <rPr>
        <sz val="10"/>
        <rFont val="Times New Roman"/>
        <family val="1"/>
      </rPr>
      <t xml:space="preserve">Form Arm Creek project discontinued after 2015. </t>
    </r>
  </si>
  <si>
    <r>
      <rPr>
        <vertAlign val="superscript"/>
        <sz val="10"/>
        <rFont val="Times New Roman"/>
        <family val="1"/>
      </rPr>
      <t>b</t>
    </r>
    <r>
      <rPr>
        <sz val="10"/>
        <rFont val="Times New Roman"/>
        <family val="1"/>
      </rPr>
      <t xml:space="preserve"> The Sitka survey index is the sum of peak survey counts on five streams.</t>
    </r>
  </si>
  <si>
    <r>
      <rPr>
        <vertAlign val="superscript"/>
        <sz val="10"/>
        <rFont val="Times New Roman"/>
        <family val="1"/>
      </rPr>
      <t>a</t>
    </r>
    <r>
      <rPr>
        <sz val="10"/>
        <rFont val="Times New Roman"/>
        <family val="1"/>
      </rPr>
      <t xml:space="preserve"> The Berners River index is the unexpanded survey count.</t>
    </r>
  </si>
  <si>
    <t>Goal Range</t>
  </si>
  <si>
    <r>
      <t xml:space="preserve">   Index</t>
    </r>
    <r>
      <rPr>
        <vertAlign val="superscript"/>
        <sz val="11"/>
        <rFont val="Times New Roman"/>
        <family val="1"/>
      </rPr>
      <t>c</t>
    </r>
  </si>
  <si>
    <t xml:space="preserve"> Index</t>
  </si>
  <si>
    <r>
      <t>Lake</t>
    </r>
    <r>
      <rPr>
        <vertAlign val="superscript"/>
        <sz val="10"/>
        <rFont val="Times New Roman"/>
        <family val="1"/>
      </rPr>
      <t>b</t>
    </r>
  </si>
  <si>
    <t xml:space="preserve">   River</t>
  </si>
  <si>
    <r>
      <t xml:space="preserve"> River</t>
    </r>
    <r>
      <rPr>
        <vertAlign val="superscript"/>
        <sz val="11"/>
        <rFont val="Times New Roman"/>
        <family val="1"/>
      </rPr>
      <t>a</t>
    </r>
  </si>
  <si>
    <t xml:space="preserve">  Survey</t>
  </si>
  <si>
    <t>Smith</t>
  </si>
  <si>
    <t xml:space="preserve">   Taku</t>
  </si>
  <si>
    <t xml:space="preserve"> Chilkat</t>
  </si>
  <si>
    <t xml:space="preserve"> Auke</t>
  </si>
  <si>
    <t>Hugh</t>
  </si>
  <si>
    <t xml:space="preserve"> Sitka</t>
  </si>
  <si>
    <t>Table  . Southeast Alaska age .1 adult coho salmon escapement estimates and index counts, 1980-2016.</t>
  </si>
  <si>
    <t>a AS = peak aerial survey, FS = foot survey, BS = boat survey; IE = index escapement; MR = mark-recapture.</t>
  </si>
  <si>
    <t>10,000–29,000</t>
  </si>
  <si>
    <t>BEG</t>
  </si>
  <si>
    <t>AS,IE</t>
  </si>
  <si>
    <t>Tsiu/Tsivat Rivers</t>
  </si>
  <si>
    <t>3,300–9,800</t>
  </si>
  <si>
    <t>BS,IE</t>
  </si>
  <si>
    <t xml:space="preserve">Situk River </t>
  </si>
  <si>
    <t>SEG</t>
  </si>
  <si>
    <t>FS,IE</t>
  </si>
  <si>
    <t>Tawah Creek (Lost River)</t>
  </si>
  <si>
    <t>30,000–70,000</t>
  </si>
  <si>
    <t>MR</t>
  </si>
  <si>
    <t>Chilkat River Escapement</t>
  </si>
  <si>
    <t xml:space="preserve">Berners River </t>
  </si>
  <si>
    <t>1,300–2,900</t>
  </si>
  <si>
    <t>Weir</t>
  </si>
  <si>
    <t xml:space="preserve">Ford Arm Lake </t>
  </si>
  <si>
    <t>400–800</t>
  </si>
  <si>
    <t>FS, IE</t>
  </si>
  <si>
    <t>Sitka Survey Index</t>
  </si>
  <si>
    <t>4,250–8,500</t>
  </si>
  <si>
    <t>HS</t>
  </si>
  <si>
    <t>Ketchikan Survey Index</t>
  </si>
  <si>
    <t>100–250</t>
  </si>
  <si>
    <t>400–1,200</t>
  </si>
  <si>
    <t>200–500</t>
  </si>
  <si>
    <t>50,000–90,000</t>
  </si>
  <si>
    <t>4,000–9,000</t>
  </si>
  <si>
    <t>Klawock River</t>
  </si>
  <si>
    <t>500–1,600</t>
  </si>
  <si>
    <t xml:space="preserve">Hugh Smith Lake </t>
  </si>
  <si>
    <t>Year Established</t>
  </si>
  <si>
    <t>Escapement Goal</t>
  </si>
  <si>
    <t>Type</t>
  </si>
  <si>
    <t>Escapement Data a</t>
  </si>
  <si>
    <t>System</t>
  </si>
  <si>
    <t>Table 1.-Estimated coho salmon escapements for systems with formal escapement goals in Southeast Alaska, 2005-2016.</t>
  </si>
  <si>
    <t>Klawock</t>
  </si>
  <si>
    <t>For graphs below</t>
  </si>
  <si>
    <t>trend</t>
  </si>
  <si>
    <t>--</t>
  </si>
  <si>
    <t>1,600–4,800</t>
  </si>
  <si>
    <t>Non-troll</t>
  </si>
  <si>
    <t>Escapament goals bound</t>
  </si>
  <si>
    <r>
      <t xml:space="preserve"> River</t>
    </r>
    <r>
      <rPr>
        <vertAlign val="superscript"/>
        <sz val="10"/>
        <rFont val="Arial"/>
        <family val="2"/>
      </rPr>
      <t>a</t>
    </r>
  </si>
  <si>
    <r>
      <t>Lake</t>
    </r>
    <r>
      <rPr>
        <vertAlign val="superscript"/>
        <sz val="10"/>
        <rFont val="Arial"/>
        <family val="2"/>
      </rPr>
      <t>b</t>
    </r>
  </si>
  <si>
    <r>
      <t xml:space="preserve">   Index</t>
    </r>
    <r>
      <rPr>
        <vertAlign val="superscript"/>
        <sz val="10"/>
        <rFont val="Arial"/>
        <family val="2"/>
      </rPr>
      <t>c</t>
    </r>
  </si>
  <si>
    <t xml:space="preserve">Auke </t>
  </si>
  <si>
    <t xml:space="preserve"> Taku   </t>
  </si>
  <si>
    <t xml:space="preserve">Ford Arm </t>
  </si>
  <si>
    <t xml:space="preserve"> River</t>
  </si>
  <si>
    <t xml:space="preserve"> River  </t>
  </si>
  <si>
    <t xml:space="preserve">Lake </t>
  </si>
  <si>
    <t xml:space="preserve">Smolts </t>
  </si>
  <si>
    <t>Pre-smolts</t>
  </si>
  <si>
    <r>
      <t xml:space="preserve">a </t>
    </r>
    <r>
      <rPr>
        <sz val="11"/>
        <rFont val="Times New Roman"/>
        <family val="1"/>
      </rPr>
      <t xml:space="preserve"> 2017 estimates for the Berners River and Hugh Smith Lake are preliminary predictions based on mark–recovery samples from downstream smolt traps and jack returns, respectively.</t>
    </r>
  </si>
  <si>
    <t>Percent of Total Return</t>
  </si>
  <si>
    <t>Troll Exploitation Rate</t>
  </si>
  <si>
    <t>All-Fishery Exploitation Rate</t>
  </si>
  <si>
    <t>Figure 20.–Estimated exploitation rates by the Alaska troll fishery for three coded-wire-tagged Southeast Alaska coho salmon stocks and an index of the Alaska troll exploitation rate based on a weighted average of all three.</t>
  </si>
  <si>
    <t>Smolt</t>
  </si>
  <si>
    <t>9 pt LOESS</t>
  </si>
  <si>
    <t>Figure  .  Auke Creek coho salmon smolt production by sea-entry year, with 9 pt LOESS trend, showing timing of constuction of a handy-capped accessible trail around the perimeter of Auke Lake.</t>
  </si>
  <si>
    <t>July-November</t>
  </si>
  <si>
    <t>Precipitation</t>
  </si>
  <si>
    <t>(cm)</t>
  </si>
  <si>
    <t>Year Prior</t>
  </si>
  <si>
    <t>Prelim. Projection</t>
  </si>
  <si>
    <t>(95% Confidence Bound)</t>
  </si>
  <si>
    <t>Berners River Smolts (thousands)</t>
  </si>
  <si>
    <t>Estimate</t>
  </si>
  <si>
    <t>Figure 8.-Berners River coho salmon smolt estimates (with 95% confidence bounds) and total July-November precipitation at the Juneau Airport in the prior year, 1989-2016. The 2016 estimate is a preliminary projection based on a downstream recapture sample.</t>
  </si>
  <si>
    <t>Length</t>
  </si>
  <si>
    <t>NOAA</t>
  </si>
  <si>
    <t>Trawl</t>
  </si>
  <si>
    <t>Auke Cr.</t>
  </si>
  <si>
    <t>Jacks</t>
  </si>
  <si>
    <t>Avg. Length</t>
  </si>
  <si>
    <t>Auke Creek (percent return)</t>
  </si>
  <si>
    <t>Adults</t>
  </si>
  <si>
    <t>Weir not jack-tight</t>
  </si>
  <si>
    <t>Auke-Berners</t>
  </si>
  <si>
    <t>95% pred interval</t>
  </si>
  <si>
    <t>Figure  . Smolt-adult survival for Auke Creek coho salmon and average fork length on July 24 of juvenile coho salmon caught in NOAA trawl surveys in northern Southeast Alaska, by sea-entry year (average length data provided by Emily Fergusson, National Marine Fisheries Service, Juneau). The marine Survival for the 2016 sea-entry year is a preliminary estimate (with 95% predication interval) based on the return rate of smolts as jacks, and average length of jacks.</t>
  </si>
  <si>
    <t>Jack/Adult</t>
  </si>
  <si>
    <t>Ln (jack</t>
  </si>
  <si>
    <t>length)</t>
  </si>
  <si>
    <t>Ln (Percent</t>
  </si>
  <si>
    <t>Jacks)</t>
  </si>
  <si>
    <t>1979 smolts not included because weir was not yet jack-tight</t>
  </si>
  <si>
    <t>from Sara's</t>
  </si>
  <si>
    <t>Intercept</t>
  </si>
  <si>
    <t>Slope</t>
  </si>
  <si>
    <t>Figure  .–Relationship between the rate of return of Auke Creek coho salmon as jacks versus as adults (left graph) and the linear log-log relationship between the relationship between average age-0 jack length and the jack proportion of combined jack and adult return by sea-entry year (right graph), 1980–2015 smolt years. Percent of smolts returning as jacks and average jack length are shown for 2016 with the point forecast for the proportion of smolts returning as jacks. Forecast survival of 2016 smolts to adult return is 5.1% (95% prediction interval 1.6–11.8%).</t>
  </si>
  <si>
    <t>Figure 9.–Estimated marine (smolt-to-adult) survival rate for wild coho salmon from three systems in inside areas of Southeast Alaska (upper graph) and presmolts from one system on the outer coast of Southeast Alaska (lower graph), 1980-2016, with a 2017 forecast for Auke Creek (with 95% prediction interval). Survival estimates for Ford Arm Lake presmolts include approximately 10 months of mortality from July to May.</t>
  </si>
  <si>
    <t>only</t>
  </si>
  <si>
    <t>Presmolts</t>
  </si>
  <si>
    <t>Pink</t>
  </si>
  <si>
    <t>Thousands</t>
  </si>
  <si>
    <t>Figure  . Estimated population of rearing coho salmon presmolts in the Ford Arm Creek system and the peak survey count of spawing pink salmon in the creek in the same summer.</t>
  </si>
  <si>
    <t>The</t>
  </si>
  <si>
    <t>Smolt Yr</t>
  </si>
  <si>
    <t>SUMMARY OUTPUT</t>
  </si>
  <si>
    <t>Regression Statistics</t>
  </si>
  <si>
    <t>Multiple R</t>
  </si>
  <si>
    <t>R Square</t>
  </si>
  <si>
    <t>Adjusted R Square</t>
  </si>
  <si>
    <t>Standard Error</t>
  </si>
  <si>
    <t>Observations</t>
  </si>
  <si>
    <t>ANOVA</t>
  </si>
  <si>
    <t>Regression</t>
  </si>
  <si>
    <t>Residual</t>
  </si>
  <si>
    <t>df</t>
  </si>
  <si>
    <t>SS</t>
  </si>
  <si>
    <t>MS</t>
  </si>
  <si>
    <t>F</t>
  </si>
  <si>
    <t>Significance F</t>
  </si>
  <si>
    <t>Coefficients</t>
  </si>
  <si>
    <t>t Stat</t>
  </si>
  <si>
    <t>P-value</t>
  </si>
  <si>
    <t>Lower 95%</t>
  </si>
  <si>
    <t>Upper 95%</t>
  </si>
  <si>
    <t>Lower 95.0%</t>
  </si>
  <si>
    <t>Upper 95.0%</t>
  </si>
  <si>
    <t>X Variable 1</t>
  </si>
  <si>
    <t>e</t>
  </si>
  <si>
    <t>Table 20.–Estimated harvest (by gear type) and escapement as a percent of the total Hugh Smith Lake coho salmon run, 1982–2017.</t>
  </si>
  <si>
    <t>Table 12.–Estimated harvest by gear type, escapement, and total run of coho salmon returning to Hugh Smith Lake, 1982–2017.</t>
  </si>
  <si>
    <t>Alaska coho indicator stocks, 1982-2017.</t>
  </si>
  <si>
    <t>1992-2017</t>
  </si>
  <si>
    <t>2000-2017 Avg.</t>
  </si>
  <si>
    <t>Standardized Run Sizes</t>
  </si>
  <si>
    <t>Run Sizes</t>
  </si>
  <si>
    <t>Table 1.-Estimated coho salmon escapements for systems with formal escapement goals in Southeast Alaska, 2012-2017.</t>
  </si>
  <si>
    <t>Escapement Data</t>
  </si>
  <si>
    <t>3,600–8,100</t>
  </si>
  <si>
    <t>Figure 4.-Coho salmon escapement estimates and indices for streams in the Northern Inside area (districts 111 and 115) with escapement goal bounds and 7 pt LOESS trends, 1980-2017.</t>
  </si>
  <si>
    <t>Table 13.–Estimated catch and escapement of coho salmon bound for the Taku River above Canyon Island, 1987–2017.</t>
  </si>
  <si>
    <t>Troll Expl</t>
  </si>
  <si>
    <t>Rate</t>
  </si>
  <si>
    <t>Percent of</t>
  </si>
  <si>
    <t>Gillnet in</t>
  </si>
  <si>
    <t>District 111</t>
  </si>
  <si>
    <t>Taku Inlet</t>
  </si>
  <si>
    <t>Wild CPUE</t>
  </si>
  <si>
    <t>Terminal</t>
  </si>
  <si>
    <t>Wild Abundance</t>
  </si>
  <si>
    <t>Hugh Smith x 7.5</t>
  </si>
  <si>
    <t>Esc Exp</t>
  </si>
  <si>
    <t xml:space="preserve">Table 8.-Estimated survival rate (percent) of coho salmon smolts and presmolts from six wild Southeast Alaska indicator stocks from the time of tagging until age 1-ocean return to the fisheries, 1980-2017. </t>
  </si>
  <si>
    <t>Millions</t>
  </si>
  <si>
    <t>Wild</t>
  </si>
  <si>
    <t>Abundance</t>
  </si>
  <si>
    <t>Div x 7.5</t>
  </si>
  <si>
    <t>Figure 21.-Estimated total exploitation rates by all fisheries for 4 coded-wire-tagged Southeast Alaska coho salmon stocks, 1980-2017.</t>
  </si>
  <si>
    <t>Estimates are unavailable for the Berners River in 1982-1988 and for Ford Arm Creek in 1984 and 2016-2017. Berners River estimates are based on expanded escapement survey counts.</t>
  </si>
  <si>
    <t>Chilkat River coho salmon escapement estimates, 1987-2017.</t>
  </si>
  <si>
    <t>Peak Surveys</t>
  </si>
  <si>
    <t>Spring Creek</t>
  </si>
  <si>
    <t>Kelsall River</t>
  </si>
  <si>
    <t>Tahini River</t>
  </si>
  <si>
    <t>Clear Creek</t>
  </si>
  <si>
    <r>
      <t>Combined (C</t>
    </r>
    <r>
      <rPr>
        <vertAlign val="subscript"/>
        <sz val="11"/>
        <rFont val="Times New Roman"/>
        <family val="1"/>
      </rPr>
      <t>t</t>
    </r>
    <r>
      <rPr>
        <sz val="11"/>
        <rFont val="Times New Roman"/>
        <family val="1"/>
      </rPr>
      <t>)</t>
    </r>
  </si>
  <si>
    <r>
      <t>From:</t>
    </r>
    <r>
      <rPr>
        <sz val="10"/>
        <rFont val="Tahoma"/>
        <family val="2"/>
      </rPr>
      <t xml:space="preserve"> Chapell, Richard S (DFG)</t>
    </r>
  </si>
  <si>
    <r>
      <t>Sent:</t>
    </r>
    <r>
      <rPr>
        <sz val="10"/>
        <rFont val="Tahoma"/>
        <family val="2"/>
      </rPr>
      <t xml:space="preserve"> Monday, July 02, 2018 3:35 PM</t>
    </r>
  </si>
  <si>
    <r>
      <t>To:</t>
    </r>
    <r>
      <rPr>
        <sz val="10"/>
        <rFont val="Tahoma"/>
        <family val="2"/>
      </rPr>
      <t xml:space="preserve"> Shaul, Leon D (DFG)</t>
    </r>
  </si>
  <si>
    <r>
      <t>Subject:</t>
    </r>
    <r>
      <rPr>
        <sz val="10"/>
        <rFont val="Tahoma"/>
        <family val="2"/>
      </rPr>
      <t xml:space="preserve"> RE: Chilkat Coho Unexpanded Index Counts</t>
    </r>
  </si>
  <si>
    <t>The unexpanded counts are below.</t>
  </si>
  <si>
    <t>In 2017 a footbridge over the Kelsall River washed out, so I wasn’t able to survey the entire Kelsall index reach.</t>
  </si>
  <si>
    <t>The Kelsall counts have fallen flat since 2010, probably due to habitat change rather than drainage-wide population change. In 2014 I started bracketed peak index counts in Assignation Creek. I’ll have to figure out how to integrate that stream in the drainage-wide count expansion.   </t>
  </si>
  <si>
    <r>
      <rPr>
        <vertAlign val="superscript"/>
        <sz val="10"/>
        <rFont val="Times New Roman"/>
        <family val="1"/>
      </rPr>
      <t>a</t>
    </r>
    <r>
      <rPr>
        <sz val="10"/>
        <rFont val="Times New Roman"/>
        <family val="1"/>
      </rPr>
      <t xml:space="preserve"> The freshwater sport harvest is based on a mail-out survey; the 2016 catch was interpolated based on the relationship between escapement and freshwater sport harvest in 2000-2016.</t>
    </r>
  </si>
  <si>
    <t>Berners Unexp</t>
  </si>
  <si>
    <t>t-Test: Two-Sample Assuming Unequal Variances</t>
  </si>
  <si>
    <t>Variable 1</t>
  </si>
  <si>
    <t>Variable 2</t>
  </si>
  <si>
    <t>Mean</t>
  </si>
  <si>
    <t>Variance</t>
  </si>
  <si>
    <t>Hypothesized Mean Difference</t>
  </si>
  <si>
    <t>P(T&lt;=t) one-tail</t>
  </si>
  <si>
    <t>t Critical one-tail</t>
  </si>
  <si>
    <t>P(T&lt;=t) two-tail</t>
  </si>
  <si>
    <t>t Critical two-tail</t>
  </si>
  <si>
    <t>Troll/Drift Ratio</t>
  </si>
  <si>
    <t>Region-wide Catch</t>
  </si>
  <si>
    <t>Figure 6.-Sum of peak coho salmon escapement survey counts for 14 streams in the Ketchikan area (top graph) and coho salmon escapement counts and estimates for Hugh Smith Lake (bottom graph) with 7 point LOESS trends, 1982–2017.</t>
  </si>
  <si>
    <t>2018 prelim</t>
  </si>
  <si>
    <t>DRIFT</t>
  </si>
  <si>
    <t>PURSE</t>
  </si>
  <si>
    <t>TROLL</t>
  </si>
  <si>
    <t>(blank)</t>
  </si>
  <si>
    <t>Canada</t>
  </si>
  <si>
    <t>10 Yr</t>
  </si>
  <si>
    <t>5 Yr Even</t>
  </si>
  <si>
    <t>5 Yr Odd</t>
  </si>
  <si>
    <t>GN</t>
  </si>
  <si>
    <t>GN/Troll Ratio</t>
  </si>
  <si>
    <t>AVG</t>
  </si>
  <si>
    <t>GN exploitation rate</t>
  </si>
  <si>
    <t>GN/Troll</t>
  </si>
  <si>
    <t>North Avg</t>
  </si>
  <si>
    <t>(south)</t>
  </si>
  <si>
    <t>North-South</t>
  </si>
  <si>
    <t>5.2% sur</t>
  </si>
  <si>
    <t>Chilkatx0.15</t>
  </si>
  <si>
    <t>gillnet</t>
  </si>
  <si>
    <t>average</t>
  </si>
  <si>
    <t>Toboggan</t>
  </si>
  <si>
    <t>Babine</t>
  </si>
  <si>
    <t>Babine x 0.2</t>
  </si>
  <si>
    <t>Pre-gn length</t>
  </si>
  <si>
    <t>nonlinear</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</si>
</sst>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6" formatCode="&quot;$&quot;#,##0_);[Red]\(&quot;$&quot;#,##0\)"/>
    <numFmt numFmtId="44" formatCode="_(&quot;$&quot;* #,##0.00_);_(&quot;$&quot;* \(#,##0.00\);_(&quot;$&quot;* &quot;-&quot;??_);_(@_)"/>
    <numFmt numFmtId="43" formatCode="_(* #,##0.00_);_(* \(#,##0.00\);_(* &quot;-&quot;??_);_(@_)"/>
    <numFmt numFmtId="164" formatCode="General_)"/>
    <numFmt numFmtId="165" formatCode="0.0"/>
    <numFmt numFmtId="166" formatCode="0.0%"/>
    <numFmt numFmtId="167" formatCode="#,##0.0"/>
    <numFmt numFmtId="168" formatCode="#,##0.000"/>
    <numFmt numFmtId="169" formatCode="_(* #,##0_);_(* \(#,##0\);_(* &quot;-&quot;??_);_(@_)"/>
    <numFmt numFmtId="170" formatCode="&quot;$&quot;#,##0\ ;\(&quot;$&quot;#,##0\)"/>
    <numFmt numFmtId="171" formatCode="m\o\n\th\ d\,\ yyyy"/>
    <numFmt numFmtId="172" formatCode="#.00"/>
    <numFmt numFmtId="173" formatCode="#."/>
    <numFmt numFmtId="174" formatCode="_([$€-2]* #,##0.00_);_([$€-2]* \(#,##0.00\);_([$€-2]* &quot;-&quot;??_)"/>
    <numFmt numFmtId="175" formatCode="#,##0."/>
    <numFmt numFmtId="176" formatCode="&quot;$&quot;#."/>
    <numFmt numFmtId="177" formatCode="0_)"/>
    <numFmt numFmtId="178" formatCode="0_);\(0\)"/>
    <numFmt numFmtId="179" formatCode="&quot;$&quot;#,##0;\-&quot;$&quot;#,##0"/>
    <numFmt numFmtId="180" formatCode="0.000"/>
    <numFmt numFmtId="181" formatCode="0.0000"/>
    <numFmt numFmtId="182" formatCode="#,##0.000_);\(#,##0.000\)"/>
  </numFmts>
  <fonts count="122"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name val="Times New Roman"/>
      <family val="1"/>
    </font>
    <font>
      <sz val="8"/>
      <name val="Arial"/>
      <family val="2"/>
    </font>
    <font>
      <sz val="10"/>
      <name val="Arial"/>
      <family val="2"/>
    </font>
    <font>
      <b/>
      <sz val="10"/>
      <name val="Arial"/>
      <family val="2"/>
    </font>
    <font>
      <sz val="11"/>
      <name val="Times New Roman"/>
      <family val="1"/>
    </font>
    <font>
      <u/>
      <sz val="10"/>
      <color indexed="12"/>
      <name val="Arial"/>
      <family val="2"/>
    </font>
    <font>
      <sz val="10"/>
      <name val="Times New Roman"/>
      <family val="1"/>
    </font>
    <font>
      <sz val="10"/>
      <name val="Courier"/>
      <family val="3"/>
    </font>
    <font>
      <u/>
      <sz val="10"/>
      <name val="Times New Roman"/>
      <family val="1"/>
    </font>
    <font>
      <sz val="10"/>
      <color indexed="48"/>
      <name val="Times New Roman"/>
      <family val="1"/>
    </font>
    <font>
      <sz val="12"/>
      <color indexed="24"/>
      <name val="Arial"/>
      <family val="2"/>
    </font>
    <font>
      <sz val="1"/>
      <color indexed="8"/>
      <name val="Courier"/>
      <family val="3"/>
    </font>
    <font>
      <sz val="18"/>
      <color indexed="24"/>
      <name val="Arial"/>
      <family val="2"/>
    </font>
    <font>
      <sz val="8"/>
      <color indexed="24"/>
      <name val="Arial"/>
      <family val="2"/>
    </font>
    <font>
      <b/>
      <sz val="1"/>
      <color indexed="8"/>
      <name val="Courier"/>
      <family val="3"/>
    </font>
    <font>
      <sz val="10"/>
      <name val="Times New Roman"/>
      <family val="1"/>
    </font>
    <font>
      <b/>
      <sz val="10"/>
      <name val="Times New Roman"/>
      <family val="1"/>
    </font>
    <font>
      <sz val="12"/>
      <name val="Courier"/>
      <family val="3"/>
    </font>
    <font>
      <b/>
      <sz val="11"/>
      <color indexed="8"/>
      <name val="Calibri"/>
      <family val="2"/>
    </font>
    <font>
      <sz val="11"/>
      <color indexed="8"/>
      <name val="Calibri"/>
      <family val="2"/>
    </font>
    <font>
      <sz val="11"/>
      <color indexed="9"/>
      <name val="Calibri"/>
      <family val="2"/>
    </font>
    <font>
      <sz val="11"/>
      <color indexed="20"/>
      <name val="Calibri"/>
      <family val="2"/>
    </font>
    <font>
      <b/>
      <sz val="11"/>
      <color indexed="9"/>
      <name val="Calibri"/>
      <family val="2"/>
    </font>
    <font>
      <i/>
      <sz val="11"/>
      <color indexed="23"/>
      <name val="Calibri"/>
      <family val="2"/>
    </font>
    <font>
      <sz val="11"/>
      <color indexed="17"/>
      <name val="Calibri"/>
      <family val="2"/>
    </font>
    <font>
      <b/>
      <sz val="11"/>
      <color indexed="62"/>
      <name val="Calibri"/>
      <family val="2"/>
    </font>
    <font>
      <sz val="11"/>
      <color indexed="62"/>
      <name val="Calibri"/>
      <family val="2"/>
    </font>
    <font>
      <sz val="11"/>
      <color indexed="10"/>
      <name val="Calibri"/>
      <family val="2"/>
    </font>
    <font>
      <b/>
      <sz val="11"/>
      <color indexed="63"/>
      <name val="Calibri"/>
      <family val="2"/>
    </font>
    <font>
      <b/>
      <sz val="18"/>
      <color indexed="62"/>
      <name val="Cambria"/>
      <family val="2"/>
    </font>
    <font>
      <b/>
      <sz val="11"/>
      <color indexed="52"/>
      <name val="Calibri"/>
      <family val="2"/>
    </font>
    <font>
      <sz val="11"/>
      <color indexed="52"/>
      <name val="Calibri"/>
      <family val="2"/>
    </font>
    <font>
      <sz val="11"/>
      <color indexed="60"/>
      <name val="Calibri"/>
      <family val="2"/>
    </font>
    <font>
      <sz val="10"/>
      <name val="Arial"/>
      <family val="2"/>
    </font>
    <font>
      <u/>
      <sz val="12"/>
      <color indexed="12"/>
      <name val="Courier"/>
      <family val="3"/>
    </font>
    <font>
      <sz val="11"/>
      <color indexed="8"/>
      <name val="Calibri"/>
      <family val="2"/>
    </font>
    <font>
      <sz val="12"/>
      <name val="Times New Roman"/>
      <family val="1"/>
    </font>
    <font>
      <sz val="11"/>
      <name val="Arial"/>
      <family val="2"/>
    </font>
    <font>
      <b/>
      <sz val="11"/>
      <name val="Times New Roman"/>
      <family val="1"/>
    </font>
    <font>
      <vertAlign val="superscript"/>
      <sz val="10"/>
      <name val="Times New Roman"/>
      <family val="1"/>
    </font>
    <font>
      <sz val="11"/>
      <color theme="1"/>
      <name val="Calibri"/>
      <family val="2"/>
      <scheme val="minor"/>
    </font>
    <font>
      <sz val="12"/>
      <color theme="1"/>
      <name val="Calibri"/>
      <family val="2"/>
      <scheme val="minor"/>
    </font>
    <font>
      <sz val="11"/>
      <color theme="0"/>
      <name val="Calibri"/>
      <family val="2"/>
      <scheme val="minor"/>
    </font>
    <font>
      <sz val="11"/>
      <color rgb="FF9C0006"/>
      <name val="Calibri"/>
      <family val="2"/>
      <scheme val="minor"/>
    </font>
    <font>
      <b/>
      <sz val="11"/>
      <color indexed="10"/>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5"/>
      <color theme="3"/>
      <name val="Calibri"/>
      <family val="2"/>
      <scheme val="minor"/>
    </font>
    <font>
      <b/>
      <sz val="13"/>
      <color theme="3"/>
      <name val="Calibri"/>
      <family val="2"/>
      <scheme val="minor"/>
    </font>
    <font>
      <b/>
      <sz val="11"/>
      <color indexed="62"/>
      <name val="Calibri"/>
      <family val="2"/>
      <scheme val="minor"/>
    </font>
    <font>
      <b/>
      <sz val="11"/>
      <color theme="3"/>
      <name val="Calibri"/>
      <family val="2"/>
      <scheme val="minor"/>
    </font>
    <font>
      <u/>
      <sz val="10"/>
      <color theme="10"/>
      <name val="Arial"/>
      <family val="2"/>
    </font>
    <font>
      <u/>
      <sz val="11"/>
      <color theme="10"/>
      <name val="Calibri"/>
      <family val="2"/>
    </font>
    <font>
      <sz val="11"/>
      <color rgb="FF3F3F76"/>
      <name val="Calibri"/>
      <family val="2"/>
      <scheme val="minor"/>
    </font>
    <font>
      <sz val="11"/>
      <color indexed="10"/>
      <name val="Calibri"/>
      <family val="2"/>
      <scheme val="minor"/>
    </font>
    <font>
      <sz val="11"/>
      <color rgb="FFFA7D00"/>
      <name val="Calibri"/>
      <family val="2"/>
      <scheme val="minor"/>
    </font>
    <font>
      <sz val="11"/>
      <color indexed="19"/>
      <name val="Calibri"/>
      <family val="2"/>
      <scheme val="minor"/>
    </font>
    <font>
      <sz val="11"/>
      <color rgb="FF9C6500"/>
      <name val="Calibri"/>
      <family val="2"/>
      <scheme val="minor"/>
    </font>
    <font>
      <sz val="11"/>
      <color theme="1"/>
      <name val="Times New Roman"/>
      <family val="2"/>
    </font>
    <font>
      <b/>
      <sz val="11"/>
      <color rgb="FF3F3F3F"/>
      <name val="Calibri"/>
      <family val="2"/>
      <scheme val="minor"/>
    </font>
    <font>
      <b/>
      <sz val="18"/>
      <color indexed="62"/>
      <name val="Cambria"/>
      <family val="2"/>
      <scheme val="major"/>
    </font>
    <font>
      <b/>
      <sz val="18"/>
      <color theme="3"/>
      <name val="Cambria"/>
      <family val="2"/>
      <scheme val="major"/>
    </font>
    <font>
      <b/>
      <sz val="11"/>
      <color theme="1"/>
      <name val="Calibri"/>
      <family val="2"/>
      <scheme val="minor"/>
    </font>
    <font>
      <sz val="11"/>
      <color rgb="FFFF0000"/>
      <name val="Calibri"/>
      <family val="2"/>
      <scheme val="minor"/>
    </font>
    <font>
      <sz val="10"/>
      <name val="Arial"/>
      <family val="2"/>
    </font>
    <font>
      <u/>
      <sz val="11"/>
      <color theme="10"/>
      <name val="Calibri"/>
      <family val="2"/>
      <scheme val="minor"/>
    </font>
    <font>
      <u/>
      <sz val="11"/>
      <name val="Times New Roman"/>
      <family val="1"/>
    </font>
    <font>
      <sz val="9"/>
      <name val="Times New Roman"/>
      <family val="1"/>
    </font>
    <font>
      <b/>
      <i/>
      <sz val="9"/>
      <name val="Times New Roman"/>
      <family val="1"/>
    </font>
    <font>
      <sz val="9"/>
      <color rgb="FF000000"/>
      <name val="Times New Roman"/>
      <family val="1"/>
    </font>
    <font>
      <u/>
      <sz val="9"/>
      <color rgb="FF000000"/>
      <name val="Times New Roman"/>
      <family val="1"/>
    </font>
    <font>
      <vertAlign val="superscript"/>
      <sz val="9"/>
      <color rgb="FF000000"/>
      <name val="Times New Roman"/>
      <family val="1"/>
    </font>
    <font>
      <b/>
      <i/>
      <sz val="10"/>
      <name val="Times New Roman"/>
      <family val="1"/>
    </font>
    <font>
      <sz val="10"/>
      <color rgb="FF000000"/>
      <name val="Times New Roman"/>
      <family val="1"/>
    </font>
    <font>
      <sz val="10"/>
      <color rgb="FFFF0000"/>
      <name val="Arial"/>
      <family val="2"/>
    </font>
    <font>
      <vertAlign val="superscript"/>
      <sz val="11"/>
      <name val="Times New Roman"/>
      <family val="1"/>
    </font>
    <font>
      <vertAlign val="superscript"/>
      <sz val="10"/>
      <name val="Arial"/>
      <family val="2"/>
    </font>
    <font>
      <b/>
      <u/>
      <sz val="10"/>
      <name val="Times New Roman"/>
      <family val="1"/>
    </font>
    <font>
      <sz val="11"/>
      <color theme="1"/>
      <name val="Times New Roman"/>
      <family val="1"/>
    </font>
    <font>
      <sz val="11"/>
      <name val="Calibri"/>
      <family val="2"/>
    </font>
    <font>
      <b/>
      <i/>
      <sz val="10"/>
      <name val="Arial"/>
      <family val="2"/>
    </font>
    <font>
      <sz val="10"/>
      <name val="MS Sans Serif"/>
      <family val="2"/>
    </font>
    <font>
      <b/>
      <sz val="18"/>
      <name val="Arial"/>
      <family val="2"/>
    </font>
    <font>
      <b/>
      <sz val="12"/>
      <name val="Arial"/>
      <family val="2"/>
    </font>
    <font>
      <b/>
      <i/>
      <sz val="10"/>
      <color rgb="FFFF0000"/>
      <name val="Arial"/>
      <family val="2"/>
    </font>
    <font>
      <b/>
      <sz val="10"/>
      <color rgb="FF7030A0"/>
      <name val="Arial"/>
      <family val="2"/>
    </font>
    <font>
      <b/>
      <i/>
      <sz val="11"/>
      <color rgb="FFFF0000"/>
      <name val="Times New Roman"/>
      <family val="1"/>
    </font>
    <font>
      <sz val="11"/>
      <color rgb="FFFF0000"/>
      <name val="Times New Roman"/>
      <family val="1"/>
    </font>
    <font>
      <sz val="11"/>
      <color rgb="FF0070C0"/>
      <name val="Times New Roman"/>
      <family val="1"/>
    </font>
    <font>
      <sz val="11"/>
      <color rgb="FFFF0000"/>
      <name val="Cambria"/>
      <family val="1"/>
      <scheme val="major"/>
    </font>
    <font>
      <b/>
      <sz val="9"/>
      <name val="Times New Roman"/>
      <family val="1"/>
    </font>
    <font>
      <sz val="9"/>
      <color rgb="FFFF0000"/>
      <name val="Times New Roman"/>
      <family val="1"/>
    </font>
    <font>
      <sz val="10"/>
      <name val="Arial"/>
      <family val="2"/>
    </font>
    <font>
      <sz val="11"/>
      <color rgb="FF00B0F0"/>
      <name val="Times New Roman"/>
      <family val="1"/>
    </font>
    <font>
      <sz val="11"/>
      <color rgb="FF92D050"/>
      <name val="Times New Roman"/>
      <family val="1"/>
    </font>
    <font>
      <i/>
      <sz val="10"/>
      <name val="Arial"/>
      <family val="2"/>
    </font>
    <font>
      <b/>
      <sz val="10"/>
      <color rgb="FF0070C0"/>
      <name val="Times New Roman"/>
      <family val="1"/>
    </font>
    <font>
      <b/>
      <sz val="10"/>
      <color rgb="FFFF0000"/>
      <name val="Arial"/>
      <family val="2"/>
    </font>
    <font>
      <b/>
      <i/>
      <sz val="11"/>
      <color rgb="FFFF0000"/>
      <name val="Calibri"/>
      <family val="2"/>
      <scheme val="minor"/>
    </font>
    <font>
      <b/>
      <sz val="11"/>
      <color rgb="FF000000"/>
      <name val="Times New Roman"/>
      <family val="1"/>
    </font>
    <font>
      <vertAlign val="subscript"/>
      <sz val="11"/>
      <name val="Times New Roman"/>
      <family val="1"/>
    </font>
    <font>
      <b/>
      <sz val="10"/>
      <name val="Tahoma"/>
      <family val="2"/>
    </font>
    <font>
      <sz val="10"/>
      <name val="Tahoma"/>
      <family val="2"/>
    </font>
    <font>
      <sz val="10"/>
      <color rgb="FFFF0000"/>
      <name val="Times New Roman"/>
      <family val="1"/>
    </font>
    <font>
      <i/>
      <sz val="10"/>
      <color rgb="FFFF0000"/>
      <name val="Times New Roman"/>
      <family val="1"/>
    </font>
    <font>
      <sz val="12"/>
      <color rgb="FFFF0000"/>
      <name val="Arial"/>
      <family val="2"/>
    </font>
    <font>
      <b/>
      <sz val="11"/>
      <name val="Calibri"/>
      <family val="2"/>
      <scheme val="minor"/>
    </font>
  </fonts>
  <fills count="58">
    <fill>
      <patternFill patternType="none"/>
    </fill>
    <fill>
      <patternFill patternType="gray125"/>
    </fill>
    <fill>
      <patternFill patternType="solid">
        <fgColor indexed="44"/>
      </patternFill>
    </fill>
    <fill>
      <patternFill patternType="solid">
        <fgColor indexed="55"/>
      </patternFill>
    </fill>
    <fill>
      <patternFill patternType="solid">
        <fgColor indexed="2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5"/>
      </patternFill>
    </fill>
    <fill>
      <patternFill patternType="solid">
        <fgColor indexed="49"/>
      </patternFill>
    </fill>
    <fill>
      <patternFill patternType="solid">
        <fgColor indexed="53"/>
      </patternFill>
    </fill>
    <fill>
      <patternFill patternType="solid">
        <fgColor indexed="51"/>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6"/>
      </patternFill>
    </fill>
    <fill>
      <patternFill patternType="solid">
        <fgColor indexed="9"/>
      </patternFill>
    </fill>
    <fill>
      <patternFill patternType="solid">
        <fgColor indexed="42"/>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
      <patternFill patternType="solid">
        <fgColor indexed="9"/>
        <bgColor indexed="64"/>
      </patternFill>
    </fill>
    <fill>
      <patternFill patternType="solid">
        <fgColor theme="0" tint="-4.9989318521683403E-2"/>
        <bgColor indexed="64"/>
      </patternFill>
    </fill>
    <fill>
      <patternFill patternType="solid">
        <fgColor rgb="FFFFFF00"/>
        <bgColor indexed="64"/>
      </patternFill>
    </fill>
    <fill>
      <patternFill patternType="solid">
        <fgColor indexed="43"/>
        <bgColor indexed="64"/>
      </patternFill>
    </fill>
    <fill>
      <patternFill patternType="solid">
        <fgColor rgb="FFCCFFFF"/>
        <bgColor indexed="64"/>
      </patternFill>
    </fill>
  </fills>
  <borders count="3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medium">
        <color indexed="49"/>
      </bottom>
      <diagonal/>
    </border>
    <border>
      <left/>
      <right/>
      <top/>
      <bottom style="double">
        <color indexed="1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right/>
      <top style="double">
        <color indexed="64"/>
      </top>
      <bottom/>
      <diagonal/>
    </border>
    <border>
      <left/>
      <right/>
      <top style="thin">
        <color indexed="56"/>
      </top>
      <bottom style="double">
        <color indexed="56"/>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right/>
      <top style="double">
        <color indexed="8"/>
      </top>
      <bottom/>
      <diagonal/>
    </border>
    <border>
      <left/>
      <right/>
      <top style="medium">
        <color indexed="64"/>
      </top>
      <bottom style="thin">
        <color indexed="64"/>
      </bottom>
      <diagonal/>
    </border>
  </borders>
  <cellStyleXfs count="50542">
    <xf numFmtId="164" fontId="0" fillId="0" borderId="0" applyBorder="0"/>
    <xf numFmtId="0" fontId="51" fillId="2" borderId="0" applyNumberFormat="0" applyBorder="0" applyAlignment="0" applyProtection="0"/>
    <xf numFmtId="0" fontId="51" fillId="21" borderId="0" applyNumberFormat="0" applyBorder="0" applyAlignment="0" applyProtection="0"/>
    <xf numFmtId="0" fontId="51" fillId="2"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51" fillId="21" borderId="0" applyNumberFormat="0" applyBorder="0" applyAlignment="0" applyProtection="0"/>
    <xf numFmtId="0" fontId="30" fillId="3"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51" fillId="4" borderId="0" applyNumberFormat="0" applyBorder="0" applyAlignment="0" applyProtection="0"/>
    <xf numFmtId="0" fontId="51" fillId="22" borderId="0" applyNumberFormat="0" applyBorder="0" applyAlignment="0" applyProtection="0"/>
    <xf numFmtId="0" fontId="51" fillId="4"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51" fillId="22" borderId="0" applyNumberFormat="0" applyBorder="0" applyAlignment="0" applyProtection="0"/>
    <xf numFmtId="0" fontId="30" fillId="5"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6" borderId="0" applyNumberFormat="0" applyBorder="0" applyAlignment="0" applyProtection="0"/>
    <xf numFmtId="0" fontId="51" fillId="23" borderId="0" applyNumberFormat="0" applyBorder="0" applyAlignment="0" applyProtection="0"/>
    <xf numFmtId="0" fontId="51" fillId="6" borderId="0" applyNumberFormat="0" applyBorder="0" applyAlignment="0" applyProtection="0"/>
    <xf numFmtId="0" fontId="30" fillId="6" borderId="0" applyNumberFormat="0" applyBorder="0" applyAlignment="0" applyProtection="0"/>
    <xf numFmtId="0" fontId="30" fillId="6" borderId="0" applyNumberFormat="0" applyBorder="0" applyAlignment="0" applyProtection="0"/>
    <xf numFmtId="0" fontId="51" fillId="23" borderId="0" applyNumberFormat="0" applyBorder="0" applyAlignment="0" applyProtection="0"/>
    <xf numFmtId="0" fontId="30"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5" borderId="0" applyNumberFormat="0" applyBorder="0" applyAlignment="0" applyProtection="0"/>
    <xf numFmtId="0" fontId="51" fillId="24" borderId="0" applyNumberFormat="0" applyBorder="0" applyAlignment="0" applyProtection="0"/>
    <xf numFmtId="0" fontId="51" fillId="5" borderId="0" applyNumberFormat="0" applyBorder="0" applyAlignment="0" applyProtection="0"/>
    <xf numFmtId="0" fontId="30" fillId="3" borderId="0" applyNumberFormat="0" applyBorder="0" applyAlignment="0" applyProtection="0"/>
    <xf numFmtId="0" fontId="30" fillId="3" borderId="0" applyNumberFormat="0" applyBorder="0" applyAlignment="0" applyProtection="0"/>
    <xf numFmtId="0" fontId="51" fillId="24" borderId="0" applyNumberFormat="0" applyBorder="0" applyAlignment="0" applyProtection="0"/>
    <xf numFmtId="0" fontId="30" fillId="3"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51" fillId="25" borderId="0" applyNumberFormat="0" applyBorder="0" applyAlignment="0" applyProtection="0"/>
    <xf numFmtId="0" fontId="30" fillId="7" borderId="0" applyNumberFormat="0" applyBorder="0" applyAlignment="0" applyProtection="0"/>
    <xf numFmtId="0" fontId="30" fillId="7" borderId="0" applyNumberFormat="0" applyBorder="0" applyAlignment="0" applyProtection="0"/>
    <xf numFmtId="0" fontId="51" fillId="25" borderId="0" applyNumberFormat="0" applyBorder="0" applyAlignment="0" applyProtection="0"/>
    <xf numFmtId="0" fontId="30" fillId="7"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6" borderId="0" applyNumberFormat="0" applyBorder="0" applyAlignment="0" applyProtection="0"/>
    <xf numFmtId="0" fontId="51" fillId="26" borderId="0" applyNumberFormat="0" applyBorder="0" applyAlignment="0" applyProtection="0"/>
    <xf numFmtId="0" fontId="51" fillId="6"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51" fillId="26" borderId="0" applyNumberFormat="0" applyBorder="0" applyAlignment="0" applyProtection="0"/>
    <xf numFmtId="0" fontId="30" fillId="5"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7" borderId="0" applyNumberFormat="0" applyBorder="0" applyAlignment="0" applyProtection="0"/>
    <xf numFmtId="0" fontId="51" fillId="27" borderId="0" applyNumberFormat="0" applyBorder="0" applyAlignment="0" applyProtection="0"/>
    <xf numFmtId="0" fontId="52" fillId="27" borderId="0" applyNumberFormat="0" applyBorder="0" applyAlignment="0" applyProtection="0"/>
    <xf numFmtId="0" fontId="51" fillId="7"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51" fillId="27" borderId="0" applyNumberFormat="0" applyBorder="0" applyAlignment="0" applyProtection="0"/>
    <xf numFmtId="0" fontId="30" fillId="8"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28" borderId="0" applyNumberFormat="0" applyBorder="0" applyAlignment="0" applyProtection="0"/>
    <xf numFmtId="0" fontId="30" fillId="4" borderId="0" applyNumberFormat="0" applyBorder="0" applyAlignment="0" applyProtection="0"/>
    <xf numFmtId="0" fontId="30" fillId="4" borderId="0" applyNumberFormat="0" applyBorder="0" applyAlignment="0" applyProtection="0"/>
    <xf numFmtId="0" fontId="51" fillId="28" borderId="0" applyNumberFormat="0" applyBorder="0" applyAlignment="0" applyProtection="0"/>
    <xf numFmtId="0" fontId="30" fillId="4"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9" borderId="0" applyNumberFormat="0" applyBorder="0" applyAlignment="0" applyProtection="0"/>
    <xf numFmtId="0" fontId="51" fillId="29" borderId="0" applyNumberFormat="0" applyBorder="0" applyAlignment="0" applyProtection="0"/>
    <xf numFmtId="0" fontId="51" fillId="9"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51" fillId="29" borderId="0" applyNumberFormat="0" applyBorder="0" applyAlignment="0" applyProtection="0"/>
    <xf numFmtId="0" fontId="30"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51" fillId="10" borderId="0" applyNumberFormat="0" applyBorder="0" applyAlignment="0" applyProtection="0"/>
    <xf numFmtId="0" fontId="51" fillId="30" borderId="0" applyNumberFormat="0" applyBorder="0" applyAlignment="0" applyProtection="0"/>
    <xf numFmtId="0" fontId="51" fillId="10" borderId="0" applyNumberFormat="0" applyBorder="0" applyAlignment="0" applyProtection="0"/>
    <xf numFmtId="0" fontId="30" fillId="8" borderId="0" applyNumberFormat="0" applyBorder="0" applyAlignment="0" applyProtection="0"/>
    <xf numFmtId="0" fontId="30" fillId="8" borderId="0" applyNumberFormat="0" applyBorder="0" applyAlignment="0" applyProtection="0"/>
    <xf numFmtId="0" fontId="51" fillId="30" borderId="0" applyNumberFormat="0" applyBorder="0" applyAlignment="0" applyProtection="0"/>
    <xf numFmtId="0" fontId="30" fillId="8"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51" fillId="7" borderId="0" applyNumberFormat="0" applyBorder="0" applyAlignment="0" applyProtection="0"/>
    <xf numFmtId="0" fontId="51" fillId="31" borderId="0" applyNumberFormat="0" applyBorder="0" applyAlignment="0" applyProtection="0"/>
    <xf numFmtId="0" fontId="51" fillId="7"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51" fillId="31" borderId="0" applyNumberFormat="0" applyBorder="0" applyAlignment="0" applyProtection="0"/>
    <xf numFmtId="0" fontId="30" fillId="2"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51" fillId="6" borderId="0" applyNumberFormat="0" applyBorder="0" applyAlignment="0" applyProtection="0"/>
    <xf numFmtId="0" fontId="51" fillId="32" borderId="0" applyNumberFormat="0" applyBorder="0" applyAlignment="0" applyProtection="0"/>
    <xf numFmtId="0" fontId="51" fillId="6" borderId="0" applyNumberFormat="0" applyBorder="0" applyAlignment="0" applyProtection="0"/>
    <xf numFmtId="0" fontId="30" fillId="5" borderId="0" applyNumberFormat="0" applyBorder="0" applyAlignment="0" applyProtection="0"/>
    <xf numFmtId="0" fontId="30" fillId="5" borderId="0" applyNumberFormat="0" applyBorder="0" applyAlignment="0" applyProtection="0"/>
    <xf numFmtId="0" fontId="51" fillId="32" borderId="0" applyNumberFormat="0" applyBorder="0" applyAlignment="0" applyProtection="0"/>
    <xf numFmtId="0" fontId="30" fillId="5"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3" fillId="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53" fillId="33" borderId="0" applyNumberFormat="0" applyBorder="0" applyAlignment="0" applyProtection="0"/>
    <xf numFmtId="0" fontId="53" fillId="7" borderId="0" applyNumberFormat="0" applyBorder="0" applyAlignment="0" applyProtection="0"/>
    <xf numFmtId="0" fontId="53" fillId="12"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31" fillId="4" borderId="0" applyNumberFormat="0" applyBorder="0" applyAlignment="0" applyProtection="0"/>
    <xf numFmtId="0" fontId="53" fillId="34"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53" fillId="35" borderId="0" applyNumberFormat="0" applyBorder="0" applyAlignment="0" applyProtection="0"/>
    <xf numFmtId="0" fontId="53" fillId="13" borderId="0" applyNumberFormat="0" applyBorder="0" applyAlignment="0" applyProtection="0"/>
    <xf numFmtId="0" fontId="53" fillId="10"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53" fillId="36" borderId="0" applyNumberFormat="0" applyBorder="0" applyAlignment="0" applyProtection="0"/>
    <xf numFmtId="0" fontId="53" fillId="10" borderId="0" applyNumberFormat="0" applyBorder="0" applyAlignment="0" applyProtection="0"/>
    <xf numFmtId="0" fontId="53" fillId="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53" fillId="37" borderId="0" applyNumberFormat="0" applyBorder="0" applyAlignment="0" applyProtection="0"/>
    <xf numFmtId="0" fontId="53" fillId="7" borderId="0" applyNumberFormat="0" applyBorder="0" applyAlignment="0" applyProtection="0"/>
    <xf numFmtId="0" fontId="53" fillId="4"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31" fillId="5" borderId="0" applyNumberFormat="0" applyBorder="0" applyAlignment="0" applyProtection="0"/>
    <xf numFmtId="0" fontId="53" fillId="38" borderId="0" applyNumberFormat="0" applyBorder="0" applyAlignment="0" applyProtection="0"/>
    <xf numFmtId="0" fontId="53" fillId="4" borderId="0" applyNumberFormat="0" applyBorder="0" applyAlignment="0" applyProtection="0"/>
    <xf numFmtId="0" fontId="53" fillId="14"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53" fillId="39" borderId="0" applyNumberFormat="0" applyBorder="0" applyAlignment="0" applyProtection="0"/>
    <xf numFmtId="0" fontId="53" fillId="14" borderId="0" applyNumberFormat="0" applyBorder="0" applyAlignment="0" applyProtection="0"/>
    <xf numFmtId="0" fontId="53" fillId="12"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53" fillId="40"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53" fillId="41" borderId="0" applyNumberFormat="0" applyBorder="0" applyAlignment="0" applyProtection="0"/>
    <xf numFmtId="0" fontId="53" fillId="13" borderId="0" applyNumberFormat="0" applyBorder="0" applyAlignment="0" applyProtection="0"/>
    <xf numFmtId="0" fontId="53" fillId="17"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53" fillId="42" borderId="0" applyNumberFormat="0" applyBorder="0" applyAlignment="0" applyProtection="0"/>
    <xf numFmtId="0" fontId="53" fillId="17" borderId="0" applyNumberFormat="0" applyBorder="0" applyAlignment="0" applyProtection="0"/>
    <xf numFmtId="0" fontId="53" fillId="43"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53" fillId="15" borderId="0" applyNumberFormat="0" applyBorder="0" applyAlignment="0" applyProtection="0"/>
    <xf numFmtId="0" fontId="31" fillId="12" borderId="0" applyNumberFormat="0" applyBorder="0" applyAlignment="0" applyProtection="0"/>
    <xf numFmtId="0" fontId="31" fillId="12" borderId="0" applyNumberFormat="0" applyBorder="0" applyAlignment="0" applyProtection="0"/>
    <xf numFmtId="0" fontId="31" fillId="12" borderId="0" applyNumberFormat="0" applyBorder="0" applyAlignment="0" applyProtection="0"/>
    <xf numFmtId="0" fontId="53" fillId="44" borderId="0" applyNumberFormat="0" applyBorder="0" applyAlignment="0" applyProtection="0"/>
    <xf numFmtId="0" fontId="53" fillId="15" borderId="0" applyNumberFormat="0" applyBorder="0" applyAlignment="0" applyProtection="0"/>
    <xf numFmtId="0" fontId="54" fillId="18"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54" fillId="45" borderId="0" applyNumberFormat="0" applyBorder="0" applyAlignment="0" applyProtection="0"/>
    <xf numFmtId="0" fontId="54" fillId="18" borderId="0" applyNumberFormat="0" applyBorder="0" applyAlignment="0" applyProtection="0"/>
    <xf numFmtId="0" fontId="55" fillId="19" borderId="17" applyNumberFormat="0" applyAlignment="0" applyProtection="0"/>
    <xf numFmtId="0" fontId="41" fillId="3" borderId="1" applyNumberFormat="0" applyAlignment="0" applyProtection="0"/>
    <xf numFmtId="0" fontId="41" fillId="3" borderId="1" applyNumberFormat="0" applyAlignment="0" applyProtection="0"/>
    <xf numFmtId="0" fontId="41" fillId="3" borderId="1" applyNumberFormat="0" applyAlignment="0" applyProtection="0"/>
    <xf numFmtId="0" fontId="56" fillId="46" borderId="17" applyNumberFormat="0" applyAlignment="0" applyProtection="0"/>
    <xf numFmtId="0" fontId="55" fillId="19" borderId="17" applyNumberFormat="0" applyAlignment="0" applyProtection="0"/>
    <xf numFmtId="0" fontId="57" fillId="47" borderId="18" applyNumberFormat="0" applyAlignment="0" applyProtection="0"/>
    <xf numFmtId="0" fontId="33" fillId="8" borderId="2" applyNumberFormat="0" applyAlignment="0" applyProtection="0"/>
    <xf numFmtId="0" fontId="33" fillId="8" borderId="2" applyNumberFormat="0" applyAlignment="0" applyProtection="0"/>
    <xf numFmtId="0" fontId="33" fillId="8" borderId="2"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46" fillId="0" borderId="0" applyFont="0" applyFill="0" applyBorder="0" applyAlignment="0" applyProtection="0"/>
    <xf numFmtId="43"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4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3" fontId="21" fillId="0" borderId="0" applyFont="0" applyFill="0" applyBorder="0" applyAlignment="0" applyProtection="0"/>
    <xf numFmtId="44" fontId="10" fillId="0" borderId="0" applyFont="0" applyFill="0" applyBorder="0" applyAlignment="0" applyProtection="0"/>
    <xf numFmtId="44" fontId="47" fillId="0" borderId="0" applyFont="0" applyFill="0" applyBorder="0" applyAlignment="0" applyProtection="0"/>
    <xf numFmtId="44" fontId="47" fillId="0" borderId="0" applyFont="0" applyFill="0" applyBorder="0" applyAlignment="0" applyProtection="0"/>
    <xf numFmtId="170" fontId="21" fillId="0" borderId="0" applyFont="0" applyFill="0" applyBorder="0" applyAlignment="0" applyProtection="0"/>
    <xf numFmtId="171" fontId="22" fillId="0" borderId="0">
      <protection locked="0"/>
    </xf>
    <xf numFmtId="0" fontId="21" fillId="0" borderId="0" applyFont="0" applyFill="0" applyBorder="0" applyAlignment="0" applyProtection="0"/>
    <xf numFmtId="0" fontId="21" fillId="0" borderId="0" applyFont="0" applyFill="0" applyBorder="0" applyAlignment="0" applyProtection="0"/>
    <xf numFmtId="171" fontId="22" fillId="0" borderId="0">
      <protection locked="0"/>
    </xf>
    <xf numFmtId="174" fontId="10" fillId="0" borderId="0" applyFont="0" applyFill="0" applyBorder="0" applyAlignment="0" applyProtection="0"/>
    <xf numFmtId="174" fontId="10" fillId="0" borderId="0" applyFont="0" applyFill="0" applyBorder="0" applyAlignment="0" applyProtection="0"/>
    <xf numFmtId="0" fontId="58"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172" fontId="22" fillId="0" borderId="0">
      <protection locked="0"/>
    </xf>
    <xf numFmtId="2" fontId="21" fillId="0" borderId="0" applyFont="0" applyFill="0" applyBorder="0" applyAlignment="0" applyProtection="0"/>
    <xf numFmtId="2" fontId="21" fillId="0" borderId="0" applyFont="0" applyFill="0" applyBorder="0" applyAlignment="0" applyProtection="0"/>
    <xf numFmtId="172" fontId="22" fillId="0" borderId="0">
      <protection locked="0"/>
    </xf>
    <xf numFmtId="0" fontId="59" fillId="7" borderId="0" applyNumberFormat="0" applyBorder="0" applyAlignment="0" applyProtection="0"/>
    <xf numFmtId="0" fontId="35" fillId="20" borderId="0" applyNumberFormat="0" applyBorder="0" applyAlignment="0" applyProtection="0"/>
    <xf numFmtId="0" fontId="35" fillId="20" borderId="0" applyNumberFormat="0" applyBorder="0" applyAlignment="0" applyProtection="0"/>
    <xf numFmtId="0" fontId="35" fillId="20" borderId="0" applyNumberFormat="0" applyBorder="0" applyAlignment="0" applyProtection="0"/>
    <xf numFmtId="0" fontId="59" fillId="48" borderId="0" applyNumberFormat="0" applyBorder="0" applyAlignment="0" applyProtection="0"/>
    <xf numFmtId="0" fontId="59" fillId="7"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60" fillId="0" borderId="3" applyNumberFormat="0" applyFill="0" applyAlignment="0" applyProtection="0"/>
    <xf numFmtId="0" fontId="23" fillId="0" borderId="0" applyNumberFormat="0" applyFill="0" applyBorder="0" applyAlignment="0" applyProtection="0"/>
    <xf numFmtId="0" fontId="61" fillId="0" borderId="4" applyNumberFormat="0" applyFill="0" applyAlignment="0" applyProtection="0"/>
    <xf numFmtId="0" fontId="60" fillId="0" borderId="3" applyNumberFormat="0" applyFill="0" applyAlignment="0" applyProtection="0"/>
    <xf numFmtId="0" fontId="61" fillId="0" borderId="4"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62" fillId="0" borderId="19" applyNumberFormat="0" applyFill="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61" fillId="0" borderId="4" applyNumberFormat="0" applyFill="0" applyAlignment="0" applyProtection="0"/>
    <xf numFmtId="0" fontId="24" fillId="0" borderId="0" applyNumberFormat="0" applyFill="0" applyBorder="0" applyAlignment="0" applyProtection="0"/>
    <xf numFmtId="0" fontId="30" fillId="0" borderId="0"/>
    <xf numFmtId="0" fontId="61" fillId="0" borderId="4" applyNumberFormat="0" applyFill="0" applyAlignment="0" applyProtection="0"/>
    <xf numFmtId="0" fontId="30"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63" fillId="0" borderId="20" applyNumberFormat="0" applyFill="0" applyAlignment="0" applyProtection="0"/>
    <xf numFmtId="0" fontId="64" fillId="0" borderId="5"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65" fillId="0" borderId="21" applyNumberFormat="0" applyFill="0" applyAlignment="0" applyProtection="0"/>
    <xf numFmtId="0" fontId="64" fillId="0" borderId="5" applyNumberFormat="0" applyFill="0" applyAlignment="0" applyProtection="0"/>
    <xf numFmtId="0" fontId="64"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173" fontId="25" fillId="0" borderId="0">
      <protection locked="0"/>
    </xf>
    <xf numFmtId="173" fontId="25" fillId="0" borderId="0">
      <protection locked="0"/>
    </xf>
    <xf numFmtId="0" fontId="1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68" fillId="9" borderId="17" applyNumberFormat="0" applyAlignment="0" applyProtection="0"/>
    <xf numFmtId="0" fontId="37" fillId="5" borderId="1" applyNumberFormat="0" applyAlignment="0" applyProtection="0"/>
    <xf numFmtId="0" fontId="37" fillId="5" borderId="1" applyNumberFormat="0" applyAlignment="0" applyProtection="0"/>
    <xf numFmtId="0" fontId="37" fillId="5" borderId="1" applyNumberFormat="0" applyAlignment="0" applyProtection="0"/>
    <xf numFmtId="0" fontId="68" fillId="49" borderId="17" applyNumberFormat="0" applyAlignment="0" applyProtection="0"/>
    <xf numFmtId="0" fontId="68" fillId="9" borderId="17" applyNumberFormat="0" applyAlignment="0" applyProtection="0"/>
    <xf numFmtId="0" fontId="69" fillId="0" borderId="7" applyNumberFormat="0" applyFill="0" applyAlignment="0" applyProtection="0"/>
    <xf numFmtId="0" fontId="42" fillId="0" borderId="8" applyNumberFormat="0" applyFill="0" applyAlignment="0" applyProtection="0"/>
    <xf numFmtId="0" fontId="42" fillId="0" borderId="8" applyNumberFormat="0" applyFill="0" applyAlignment="0" applyProtection="0"/>
    <xf numFmtId="0" fontId="42" fillId="0" borderId="8" applyNumberFormat="0" applyFill="0" applyAlignment="0" applyProtection="0"/>
    <xf numFmtId="0" fontId="70" fillId="0" borderId="22" applyNumberFormat="0" applyFill="0" applyAlignment="0" applyProtection="0"/>
    <xf numFmtId="0" fontId="69" fillId="0" borderId="7" applyNumberFormat="0" applyFill="0" applyAlignment="0" applyProtection="0"/>
    <xf numFmtId="0" fontId="71" fillId="50"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72" fillId="50" borderId="0" applyNumberFormat="0" applyBorder="0" applyAlignment="0" applyProtection="0"/>
    <xf numFmtId="0" fontId="71" fillId="50" borderId="0" applyNumberFormat="0" applyBorder="0" applyAlignment="0" applyProtection="0"/>
    <xf numFmtId="0" fontId="10" fillId="0" borderId="0"/>
    <xf numFmtId="0" fontId="46"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10" fillId="0" borderId="0"/>
    <xf numFmtId="0" fontId="51" fillId="0" borderId="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10" fillId="0" borderId="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10" fillId="0" borderId="0"/>
    <xf numFmtId="0" fontId="10" fillId="0" borderId="0"/>
    <xf numFmtId="0" fontId="10" fillId="0" borderId="0"/>
    <xf numFmtId="0" fontId="30" fillId="0" borderId="0"/>
    <xf numFmtId="164" fontId="10" fillId="0" borderId="0" applyBorder="0"/>
    <xf numFmtId="0" fontId="30" fillId="0" borderId="0"/>
    <xf numFmtId="164" fontId="10" fillId="0" borderId="0" applyBorder="0"/>
    <xf numFmtId="0" fontId="10" fillId="0" borderId="0"/>
    <xf numFmtId="164" fontId="10" fillId="0" borderId="0" applyBorder="0"/>
    <xf numFmtId="164" fontId="10" fillId="0" borderId="0" applyBorder="0"/>
    <xf numFmtId="164" fontId="10" fillId="0" borderId="0" applyBorder="0"/>
    <xf numFmtId="164" fontId="10" fillId="0" borderId="0" applyBorder="0"/>
    <xf numFmtId="164" fontId="10" fillId="0" borderId="0" applyBorder="0"/>
    <xf numFmtId="164" fontId="10" fillId="0" borderId="0" applyBorder="0"/>
    <xf numFmtId="164" fontId="28" fillId="0" borderId="0"/>
    <xf numFmtId="0" fontId="10" fillId="0" borderId="0"/>
    <xf numFmtId="0" fontId="30" fillId="0" borderId="0"/>
    <xf numFmtId="0" fontId="30" fillId="0" borderId="0"/>
    <xf numFmtId="0" fontId="51" fillId="0" borderId="0"/>
    <xf numFmtId="0" fontId="10" fillId="0" borderId="0"/>
    <xf numFmtId="0" fontId="30" fillId="0" borderId="0"/>
    <xf numFmtId="0" fontId="51" fillId="0" borderId="0"/>
    <xf numFmtId="0" fontId="10" fillId="0" borderId="0"/>
    <xf numFmtId="3" fontId="17" fillId="0" borderId="0"/>
    <xf numFmtId="0" fontId="10" fillId="0" borderId="0"/>
    <xf numFmtId="3" fontId="17" fillId="0" borderId="0"/>
    <xf numFmtId="0" fontId="51" fillId="0" borderId="0"/>
    <xf numFmtId="0" fontId="10" fillId="0" borderId="0"/>
    <xf numFmtId="0" fontId="10" fillId="0" borderId="0"/>
    <xf numFmtId="164" fontId="10" fillId="0" borderId="0"/>
    <xf numFmtId="0" fontId="30" fillId="0" borderId="0"/>
    <xf numFmtId="0" fontId="10" fillId="0" borderId="0"/>
    <xf numFmtId="0" fontId="10" fillId="0" borderId="0"/>
    <xf numFmtId="0" fontId="51" fillId="0" borderId="0"/>
    <xf numFmtId="0" fontId="51" fillId="0" borderId="0"/>
    <xf numFmtId="0" fontId="51" fillId="0" borderId="0"/>
    <xf numFmtId="0" fontId="51" fillId="0" borderId="0"/>
    <xf numFmtId="0" fontId="10" fillId="0" borderId="0"/>
    <xf numFmtId="0" fontId="51" fillId="0" borderId="0"/>
    <xf numFmtId="0" fontId="51" fillId="0" borderId="0"/>
    <xf numFmtId="0" fontId="51" fillId="0" borderId="0"/>
    <xf numFmtId="164" fontId="10" fillId="0" borderId="0" applyBorder="0"/>
    <xf numFmtId="0" fontId="10" fillId="0" borderId="0"/>
    <xf numFmtId="0" fontId="10" fillId="0" borderId="0"/>
    <xf numFmtId="0" fontId="51" fillId="0" borderId="0"/>
    <xf numFmtId="0" fontId="7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7" fillId="0" borderId="0"/>
    <xf numFmtId="164" fontId="10" fillId="0" borderId="0" applyBorder="0"/>
    <xf numFmtId="164" fontId="10" fillId="0" borderId="0" applyBorder="0"/>
    <xf numFmtId="0" fontId="10" fillId="0" borderId="0"/>
    <xf numFmtId="0" fontId="10" fillId="0" borderId="0"/>
    <xf numFmtId="164" fontId="28" fillId="0" borderId="0"/>
    <xf numFmtId="0" fontId="10" fillId="0" borderId="0"/>
    <xf numFmtId="0" fontId="47"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4" fontId="18" fillId="0" borderId="0"/>
    <xf numFmtId="164" fontId="10" fillId="0" borderId="0" applyBorder="0"/>
    <xf numFmtId="164" fontId="10" fillId="0" borderId="0" applyBorder="0"/>
    <xf numFmtId="164" fontId="10" fillId="0" borderId="0" applyBorder="0"/>
    <xf numFmtId="0" fontId="10" fillId="0" borderId="0"/>
    <xf numFmtId="164" fontId="28" fillId="0" borderId="0"/>
    <xf numFmtId="0" fontId="10" fillId="0" borderId="0"/>
    <xf numFmtId="0" fontId="51" fillId="0" borderId="0"/>
    <xf numFmtId="164" fontId="10" fillId="0" borderId="0" applyBorder="0"/>
    <xf numFmtId="0" fontId="51" fillId="0" borderId="0"/>
    <xf numFmtId="0" fontId="10" fillId="0" borderId="0"/>
    <xf numFmtId="0" fontId="44" fillId="0" borderId="0"/>
    <xf numFmtId="0" fontId="10" fillId="0" borderId="0"/>
    <xf numFmtId="0" fontId="17" fillId="0" borderId="0"/>
    <xf numFmtId="0" fontId="10" fillId="0" borderId="0"/>
    <xf numFmtId="0" fontId="10" fillId="0" borderId="0"/>
    <xf numFmtId="0" fontId="10" fillId="0" borderId="0"/>
    <xf numFmtId="0" fontId="10" fillId="0" borderId="0"/>
    <xf numFmtId="164" fontId="10" fillId="0" borderId="0" applyBorder="0"/>
    <xf numFmtId="0" fontId="10" fillId="0" borderId="0"/>
    <xf numFmtId="164" fontId="10" fillId="0" borderId="0" applyBorder="0"/>
    <xf numFmtId="0" fontId="51" fillId="0" borderId="0"/>
    <xf numFmtId="0" fontId="51" fillId="0" borderId="0"/>
    <xf numFmtId="0" fontId="10" fillId="0" borderId="0"/>
    <xf numFmtId="0" fontId="10" fillId="0" borderId="0"/>
    <xf numFmtId="164" fontId="10" fillId="0" borderId="0" applyBorder="0"/>
    <xf numFmtId="0" fontId="10" fillId="0" borderId="0"/>
    <xf numFmtId="164" fontId="10" fillId="0" borderId="0" applyBorder="0"/>
    <xf numFmtId="164" fontId="10" fillId="0" borderId="0" applyBorder="0"/>
    <xf numFmtId="0" fontId="10" fillId="0" borderId="0"/>
    <xf numFmtId="0" fontId="10" fillId="0" borderId="0"/>
    <xf numFmtId="164" fontId="10" fillId="0" borderId="0" applyBorder="0"/>
    <xf numFmtId="0" fontId="26" fillId="0" borderId="0"/>
    <xf numFmtId="0" fontId="10" fillId="0" borderId="0"/>
    <xf numFmtId="0" fontId="10" fillId="0" borderId="0"/>
    <xf numFmtId="0" fontId="10" fillId="0" borderId="0"/>
    <xf numFmtId="1" fontId="28" fillId="0" borderId="0"/>
    <xf numFmtId="164" fontId="13" fillId="0" borderId="0"/>
    <xf numFmtId="164" fontId="10" fillId="0" borderId="0"/>
    <xf numFmtId="0" fontId="10" fillId="0" borderId="0"/>
    <xf numFmtId="0" fontId="10" fillId="0" borderId="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51" fillId="51" borderId="23" applyNumberFormat="0" applyFont="0" applyAlignment="0" applyProtection="0"/>
    <xf numFmtId="0" fontId="10" fillId="6" borderId="9" applyNumberFormat="0" applyFont="0" applyAlignment="0" applyProtection="0"/>
    <xf numFmtId="0" fontId="10" fillId="6" borderId="9" applyNumberFormat="0" applyFont="0" applyAlignment="0" applyProtection="0"/>
    <xf numFmtId="0" fontId="10" fillId="6" borderId="9"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51" fillId="51" borderId="23" applyNumberFormat="0" applyFont="0" applyAlignment="0" applyProtection="0"/>
    <xf numFmtId="0" fontId="44" fillId="6" borderId="9" applyNumberFormat="0" applyFont="0" applyAlignment="0" applyProtection="0"/>
    <xf numFmtId="0" fontId="10" fillId="6" borderId="9"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46" fillId="51" borderId="23" applyNumberFormat="0" applyFont="0" applyAlignment="0" applyProtection="0"/>
    <xf numFmtId="0" fontId="46" fillId="51" borderId="23" applyNumberFormat="0" applyFont="0" applyAlignment="0" applyProtection="0"/>
    <xf numFmtId="0" fontId="30" fillId="51" borderId="23" applyNumberFormat="0" applyFont="0" applyAlignment="0" applyProtection="0"/>
    <xf numFmtId="0" fontId="30" fillId="51" borderId="23" applyNumberFormat="0" applyFont="0" applyAlignment="0" applyProtection="0"/>
    <xf numFmtId="0" fontId="74" fillId="19" borderId="24" applyNumberFormat="0" applyAlignment="0" applyProtection="0"/>
    <xf numFmtId="0" fontId="39" fillId="3" borderId="10" applyNumberFormat="0" applyAlignment="0" applyProtection="0"/>
    <xf numFmtId="0" fontId="39" fillId="3" borderId="10" applyNumberFormat="0" applyAlignment="0" applyProtection="0"/>
    <xf numFmtId="0" fontId="39" fillId="3" borderId="10" applyNumberFormat="0" applyAlignment="0" applyProtection="0"/>
    <xf numFmtId="0" fontId="74" fillId="46" borderId="24" applyNumberFormat="0" applyAlignment="0" applyProtection="0"/>
    <xf numFmtId="0" fontId="74" fillId="19" borderId="24" applyNumberFormat="0" applyAlignment="0" applyProtection="0"/>
    <xf numFmtId="9" fontId="4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75"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76" fillId="0" borderId="0" applyNumberFormat="0" applyFill="0" applyBorder="0" applyAlignment="0" applyProtection="0"/>
    <xf numFmtId="0" fontId="75" fillId="0" borderId="0" applyNumberFormat="0" applyFill="0" applyBorder="0" applyAlignment="0" applyProtection="0"/>
    <xf numFmtId="173" fontId="22" fillId="0" borderId="11">
      <protection locked="0"/>
    </xf>
    <xf numFmtId="0" fontId="21" fillId="0" borderId="12" applyNumberFormat="0" applyFont="0" applyFill="0" applyAlignment="0" applyProtection="0"/>
    <xf numFmtId="0" fontId="21" fillId="0" borderId="12" applyNumberFormat="0" applyFont="0" applyFill="0" applyAlignment="0" applyProtection="0"/>
    <xf numFmtId="173" fontId="22" fillId="0" borderId="11">
      <protection locked="0"/>
    </xf>
    <xf numFmtId="0" fontId="21" fillId="0" borderId="12" applyNumberFormat="0" applyFont="0" applyFill="0" applyAlignment="0" applyProtection="0"/>
    <xf numFmtId="0" fontId="21" fillId="0" borderId="12" applyNumberFormat="0" applyFont="0" applyFill="0" applyAlignment="0" applyProtection="0"/>
    <xf numFmtId="0" fontId="21" fillId="0" borderId="12" applyNumberFormat="0" applyFont="0" applyFill="0" applyAlignment="0" applyProtection="0"/>
    <xf numFmtId="173" fontId="22" fillId="0" borderId="11">
      <protection locked="0"/>
    </xf>
    <xf numFmtId="0" fontId="21" fillId="0" borderId="12" applyNumberFormat="0" applyFont="0" applyFill="0" applyAlignment="0" applyProtection="0"/>
    <xf numFmtId="0" fontId="77" fillId="0" borderId="13" applyNumberFormat="0" applyFill="0" applyAlignment="0" applyProtection="0"/>
    <xf numFmtId="0" fontId="77" fillId="0" borderId="25" applyNumberFormat="0" applyFill="0" applyAlignment="0" applyProtection="0"/>
    <xf numFmtId="173" fontId="22" fillId="0" borderId="11">
      <protection locked="0"/>
    </xf>
    <xf numFmtId="0" fontId="7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79" fillId="0" borderId="0"/>
    <xf numFmtId="0" fontId="9" fillId="21" borderId="0" applyNumberFormat="0" applyBorder="0" applyAlignment="0" applyProtection="0"/>
    <xf numFmtId="0" fontId="9" fillId="21" borderId="0" applyNumberFormat="0" applyBorder="0" applyAlignment="0" applyProtection="0"/>
    <xf numFmtId="0" fontId="9" fillId="2"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4"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6"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5"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52" fillId="2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1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7"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6"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43" fontId="9" fillId="0" borderId="0" applyFont="0" applyFill="0" applyBorder="0" applyAlignment="0" applyProtection="0"/>
    <xf numFmtId="175" fontId="22" fillId="0" borderId="0">
      <protection locked="0"/>
    </xf>
    <xf numFmtId="176" fontId="22" fillId="0" borderId="0">
      <protection locked="0"/>
    </xf>
    <xf numFmtId="0" fontId="22" fillId="0" borderId="0">
      <protection locked="0"/>
    </xf>
    <xf numFmtId="0" fontId="30" fillId="0" borderId="0"/>
    <xf numFmtId="0" fontId="61" fillId="0" borderId="4" applyNumberFormat="0" applyFill="0" applyAlignment="0" applyProtection="0"/>
    <xf numFmtId="0" fontId="60" fillId="0" borderId="3" applyNumberFormat="0" applyFill="0" applyAlignment="0" applyProtection="0"/>
    <xf numFmtId="0" fontId="61" fillId="0" borderId="4" applyNumberFormat="0" applyFill="0" applyAlignment="0" applyProtection="0"/>
    <xf numFmtId="0" fontId="60" fillId="0" borderId="3" applyNumberFormat="0" applyFill="0" applyAlignment="0" applyProtection="0"/>
    <xf numFmtId="0" fontId="22" fillId="0" borderId="0">
      <protection locked="0"/>
    </xf>
    <xf numFmtId="0" fontId="62" fillId="0" borderId="19" applyNumberFormat="0" applyFill="0" applyAlignment="0" applyProtection="0"/>
    <xf numFmtId="0" fontId="61" fillId="0" borderId="4" applyNumberFormat="0" applyFill="0" applyAlignment="0" applyProtection="0"/>
    <xf numFmtId="0" fontId="61" fillId="0" borderId="4" applyNumberFormat="0" applyFill="0" applyAlignment="0" applyProtection="0"/>
    <xf numFmtId="0" fontId="22" fillId="0" borderId="0">
      <protection locked="0"/>
    </xf>
    <xf numFmtId="0" fontId="63" fillId="0" borderId="20" applyNumberFormat="0" applyFill="0" applyAlignment="0" applyProtection="0"/>
    <xf numFmtId="0" fontId="16" fillId="0" borderId="0" applyNumberFormat="0" applyFill="0" applyBorder="0" applyAlignment="0" applyProtection="0">
      <alignment vertical="top"/>
      <protection locked="0"/>
    </xf>
    <xf numFmtId="0" fontId="80" fillId="0" borderId="0" applyNumberFormat="0" applyFill="0" applyBorder="0" applyAlignment="0" applyProtection="0"/>
    <xf numFmtId="0" fontId="9" fillId="0" borderId="0"/>
    <xf numFmtId="0" fontId="9" fillId="0" borderId="0"/>
    <xf numFmtId="0" fontId="30" fillId="51" borderId="23" applyNumberFormat="0" applyFont="0" applyAlignment="0" applyProtection="0"/>
    <xf numFmtId="0" fontId="9" fillId="0" borderId="0"/>
    <xf numFmtId="164" fontId="10" fillId="0" borderId="0" applyBorder="0"/>
    <xf numFmtId="164" fontId="18" fillId="0" borderId="0"/>
    <xf numFmtId="0" fontId="9" fillId="0" borderId="0"/>
    <xf numFmtId="0" fontId="9" fillId="0" borderId="0"/>
    <xf numFmtId="0" fontId="30" fillId="0" borderId="0"/>
    <xf numFmtId="0" fontId="9" fillId="0" borderId="0"/>
    <xf numFmtId="0" fontId="9" fillId="0" borderId="0"/>
    <xf numFmtId="0" fontId="9" fillId="0" borderId="0"/>
    <xf numFmtId="0" fontId="9" fillId="0" borderId="0"/>
    <xf numFmtId="0" fontId="9" fillId="0" borderId="0"/>
    <xf numFmtId="0" fontId="9" fillId="0" borderId="0"/>
    <xf numFmtId="0" fontId="3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0" fontId="9" fillId="0" borderId="0"/>
    <xf numFmtId="0" fontId="9" fillId="0" borderId="0"/>
    <xf numFmtId="0" fontId="9" fillId="0" borderId="0"/>
    <xf numFmtId="0" fontId="10" fillId="0" borderId="0"/>
    <xf numFmtId="0" fontId="9" fillId="0" borderId="0"/>
    <xf numFmtId="0" fontId="10" fillId="0" borderId="0"/>
    <xf numFmtId="0" fontId="10" fillId="0" borderId="0"/>
    <xf numFmtId="0" fontId="10" fillId="0" borderId="0"/>
    <xf numFmtId="0" fontId="10" fillId="0" borderId="0"/>
    <xf numFmtId="0" fontId="9" fillId="0" borderId="0"/>
    <xf numFmtId="0" fontId="10" fillId="0" borderId="0"/>
    <xf numFmtId="0" fontId="10" fillId="0" borderId="0"/>
    <xf numFmtId="0" fontId="9" fillId="0" borderId="0"/>
    <xf numFmtId="0" fontId="9" fillId="0" borderId="0"/>
    <xf numFmtId="0" fontId="9" fillId="0" borderId="0"/>
    <xf numFmtId="0" fontId="10" fillId="0" borderId="0"/>
    <xf numFmtId="164" fontId="28" fillId="0" borderId="0"/>
    <xf numFmtId="0" fontId="9" fillId="0" borderId="0"/>
    <xf numFmtId="0" fontId="9" fillId="0" borderId="0"/>
    <xf numFmtId="0" fontId="9" fillId="0" borderId="0"/>
    <xf numFmtId="0" fontId="9" fillId="0" borderId="0"/>
    <xf numFmtId="0" fontId="10" fillId="0" borderId="0"/>
    <xf numFmtId="164" fontId="10" fillId="0" borderId="0" applyBorder="0"/>
    <xf numFmtId="0" fontId="9" fillId="0" borderId="0"/>
    <xf numFmtId="0" fontId="17" fillId="0" borderId="0"/>
    <xf numFmtId="0" fontId="9" fillId="0" borderId="0"/>
    <xf numFmtId="0" fontId="9" fillId="0" borderId="0"/>
    <xf numFmtId="0" fontId="9" fillId="0" borderId="0"/>
    <xf numFmtId="0" fontId="9" fillId="0" borderId="0"/>
    <xf numFmtId="164" fontId="12" fillId="0" borderId="0"/>
    <xf numFmtId="0" fontId="9" fillId="51" borderId="23" applyNumberFormat="0" applyFont="0" applyAlignment="0" applyProtection="0"/>
    <xf numFmtId="0" fontId="9" fillId="51" borderId="23" applyNumberFormat="0" applyFont="0" applyAlignment="0" applyProtection="0"/>
    <xf numFmtId="0" fontId="9" fillId="51" borderId="23" applyNumberFormat="0" applyFont="0" applyAlignment="0" applyProtection="0"/>
    <xf numFmtId="0" fontId="9" fillId="51" borderId="23" applyNumberFormat="0" applyFont="0" applyAlignment="0" applyProtection="0"/>
    <xf numFmtId="0" fontId="9" fillId="51" borderId="23" applyNumberFormat="0" applyFont="0" applyAlignment="0" applyProtection="0"/>
    <xf numFmtId="0" fontId="9" fillId="51" borderId="23" applyNumberFormat="0" applyFont="0" applyAlignment="0" applyProtection="0"/>
    <xf numFmtId="0" fontId="10" fillId="6" borderId="9" applyNumberFormat="0" applyFont="0" applyAlignment="0" applyProtection="0"/>
    <xf numFmtId="9" fontId="10" fillId="0" borderId="0" applyFont="0" applyFill="0" applyBorder="0" applyAlignment="0" applyProtection="0"/>
    <xf numFmtId="0" fontId="77" fillId="0" borderId="13" applyNumberFormat="0" applyFill="0" applyAlignment="0" applyProtection="0"/>
    <xf numFmtId="0" fontId="77" fillId="0" borderId="25" applyNumberFormat="0" applyFill="0" applyAlignment="0" applyProtection="0"/>
    <xf numFmtId="0" fontId="22" fillId="0" borderId="12">
      <protection locked="0"/>
    </xf>
    <xf numFmtId="173" fontId="22" fillId="0" borderId="11">
      <protection locked="0"/>
    </xf>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30" fillId="3"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30" fillId="3"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30" fillId="3"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30" fillId="5"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30" fillId="5"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30" fillId="5"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3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3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3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30" fillId="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30" fillId="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30" fillId="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30" fillId="7"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30" fillId="7"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30" fillId="7"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30"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30"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30"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164" fontId="10" fillId="0" borderId="0" applyBorder="0"/>
    <xf numFmtId="0" fontId="8" fillId="2" borderId="0" applyNumberFormat="0" applyBorder="0" applyAlignment="0" applyProtection="0"/>
    <xf numFmtId="0" fontId="8" fillId="4" borderId="0" applyNumberFormat="0" applyBorder="0" applyAlignment="0" applyProtection="0"/>
    <xf numFmtId="0" fontId="8" fillId="6"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6" borderId="0" applyNumberFormat="0" applyBorder="0" applyAlignment="0" applyProtection="0"/>
    <xf numFmtId="0" fontId="53" fillId="7"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53" fillId="10" borderId="0" applyNumberFormat="0" applyBorder="0" applyAlignment="0" applyProtection="0"/>
    <xf numFmtId="0" fontId="53" fillId="7" borderId="0" applyNumberFormat="0" applyBorder="0" applyAlignment="0" applyProtection="0"/>
    <xf numFmtId="0" fontId="53" fillId="4" borderId="0" applyNumberFormat="0" applyBorder="0" applyAlignment="0" applyProtection="0"/>
    <xf numFmtId="0" fontId="53" fillId="14"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53" fillId="17" borderId="0" applyNumberFormat="0" applyBorder="0" applyAlignment="0" applyProtection="0"/>
    <xf numFmtId="0" fontId="53" fillId="15" borderId="0" applyNumberFormat="0" applyBorder="0" applyAlignment="0" applyProtection="0"/>
    <xf numFmtId="0" fontId="54" fillId="18" borderId="0" applyNumberFormat="0" applyBorder="0" applyAlignment="0" applyProtection="0"/>
    <xf numFmtId="0" fontId="55" fillId="19" borderId="17" applyNumberFormat="0" applyAlignment="0" applyProtection="0"/>
    <xf numFmtId="43" fontId="10" fillId="0" borderId="0" applyFont="0" applyFill="0" applyBorder="0" applyAlignment="0" applyProtection="0"/>
    <xf numFmtId="0" fontId="59" fillId="7"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64" fillId="0" borderId="5" applyNumberFormat="0" applyFill="0" applyAlignment="0" applyProtection="0"/>
    <xf numFmtId="0" fontId="64" fillId="0" borderId="0" applyNumberFormat="0" applyFill="0" applyBorder="0" applyAlignment="0" applyProtection="0"/>
    <xf numFmtId="0" fontId="68" fillId="9" borderId="17" applyNumberFormat="0" applyAlignment="0" applyProtection="0"/>
    <xf numFmtId="0" fontId="69" fillId="0" borderId="7" applyNumberFormat="0" applyFill="0" applyAlignment="0" applyProtection="0"/>
    <xf numFmtId="0" fontId="71" fillId="50" borderId="0" applyNumberFormat="0" applyBorder="0" applyAlignment="0" applyProtection="0"/>
    <xf numFmtId="0" fontId="74" fillId="19" borderId="24" applyNumberFormat="0" applyAlignment="0" applyProtection="0"/>
    <xf numFmtId="0" fontId="75" fillId="0" borderId="0" applyNumberFormat="0" applyFill="0" applyBorder="0" applyAlignment="0" applyProtection="0"/>
    <xf numFmtId="173" fontId="22" fillId="0" borderId="11">
      <protection locked="0"/>
    </xf>
    <xf numFmtId="0" fontId="8" fillId="21"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21" borderId="0" applyNumberFormat="0" applyBorder="0" applyAlignment="0" applyProtection="0"/>
    <xf numFmtId="0" fontId="8" fillId="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2" borderId="0" applyNumberFormat="0" applyBorder="0" applyAlignment="0" applyProtection="0"/>
    <xf numFmtId="0" fontId="8" fillId="4"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3" borderId="0" applyNumberFormat="0" applyBorder="0" applyAlignment="0" applyProtection="0"/>
    <xf numFmtId="0" fontId="8" fillId="6"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4" borderId="0" applyNumberFormat="0" applyBorder="0" applyAlignment="0" applyProtection="0"/>
    <xf numFmtId="0" fontId="8" fillId="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26" borderId="0" applyNumberFormat="0" applyBorder="0" applyAlignment="0" applyProtection="0"/>
    <xf numFmtId="0" fontId="8" fillId="6"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29" borderId="0" applyNumberFormat="0" applyBorder="0" applyAlignment="0" applyProtection="0"/>
    <xf numFmtId="0" fontId="8" fillId="9"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30" borderId="0" applyNumberFormat="0" applyBorder="0" applyAlignment="0" applyProtection="0"/>
    <xf numFmtId="0" fontId="8" fillId="10"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31" borderId="0" applyNumberFormat="0" applyBorder="0" applyAlignment="0" applyProtection="0"/>
    <xf numFmtId="0" fontId="8" fillId="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32" borderId="0" applyNumberFormat="0" applyBorder="0" applyAlignment="0" applyProtection="0"/>
    <xf numFmtId="0" fontId="8" fillId="6" borderId="0" applyNumberFormat="0" applyBorder="0" applyAlignment="0" applyProtection="0"/>
    <xf numFmtId="43" fontId="79" fillId="0" borderId="0" applyFont="0" applyFill="0" applyBorder="0" applyAlignment="0" applyProtection="0"/>
    <xf numFmtId="40" fontId="96" fillId="0" borderId="0" applyFont="0" applyFill="0" applyBorder="0" applyAlignment="0" applyProtection="0"/>
    <xf numFmtId="40"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0" fillId="0" borderId="0" applyFont="0" applyFill="0" applyBorder="0" applyAlignment="0" applyProtection="0"/>
    <xf numFmtId="3" fontId="21"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170" fontId="21"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1" fontId="22" fillId="0" borderId="0">
      <protection locked="0"/>
    </xf>
    <xf numFmtId="0" fontId="10" fillId="0" borderId="0" applyFont="0" applyFill="0" applyBorder="0" applyAlignment="0" applyProtection="0"/>
    <xf numFmtId="0" fontId="10" fillId="0" borderId="0" applyFont="0" applyFill="0" applyBorder="0" applyAlignment="0" applyProtection="0"/>
    <xf numFmtId="172" fontId="22" fillId="0" borderId="0">
      <protection locked="0"/>
    </xf>
    <xf numFmtId="2" fontId="10" fillId="0" borderId="0" applyFont="0" applyFill="0" applyBorder="0" applyAlignment="0" applyProtection="0"/>
    <xf numFmtId="2" fontId="10" fillId="0" borderId="0" applyFont="0" applyFill="0" applyBorder="0" applyAlignment="0" applyProtection="0"/>
    <xf numFmtId="0" fontId="63" fillId="0" borderId="20" applyNumberFormat="0" applyFill="0" applyAlignment="0" applyProtection="0"/>
    <xf numFmtId="0" fontId="62" fillId="0" borderId="19" applyNumberFormat="0" applyFill="0" applyAlignment="0" applyProtection="0"/>
    <xf numFmtId="0" fontId="63" fillId="0" borderId="20" applyNumberFormat="0" applyFill="0" applyAlignment="0" applyProtection="0"/>
    <xf numFmtId="0" fontId="23"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63" fillId="0" borderId="20"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8" fillId="51" borderId="23" applyNumberFormat="0" applyFont="0" applyAlignment="0" applyProtection="0"/>
    <xf numFmtId="0" fontId="8" fillId="51" borderId="23" applyNumberFormat="0" applyFont="0" applyAlignment="0" applyProtection="0"/>
    <xf numFmtId="0" fontId="8" fillId="0" borderId="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0" borderId="0"/>
    <xf numFmtId="164" fontId="18" fillId="0" borderId="0"/>
    <xf numFmtId="164" fontId="10" fillId="0" borderId="0" applyBorder="0"/>
    <xf numFmtId="0" fontId="8" fillId="0" borderId="0"/>
    <xf numFmtId="0" fontId="8" fillId="0" borderId="0"/>
    <xf numFmtId="0" fontId="8" fillId="0" borderId="0"/>
    <xf numFmtId="0" fontId="8" fillId="0" borderId="0"/>
    <xf numFmtId="0" fontId="8" fillId="0" borderId="0"/>
    <xf numFmtId="0" fontId="8" fillId="0" borderId="0"/>
    <xf numFmtId="0" fontId="73" fillId="0" borderId="0"/>
    <xf numFmtId="0" fontId="7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94" fillId="0" borderId="0"/>
    <xf numFmtId="0" fontId="8" fillId="0" borderId="0"/>
    <xf numFmtId="0" fontId="8" fillId="0" borderId="0"/>
    <xf numFmtId="164" fontId="94" fillId="0" borderId="0"/>
    <xf numFmtId="0" fontId="8" fillId="0" borderId="0"/>
    <xf numFmtId="0" fontId="96" fillId="0" borderId="0"/>
    <xf numFmtId="0" fontId="8" fillId="0" borderId="0"/>
    <xf numFmtId="0" fontId="96" fillId="0" borderId="0"/>
    <xf numFmtId="0" fontId="8" fillId="0" borderId="0"/>
    <xf numFmtId="0" fontId="8" fillId="0" borderId="0"/>
    <xf numFmtId="164" fontId="10" fillId="0" borderId="0" applyBorder="0"/>
    <xf numFmtId="0" fontId="10" fillId="0" borderId="0"/>
    <xf numFmtId="0" fontId="17" fillId="0" borderId="0"/>
    <xf numFmtId="0" fontId="17" fillId="0" borderId="0"/>
    <xf numFmtId="0" fontId="8" fillId="0" borderId="0"/>
    <xf numFmtId="0" fontId="8" fillId="0" borderId="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0" fontId="8" fillId="51" borderId="23" applyNumberFormat="0" applyFont="0" applyAlignment="0" applyProtection="0"/>
    <xf numFmtId="9" fontId="10" fillId="0" borderId="0" applyFont="0" applyFill="0" applyBorder="0" applyAlignment="0" applyProtection="0"/>
    <xf numFmtId="9" fontId="96" fillId="0" borderId="0" applyFont="0" applyFill="0" applyBorder="0" applyAlignment="0" applyProtection="0"/>
    <xf numFmtId="9" fontId="8" fillId="0" borderId="0" applyFont="0" applyFill="0" applyBorder="0" applyAlignment="0" applyProtection="0"/>
    <xf numFmtId="0" fontId="10" fillId="0" borderId="29" applyNumberFormat="0" applyFont="0" applyFill="0" applyAlignment="0" applyProtection="0"/>
    <xf numFmtId="0" fontId="10" fillId="0" borderId="29" applyNumberFormat="0" applyFont="0" applyFill="0" applyAlignment="0" applyProtection="0"/>
    <xf numFmtId="0" fontId="77" fillId="0" borderId="25" applyNumberFormat="0" applyFill="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7" fillId="0" borderId="0"/>
    <xf numFmtId="0" fontId="7" fillId="51" borderId="23" applyNumberFormat="0" applyFont="0" applyAlignment="0" applyProtection="0"/>
    <xf numFmtId="0" fontId="7" fillId="21" borderId="0" applyNumberFormat="0" applyBorder="0" applyAlignment="0" applyProtection="0"/>
    <xf numFmtId="0" fontId="7" fillId="27" borderId="0" applyNumberFormat="0" applyBorder="0" applyAlignment="0" applyProtection="0"/>
    <xf numFmtId="0" fontId="7" fillId="22" borderId="0" applyNumberFormat="0" applyBorder="0" applyAlignment="0" applyProtection="0"/>
    <xf numFmtId="0" fontId="7" fillId="28" borderId="0" applyNumberFormat="0" applyBorder="0" applyAlignment="0" applyProtection="0"/>
    <xf numFmtId="0" fontId="7" fillId="23" borderId="0" applyNumberFormat="0" applyBorder="0" applyAlignment="0" applyProtection="0"/>
    <xf numFmtId="0" fontId="7" fillId="29" borderId="0" applyNumberFormat="0" applyBorder="0" applyAlignment="0" applyProtection="0"/>
    <xf numFmtId="0" fontId="7" fillId="24" borderId="0" applyNumberFormat="0" applyBorder="0" applyAlignment="0" applyProtection="0"/>
    <xf numFmtId="0" fontId="7" fillId="30" borderId="0" applyNumberFormat="0" applyBorder="0" applyAlignment="0" applyProtection="0"/>
    <xf numFmtId="0" fontId="7" fillId="25" borderId="0" applyNumberFormat="0" applyBorder="0" applyAlignment="0" applyProtection="0"/>
    <xf numFmtId="0" fontId="7" fillId="31" borderId="0" applyNumberFormat="0" applyBorder="0" applyAlignment="0" applyProtection="0"/>
    <xf numFmtId="0" fontId="7" fillId="26" borderId="0" applyNumberFormat="0" applyBorder="0" applyAlignment="0" applyProtection="0"/>
    <xf numFmtId="0" fontId="7" fillId="32"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51" borderId="23" applyNumberFormat="0" applyFont="0" applyAlignment="0" applyProtection="0"/>
    <xf numFmtId="0" fontId="7" fillId="51" borderId="23" applyNumberFormat="0" applyFont="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10" fillId="0" borderId="0"/>
    <xf numFmtId="0" fontId="107" fillId="0" borderId="0"/>
    <xf numFmtId="0" fontId="7" fillId="6" borderId="0" applyNumberFormat="0" applyBorder="0" applyAlignment="0" applyProtection="0"/>
    <xf numFmtId="0" fontId="7" fillId="2" borderId="0" applyNumberFormat="0" applyBorder="0" applyAlignment="0" applyProtection="0"/>
    <xf numFmtId="0" fontId="30" fillId="0" borderId="0"/>
    <xf numFmtId="0" fontId="7" fillId="0" borderId="0"/>
    <xf numFmtId="0" fontId="7" fillId="2" borderId="0" applyNumberFormat="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 borderId="0" applyNumberFormat="0" applyBorder="0" applyAlignment="0" applyProtection="0"/>
    <xf numFmtId="0" fontId="7" fillId="21" borderId="0" applyNumberFormat="0" applyBorder="0" applyAlignment="0" applyProtection="0"/>
    <xf numFmtId="0" fontId="7" fillId="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2" borderId="0" applyNumberFormat="0" applyBorder="0" applyAlignment="0" applyProtection="0"/>
    <xf numFmtId="0" fontId="7" fillId="4"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3" borderId="0" applyNumberFormat="0" applyBorder="0" applyAlignment="0" applyProtection="0"/>
    <xf numFmtId="0" fontId="7" fillId="6"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24" borderId="0" applyNumberFormat="0" applyBorder="0" applyAlignment="0" applyProtection="0"/>
    <xf numFmtId="0" fontId="7" fillId="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26" borderId="0" applyNumberFormat="0" applyBorder="0" applyAlignment="0" applyProtection="0"/>
    <xf numFmtId="0" fontId="7" fillId="6"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9" borderId="0" applyNumberFormat="0" applyBorder="0" applyAlignment="0" applyProtection="0"/>
    <xf numFmtId="0" fontId="7" fillId="9"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30" borderId="0" applyNumberFormat="0" applyBorder="0" applyAlignment="0" applyProtection="0"/>
    <xf numFmtId="0" fontId="7" fillId="10"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31" borderId="0" applyNumberFormat="0" applyBorder="0" applyAlignment="0" applyProtection="0"/>
    <xf numFmtId="0" fontId="7" fillId="7"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32" borderId="0" applyNumberFormat="0" applyBorder="0" applyAlignment="0" applyProtection="0"/>
    <xf numFmtId="0" fontId="7" fillId="6" borderId="0" applyNumberFormat="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51" borderId="23" applyNumberFormat="0" applyFont="0" applyAlignment="0" applyProtection="0"/>
    <xf numFmtId="0" fontId="7" fillId="51" borderId="23" applyNumberFormat="0" applyFont="0" applyAlignment="0" applyProtection="0"/>
    <xf numFmtId="0" fontId="7" fillId="0" borderId="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0" fontId="7" fillId="51" borderId="23" applyNumberFormat="0" applyFont="0" applyAlignment="0" applyProtection="0"/>
    <xf numFmtId="9" fontId="7" fillId="0" borderId="0" applyFont="0" applyFill="0" applyBorder="0" applyAlignment="0" applyProtection="0"/>
    <xf numFmtId="0" fontId="10" fillId="0" borderId="0"/>
    <xf numFmtId="0" fontId="10" fillId="0" borderId="0"/>
    <xf numFmtId="0" fontId="10" fillId="0" borderId="0"/>
    <xf numFmtId="173" fontId="22" fillId="0" borderId="11">
      <protection locked="0"/>
    </xf>
    <xf numFmtId="0" fontId="75" fillId="0" borderId="0" applyNumberFormat="0" applyFill="0" applyBorder="0" applyAlignment="0" applyProtection="0"/>
    <xf numFmtId="0" fontId="74" fillId="19" borderId="24" applyNumberFormat="0" applyAlignment="0" applyProtection="0"/>
    <xf numFmtId="0" fontId="10" fillId="6" borderId="9" applyNumberFormat="0" applyFont="0" applyAlignment="0" applyProtection="0"/>
    <xf numFmtId="0" fontId="10" fillId="0" borderId="0"/>
    <xf numFmtId="164" fontId="10" fillId="0" borderId="0" applyBorder="0"/>
    <xf numFmtId="0" fontId="107" fillId="0" borderId="0"/>
    <xf numFmtId="0" fontId="71" fillId="50" borderId="0" applyNumberFormat="0" applyBorder="0" applyAlignment="0" applyProtection="0"/>
    <xf numFmtId="0" fontId="69" fillId="0" borderId="7" applyNumberFormat="0" applyFill="0" applyAlignment="0" applyProtection="0"/>
    <xf numFmtId="0" fontId="68" fillId="9" borderId="17" applyNumberFormat="0" applyAlignment="0" applyProtection="0"/>
    <xf numFmtId="0" fontId="64" fillId="0" borderId="5" applyNumberFormat="0" applyFill="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59" fillId="7" borderId="0" applyNumberFormat="0" applyBorder="0" applyAlignment="0" applyProtection="0"/>
    <xf numFmtId="0" fontId="55" fillId="19" borderId="17" applyNumberFormat="0" applyAlignment="0" applyProtection="0"/>
    <xf numFmtId="0" fontId="54" fillId="18" borderId="0" applyNumberFormat="0" applyBorder="0" applyAlignment="0" applyProtection="0"/>
    <xf numFmtId="0" fontId="53" fillId="15" borderId="0" applyNumberFormat="0" applyBorder="0" applyAlignment="0" applyProtection="0"/>
    <xf numFmtId="0" fontId="53" fillId="17" borderId="0" applyNumberFormat="0" applyBorder="0" applyAlignment="0" applyProtection="0"/>
    <xf numFmtId="0" fontId="53" fillId="13" borderId="0" applyNumberFormat="0" applyBorder="0" applyAlignment="0" applyProtection="0"/>
    <xf numFmtId="0" fontId="53" fillId="12" borderId="0" applyNumberFormat="0" applyBorder="0" applyAlignment="0" applyProtection="0"/>
    <xf numFmtId="0" fontId="53" fillId="14" borderId="0" applyNumberFormat="0" applyBorder="0" applyAlignment="0" applyProtection="0"/>
    <xf numFmtId="0" fontId="53" fillId="4" borderId="0" applyNumberFormat="0" applyBorder="0" applyAlignment="0" applyProtection="0"/>
    <xf numFmtId="0" fontId="53" fillId="7" borderId="0" applyNumberFormat="0" applyBorder="0" applyAlignment="0" applyProtection="0"/>
    <xf numFmtId="0" fontId="53" fillId="10" borderId="0" applyNumberFormat="0" applyBorder="0" applyAlignment="0" applyProtection="0"/>
    <xf numFmtId="0" fontId="53" fillId="13" borderId="0" applyNumberFormat="0" applyBorder="0" applyAlignment="0" applyProtection="0"/>
    <xf numFmtId="0" fontId="53" fillId="12" borderId="0" applyNumberFormat="0" applyBorder="0" applyAlignment="0" applyProtection="0"/>
    <xf numFmtId="0" fontId="53" fillId="7"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7" borderId="0" applyNumberFormat="0" applyBorder="0" applyAlignment="0" applyProtection="0"/>
    <xf numFmtId="0" fontId="7" fillId="6" borderId="0" applyNumberFormat="0" applyBorder="0" applyAlignment="0" applyProtection="0"/>
    <xf numFmtId="0" fontId="7" fillId="5" borderId="0" applyNumberFormat="0" applyBorder="0" applyAlignment="0" applyProtection="0"/>
    <xf numFmtId="0" fontId="7" fillId="4" borderId="0" applyNumberFormat="0" applyBorder="0" applyAlignment="0" applyProtection="0"/>
    <xf numFmtId="164" fontId="18" fillId="0" borderId="0"/>
    <xf numFmtId="0" fontId="107" fillId="0" borderId="0"/>
    <xf numFmtId="0" fontId="64" fillId="0" borderId="0" applyNumberFormat="0" applyFill="0" applyBorder="0" applyAlignment="0" applyProtection="0"/>
    <xf numFmtId="164" fontId="10" fillId="0" borderId="0" applyBorder="0"/>
    <xf numFmtId="0" fontId="10" fillId="0" borderId="0"/>
    <xf numFmtId="0" fontId="10" fillId="0" borderId="0"/>
    <xf numFmtId="0" fontId="107" fillId="0" borderId="0"/>
    <xf numFmtId="0" fontId="107" fillId="0" borderId="0"/>
    <xf numFmtId="0" fontId="10" fillId="0" borderId="0"/>
    <xf numFmtId="0" fontId="10"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51" borderId="23" applyNumberFormat="0" applyFont="0" applyAlignment="0" applyProtection="0"/>
    <xf numFmtId="0" fontId="6" fillId="21" borderId="0" applyNumberFormat="0" applyBorder="0" applyAlignment="0" applyProtection="0"/>
    <xf numFmtId="0" fontId="6" fillId="27" borderId="0" applyNumberFormat="0" applyBorder="0" applyAlignment="0" applyProtection="0"/>
    <xf numFmtId="0" fontId="6" fillId="22" borderId="0" applyNumberFormat="0" applyBorder="0" applyAlignment="0" applyProtection="0"/>
    <xf numFmtId="0" fontId="6" fillId="28" borderId="0" applyNumberFormat="0" applyBorder="0" applyAlignment="0" applyProtection="0"/>
    <xf numFmtId="0" fontId="6" fillId="23" borderId="0" applyNumberFormat="0" applyBorder="0" applyAlignment="0" applyProtection="0"/>
    <xf numFmtId="0" fontId="6" fillId="29" borderId="0" applyNumberFormat="0" applyBorder="0" applyAlignment="0" applyProtection="0"/>
    <xf numFmtId="0" fontId="6" fillId="0" borderId="0"/>
    <xf numFmtId="0" fontId="6" fillId="24" borderId="0" applyNumberFormat="0" applyBorder="0" applyAlignment="0" applyProtection="0"/>
    <xf numFmtId="0" fontId="6" fillId="30" borderId="0" applyNumberFormat="0" applyBorder="0" applyAlignment="0" applyProtection="0"/>
    <xf numFmtId="0" fontId="6" fillId="25" borderId="0" applyNumberFormat="0" applyBorder="0" applyAlignment="0" applyProtection="0"/>
    <xf numFmtId="0" fontId="6" fillId="31" borderId="0" applyNumberFormat="0" applyBorder="0" applyAlignment="0" applyProtection="0"/>
    <xf numFmtId="0" fontId="6" fillId="26" borderId="0" applyNumberFormat="0" applyBorder="0" applyAlignment="0" applyProtection="0"/>
    <xf numFmtId="0" fontId="6" fillId="32" borderId="0" applyNumberFormat="0" applyBorder="0" applyAlignment="0" applyProtection="0"/>
    <xf numFmtId="0" fontId="10" fillId="0" borderId="0"/>
    <xf numFmtId="0" fontId="5" fillId="0" borderId="0"/>
    <xf numFmtId="0" fontId="5" fillId="28" borderId="0" applyNumberFormat="0" applyBorder="0" applyAlignment="0" applyProtection="0"/>
    <xf numFmtId="0" fontId="5" fillId="25" borderId="0" applyNumberFormat="0" applyBorder="0" applyAlignment="0" applyProtection="0"/>
    <xf numFmtId="164" fontId="10" fillId="0" borderId="0" applyBorder="0"/>
    <xf numFmtId="0" fontId="5" fillId="2"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3" fillId="7"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53" fillId="10" borderId="0" applyNumberFormat="0" applyBorder="0" applyAlignment="0" applyProtection="0"/>
    <xf numFmtId="0" fontId="53" fillId="7" borderId="0" applyNumberFormat="0" applyBorder="0" applyAlignment="0" applyProtection="0"/>
    <xf numFmtId="0" fontId="53" fillId="4" borderId="0" applyNumberFormat="0" applyBorder="0" applyAlignment="0" applyProtection="0"/>
    <xf numFmtId="0" fontId="53" fillId="14"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53" fillId="17" borderId="0" applyNumberFormat="0" applyBorder="0" applyAlignment="0" applyProtection="0"/>
    <xf numFmtId="0" fontId="53" fillId="15" borderId="0" applyNumberFormat="0" applyBorder="0" applyAlignment="0" applyProtection="0"/>
    <xf numFmtId="0" fontId="54" fillId="18" borderId="0" applyNumberFormat="0" applyBorder="0" applyAlignment="0" applyProtection="0"/>
    <xf numFmtId="0" fontId="55" fillId="19" borderId="17" applyNumberFormat="0" applyAlignment="0" applyProtection="0"/>
    <xf numFmtId="43" fontId="10" fillId="0" borderId="0" applyFont="0" applyFill="0" applyBorder="0" applyAlignment="0" applyProtection="0"/>
    <xf numFmtId="0" fontId="59" fillId="7"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64" fillId="0" borderId="5" applyNumberFormat="0" applyFill="0" applyAlignment="0" applyProtection="0"/>
    <xf numFmtId="0" fontId="64" fillId="0" borderId="0" applyNumberFormat="0" applyFill="0" applyBorder="0" applyAlignment="0" applyProtection="0"/>
    <xf numFmtId="0" fontId="68" fillId="9" borderId="17" applyNumberFormat="0" applyAlignment="0" applyProtection="0"/>
    <xf numFmtId="0" fontId="69" fillId="0" borderId="7" applyNumberFormat="0" applyFill="0" applyAlignment="0" applyProtection="0"/>
    <xf numFmtId="0" fontId="71" fillId="50"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51" borderId="23" applyNumberFormat="0" applyFont="0" applyAlignment="0" applyProtection="0"/>
    <xf numFmtId="0" fontId="5" fillId="51" borderId="23" applyNumberFormat="0" applyFont="0" applyAlignment="0" applyProtection="0"/>
    <xf numFmtId="0" fontId="74" fillId="19" borderId="24" applyNumberFormat="0" applyAlignment="0" applyProtection="0"/>
    <xf numFmtId="0" fontId="75" fillId="0" borderId="0" applyNumberFormat="0" applyFill="0" applyBorder="0" applyAlignment="0" applyProtection="0"/>
    <xf numFmtId="173" fontId="22" fillId="0" borderId="11">
      <protection locked="0"/>
    </xf>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164" fontId="10" fillId="0" borderId="0"/>
    <xf numFmtId="0" fontId="5" fillId="0" borderId="0"/>
    <xf numFmtId="0" fontId="5" fillId="2" borderId="0" applyNumberFormat="0" applyBorder="0" applyAlignment="0" applyProtection="0"/>
    <xf numFmtId="0" fontId="5" fillId="4"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7" borderId="0" applyNumberFormat="0" applyBorder="0" applyAlignment="0" applyProtection="0"/>
    <xf numFmtId="0" fontId="5" fillId="6"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51" borderId="23" applyNumberFormat="0" applyFont="0" applyAlignment="0" applyProtection="0"/>
    <xf numFmtId="0" fontId="5" fillId="51" borderId="23" applyNumberFormat="0" applyFont="0" applyAlignment="0" applyProtection="0"/>
    <xf numFmtId="0" fontId="5" fillId="0" borderId="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9" fontId="5" fillId="0" borderId="0" applyFont="0" applyFill="0" applyBorder="0" applyAlignment="0" applyProtection="0"/>
    <xf numFmtId="0" fontId="5" fillId="0" borderId="0"/>
    <xf numFmtId="0" fontId="5" fillId="51" borderId="23" applyNumberFormat="0" applyFont="0" applyAlignment="0" applyProtection="0"/>
    <xf numFmtId="0" fontId="5" fillId="21" borderId="0" applyNumberFormat="0" applyBorder="0" applyAlignment="0" applyProtection="0"/>
    <xf numFmtId="0" fontId="5" fillId="27" borderId="0" applyNumberFormat="0" applyBorder="0" applyAlignment="0" applyProtection="0"/>
    <xf numFmtId="0" fontId="5" fillId="22" borderId="0" applyNumberFormat="0" applyBorder="0" applyAlignment="0" applyProtection="0"/>
    <xf numFmtId="0" fontId="5" fillId="28" borderId="0" applyNumberFormat="0" applyBorder="0" applyAlignment="0" applyProtection="0"/>
    <xf numFmtId="0" fontId="5" fillId="23" borderId="0" applyNumberFormat="0" applyBorder="0" applyAlignment="0" applyProtection="0"/>
    <xf numFmtId="0" fontId="5" fillId="29" borderId="0" applyNumberFormat="0" applyBorder="0" applyAlignment="0" applyProtection="0"/>
    <xf numFmtId="0" fontId="5" fillId="24" borderId="0" applyNumberFormat="0" applyBorder="0" applyAlignment="0" applyProtection="0"/>
    <xf numFmtId="0" fontId="5" fillId="30" borderId="0" applyNumberFormat="0" applyBorder="0" applyAlignment="0" applyProtection="0"/>
    <xf numFmtId="0" fontId="5" fillId="25" borderId="0" applyNumberFormat="0" applyBorder="0" applyAlignment="0" applyProtection="0"/>
    <xf numFmtId="0" fontId="5" fillId="31" borderId="0" applyNumberFormat="0" applyBorder="0" applyAlignment="0" applyProtection="0"/>
    <xf numFmtId="0" fontId="5" fillId="26" borderId="0" applyNumberFormat="0" applyBorder="0" applyAlignment="0" applyProtection="0"/>
    <xf numFmtId="0" fontId="5" fillId="3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51" borderId="23" applyNumberFormat="0" applyFont="0" applyAlignment="0" applyProtection="0"/>
    <xf numFmtId="0" fontId="5" fillId="51" borderId="23" applyNumberFormat="0" applyFont="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10" fillId="0" borderId="0"/>
    <xf numFmtId="0" fontId="5" fillId="6" borderId="0" applyNumberFormat="0" applyBorder="0" applyAlignment="0" applyProtection="0"/>
    <xf numFmtId="0" fontId="5" fillId="2" borderId="0" applyNumberFormat="0" applyBorder="0" applyAlignment="0" applyProtection="0"/>
    <xf numFmtId="0" fontId="5" fillId="0" borderId="0"/>
    <xf numFmtId="0" fontId="5" fillId="2" borderId="0" applyNumberFormat="0" applyBorder="0" applyAlignment="0" applyProtection="0"/>
    <xf numFmtId="0" fontId="5" fillId="4"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7" borderId="0" applyNumberFormat="0" applyBorder="0" applyAlignment="0" applyProtection="0"/>
    <xf numFmtId="0" fontId="5" fillId="6"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1" borderId="0" applyNumberFormat="0" applyBorder="0" applyAlignment="0" applyProtection="0"/>
    <xf numFmtId="0" fontId="5" fillId="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22" borderId="0" applyNumberFormat="0" applyBorder="0" applyAlignment="0" applyProtection="0"/>
    <xf numFmtId="0" fontId="5" fillId="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3" borderId="0" applyNumberFormat="0" applyBorder="0" applyAlignment="0" applyProtection="0"/>
    <xf numFmtId="0" fontId="5" fillId="6"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24" borderId="0" applyNumberFormat="0" applyBorder="0" applyAlignment="0" applyProtection="0"/>
    <xf numFmtId="0" fontId="5" fillId="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26" borderId="0" applyNumberFormat="0" applyBorder="0" applyAlignment="0" applyProtection="0"/>
    <xf numFmtId="0" fontId="5" fillId="6"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27" borderId="0" applyNumberFormat="0" applyBorder="0" applyAlignment="0" applyProtection="0"/>
    <xf numFmtId="0" fontId="5" fillId="7"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29" borderId="0" applyNumberFormat="0" applyBorder="0" applyAlignment="0" applyProtection="0"/>
    <xf numFmtId="0" fontId="5" fillId="9"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30" borderId="0" applyNumberFormat="0" applyBorder="0" applyAlignment="0" applyProtection="0"/>
    <xf numFmtId="0" fontId="5" fillId="1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31" borderId="0" applyNumberFormat="0" applyBorder="0" applyAlignment="0" applyProtection="0"/>
    <xf numFmtId="0" fontId="5" fillId="7"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32" borderId="0" applyNumberFormat="0" applyBorder="0" applyAlignment="0" applyProtection="0"/>
    <xf numFmtId="0" fontId="5" fillId="6"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51" borderId="23" applyNumberFormat="0" applyFont="0" applyAlignment="0" applyProtection="0"/>
    <xf numFmtId="0" fontId="5" fillId="51" borderId="23" applyNumberFormat="0" applyFont="0" applyAlignment="0" applyProtection="0"/>
    <xf numFmtId="0" fontId="5" fillId="0" borderId="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0" fontId="5" fillId="51" borderId="23" applyNumberFormat="0" applyFont="0" applyAlignment="0" applyProtection="0"/>
    <xf numFmtId="9" fontId="5" fillId="0" borderId="0" applyFont="0" applyFill="0" applyBorder="0" applyAlignment="0" applyProtection="0"/>
    <xf numFmtId="0" fontId="10" fillId="0" borderId="0"/>
    <xf numFmtId="0" fontId="5" fillId="6" borderId="0" applyNumberFormat="0" applyBorder="0" applyAlignment="0" applyProtection="0"/>
    <xf numFmtId="0" fontId="5" fillId="7" borderId="0" applyNumberFormat="0" applyBorder="0" applyAlignment="0" applyProtection="0"/>
    <xf numFmtId="0" fontId="5" fillId="10"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4" borderId="0" applyNumberFormat="0" applyBorder="0" applyAlignment="0" applyProtection="0"/>
    <xf numFmtId="0" fontId="10" fillId="0" borderId="0"/>
    <xf numFmtId="0" fontId="10" fillId="0" borderId="0"/>
    <xf numFmtId="0" fontId="10"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51" borderId="23" applyNumberFormat="0" applyFont="0" applyAlignment="0" applyProtection="0"/>
    <xf numFmtId="0" fontId="5" fillId="21" borderId="0" applyNumberFormat="0" applyBorder="0" applyAlignment="0" applyProtection="0"/>
    <xf numFmtId="0" fontId="5" fillId="27" borderId="0" applyNumberFormat="0" applyBorder="0" applyAlignment="0" applyProtection="0"/>
    <xf numFmtId="0" fontId="5" fillId="22" borderId="0" applyNumberFormat="0" applyBorder="0" applyAlignment="0" applyProtection="0"/>
    <xf numFmtId="0" fontId="5" fillId="28" borderId="0" applyNumberFormat="0" applyBorder="0" applyAlignment="0" applyProtection="0"/>
    <xf numFmtId="0" fontId="5" fillId="23" borderId="0" applyNumberFormat="0" applyBorder="0" applyAlignment="0" applyProtection="0"/>
    <xf numFmtId="0" fontId="5" fillId="29" borderId="0" applyNumberFormat="0" applyBorder="0" applyAlignment="0" applyProtection="0"/>
    <xf numFmtId="0" fontId="5" fillId="0" borderId="0"/>
    <xf numFmtId="0" fontId="5" fillId="24" borderId="0" applyNumberFormat="0" applyBorder="0" applyAlignment="0" applyProtection="0"/>
    <xf numFmtId="0" fontId="5" fillId="30" borderId="0" applyNumberFormat="0" applyBorder="0" applyAlignment="0" applyProtection="0"/>
    <xf numFmtId="0" fontId="5" fillId="25" borderId="0" applyNumberFormat="0" applyBorder="0" applyAlignment="0" applyProtection="0"/>
    <xf numFmtId="0" fontId="5" fillId="31" borderId="0" applyNumberFormat="0" applyBorder="0" applyAlignment="0" applyProtection="0"/>
    <xf numFmtId="0" fontId="5" fillId="26" borderId="0" applyNumberFormat="0" applyBorder="0" applyAlignment="0" applyProtection="0"/>
    <xf numFmtId="0" fontId="5" fillId="32" borderId="0" applyNumberFormat="0" applyBorder="0" applyAlignment="0" applyProtection="0"/>
    <xf numFmtId="0" fontId="4" fillId="0" borderId="0"/>
    <xf numFmtId="0" fontId="4" fillId="51" borderId="23" applyNumberFormat="0" applyFont="0" applyAlignment="0" applyProtection="0"/>
    <xf numFmtId="0" fontId="4" fillId="21" borderId="0" applyNumberFormat="0" applyBorder="0" applyAlignment="0" applyProtection="0"/>
    <xf numFmtId="0" fontId="4" fillId="27" borderId="0" applyNumberFormat="0" applyBorder="0" applyAlignment="0" applyProtection="0"/>
    <xf numFmtId="0" fontId="4" fillId="22" borderId="0" applyNumberFormat="0" applyBorder="0" applyAlignment="0" applyProtection="0"/>
    <xf numFmtId="0" fontId="4" fillId="28" borderId="0" applyNumberFormat="0" applyBorder="0" applyAlignment="0" applyProtection="0"/>
    <xf numFmtId="0" fontId="4" fillId="23" borderId="0" applyNumberFormat="0" applyBorder="0" applyAlignment="0" applyProtection="0"/>
    <xf numFmtId="0" fontId="4" fillId="29" borderId="0" applyNumberFormat="0" applyBorder="0" applyAlignment="0" applyProtection="0"/>
    <xf numFmtId="0" fontId="4" fillId="24" borderId="0" applyNumberFormat="0" applyBorder="0" applyAlignment="0" applyProtection="0"/>
    <xf numFmtId="0" fontId="4" fillId="30" borderId="0" applyNumberFormat="0" applyBorder="0" applyAlignment="0" applyProtection="0"/>
    <xf numFmtId="0" fontId="4" fillId="25" borderId="0" applyNumberFormat="0" applyBorder="0" applyAlignment="0" applyProtection="0"/>
    <xf numFmtId="0" fontId="4" fillId="31" borderId="0" applyNumberFormat="0" applyBorder="0" applyAlignment="0" applyProtection="0"/>
    <xf numFmtId="0" fontId="4" fillId="26" borderId="0" applyNumberFormat="0" applyBorder="0" applyAlignment="0" applyProtection="0"/>
    <xf numFmtId="0" fontId="4" fillId="32" borderId="0" applyNumberFormat="0" applyBorder="0" applyAlignment="0" applyProtection="0"/>
    <xf numFmtId="9" fontId="17" fillId="0" borderId="0" applyFont="0" applyFill="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1" borderId="0" applyNumberFormat="0" applyBorder="0" applyAlignment="0" applyProtection="0"/>
    <xf numFmtId="0" fontId="4" fillId="2"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22" borderId="0" applyNumberFormat="0" applyBorder="0" applyAlignment="0" applyProtection="0"/>
    <xf numFmtId="0" fontId="4" fillId="4"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3" borderId="0" applyNumberFormat="0" applyBorder="0" applyAlignment="0" applyProtection="0"/>
    <xf numFmtId="0" fontId="4" fillId="6"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24" borderId="0" applyNumberFormat="0" applyBorder="0" applyAlignment="0" applyProtection="0"/>
    <xf numFmtId="0" fontId="4" fillId="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26" borderId="0" applyNumberFormat="0" applyBorder="0" applyAlignment="0" applyProtection="0"/>
    <xf numFmtId="0" fontId="4" fillId="6"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27" borderId="0" applyNumberFormat="0" applyBorder="0" applyAlignment="0" applyProtection="0"/>
    <xf numFmtId="0" fontId="4" fillId="7"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29"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29" borderId="0" applyNumberFormat="0" applyBorder="0" applyAlignment="0" applyProtection="0"/>
    <xf numFmtId="0" fontId="4" fillId="9"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30" borderId="0" applyNumberFormat="0" applyBorder="0" applyAlignment="0" applyProtection="0"/>
    <xf numFmtId="0" fontId="4" fillId="10"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31" borderId="0" applyNumberFormat="0" applyBorder="0" applyAlignment="0" applyProtection="0"/>
    <xf numFmtId="0" fontId="4" fillId="7"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32" borderId="0" applyNumberFormat="0" applyBorder="0" applyAlignment="0" applyProtection="0"/>
    <xf numFmtId="0" fontId="4" fillId="6" borderId="0" applyNumberFormat="0" applyBorder="0" applyAlignment="0" applyProtection="0"/>
    <xf numFmtId="43" fontId="10"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3" fontId="21" fillId="0" borderId="0" applyFont="0" applyFill="0" applyBorder="0" applyAlignment="0" applyProtection="0"/>
    <xf numFmtId="170" fontId="21" fillId="0" borderId="0" applyFont="0" applyFill="0" applyBorder="0" applyAlignment="0" applyProtection="0"/>
    <xf numFmtId="171" fontId="22" fillId="0" borderId="0">
      <protection locked="0"/>
    </xf>
    <xf numFmtId="0" fontId="67" fillId="0" borderId="0" applyNumberFormat="0" applyFill="0" applyBorder="0" applyAlignment="0" applyProtection="0">
      <alignment vertical="top"/>
      <protection locked="0"/>
    </xf>
    <xf numFmtId="0" fontId="4" fillId="51" borderId="23" applyNumberFormat="0" applyFont="0" applyAlignment="0" applyProtection="0"/>
    <xf numFmtId="0" fontId="4" fillId="0" borderId="0"/>
    <xf numFmtId="0" fontId="4" fillId="51" borderId="23" applyNumberFormat="0" applyFont="0" applyAlignment="0" applyProtection="0"/>
    <xf numFmtId="0" fontId="4" fillId="51" borderId="23" applyNumberFormat="0" applyFont="0" applyAlignment="0" applyProtection="0"/>
    <xf numFmtId="0" fontId="4" fillId="0" borderId="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10" fillId="0" borderId="0" applyBorder="0"/>
    <xf numFmtId="0" fontId="4" fillId="0" borderId="0"/>
    <xf numFmtId="0" fontId="4" fillId="0" borderId="0"/>
    <xf numFmtId="164" fontId="10" fillId="0" borderId="0"/>
    <xf numFmtId="164" fontId="18" fillId="0" borderId="0"/>
    <xf numFmtId="164" fontId="10" fillId="0" borderId="0" applyBorder="0"/>
    <xf numFmtId="0" fontId="4" fillId="0" borderId="0"/>
    <xf numFmtId="0" fontId="4" fillId="0" borderId="0"/>
    <xf numFmtId="0" fontId="4" fillId="0" borderId="0"/>
    <xf numFmtId="0" fontId="4" fillId="0" borderId="0"/>
    <xf numFmtId="0" fontId="4" fillId="0" borderId="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4" fillId="51" borderId="23" applyNumberFormat="0" applyFont="0" applyAlignment="0" applyProtection="0"/>
    <xf numFmtId="0" fontId="3" fillId="0" borderId="0"/>
    <xf numFmtId="0" fontId="3" fillId="51" borderId="23" applyNumberFormat="0" applyFont="0" applyAlignment="0" applyProtection="0"/>
    <xf numFmtId="0" fontId="3" fillId="21" borderId="0" applyNumberFormat="0" applyBorder="0" applyAlignment="0" applyProtection="0"/>
    <xf numFmtId="0" fontId="3" fillId="27" borderId="0" applyNumberFormat="0" applyBorder="0" applyAlignment="0" applyProtection="0"/>
    <xf numFmtId="0" fontId="3" fillId="22" borderId="0" applyNumberFormat="0" applyBorder="0" applyAlignment="0" applyProtection="0"/>
    <xf numFmtId="0" fontId="3" fillId="28" borderId="0" applyNumberFormat="0" applyBorder="0" applyAlignment="0" applyProtection="0"/>
    <xf numFmtId="0" fontId="3" fillId="23" borderId="0" applyNumberFormat="0" applyBorder="0" applyAlignment="0" applyProtection="0"/>
    <xf numFmtId="0" fontId="3" fillId="29" borderId="0" applyNumberFormat="0" applyBorder="0" applyAlignment="0" applyProtection="0"/>
    <xf numFmtId="0" fontId="3" fillId="24" borderId="0" applyNumberFormat="0" applyBorder="0" applyAlignment="0" applyProtection="0"/>
    <xf numFmtId="0" fontId="3" fillId="30" borderId="0" applyNumberFormat="0" applyBorder="0" applyAlignment="0" applyProtection="0"/>
    <xf numFmtId="0" fontId="3" fillId="25" borderId="0" applyNumberFormat="0" applyBorder="0" applyAlignment="0" applyProtection="0"/>
    <xf numFmtId="0" fontId="3" fillId="31" borderId="0" applyNumberFormat="0" applyBorder="0" applyAlignment="0" applyProtection="0"/>
    <xf numFmtId="0" fontId="3" fillId="26" borderId="0" applyNumberFormat="0" applyBorder="0" applyAlignment="0" applyProtection="0"/>
    <xf numFmtId="0" fontId="3" fillId="32" borderId="0" applyNumberFormat="0" applyBorder="0" applyAlignment="0" applyProtection="0"/>
    <xf numFmtId="0" fontId="2" fillId="0" borderId="0"/>
    <xf numFmtId="0" fontId="2" fillId="51" borderId="23" applyNumberFormat="0" applyFont="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25" borderId="0" applyNumberFormat="0" applyBorder="0" applyAlignment="0" applyProtection="0"/>
    <xf numFmtId="0" fontId="2" fillId="31" borderId="0" applyNumberFormat="0" applyBorder="0" applyAlignment="0" applyProtection="0"/>
    <xf numFmtId="0" fontId="2" fillId="26" borderId="0" applyNumberFormat="0" applyBorder="0" applyAlignment="0" applyProtection="0"/>
    <xf numFmtId="0" fontId="2" fillId="32" borderId="0" applyNumberFormat="0" applyBorder="0" applyAlignment="0" applyProtection="0"/>
    <xf numFmtId="164" fontId="10" fillId="0" borderId="0" applyBorder="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53" fillId="7"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53" fillId="10" borderId="0" applyNumberFormat="0" applyBorder="0" applyAlignment="0" applyProtection="0"/>
    <xf numFmtId="0" fontId="53" fillId="7" borderId="0" applyNumberFormat="0" applyBorder="0" applyAlignment="0" applyProtection="0"/>
    <xf numFmtId="0" fontId="53" fillId="4" borderId="0" applyNumberFormat="0" applyBorder="0" applyAlignment="0" applyProtection="0"/>
    <xf numFmtId="0" fontId="53" fillId="14"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53" fillId="17" borderId="0" applyNumberFormat="0" applyBorder="0" applyAlignment="0" applyProtection="0"/>
    <xf numFmtId="0" fontId="53" fillId="15" borderId="0" applyNumberFormat="0" applyBorder="0" applyAlignment="0" applyProtection="0"/>
    <xf numFmtId="0" fontId="54" fillId="18" borderId="0" applyNumberFormat="0" applyBorder="0" applyAlignment="0" applyProtection="0"/>
    <xf numFmtId="0" fontId="55" fillId="19" borderId="17" applyNumberFormat="0" applyAlignment="0" applyProtection="0"/>
    <xf numFmtId="43" fontId="10" fillId="0" borderId="0" applyFont="0" applyFill="0" applyBorder="0" applyAlignment="0" applyProtection="0"/>
    <xf numFmtId="0" fontId="59" fillId="7"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64" fillId="0" borderId="5" applyNumberFormat="0" applyFill="0" applyAlignment="0" applyProtection="0"/>
    <xf numFmtId="0" fontId="64" fillId="0" borderId="0" applyNumberFormat="0" applyFill="0" applyBorder="0" applyAlignment="0" applyProtection="0"/>
    <xf numFmtId="0" fontId="68" fillId="9" borderId="17" applyNumberFormat="0" applyAlignment="0" applyProtection="0"/>
    <xf numFmtId="0" fontId="69" fillId="0" borderId="7" applyNumberFormat="0" applyFill="0" applyAlignment="0" applyProtection="0"/>
    <xf numFmtId="0" fontId="71" fillId="5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74" fillId="19" borderId="24" applyNumberFormat="0" applyAlignment="0" applyProtection="0"/>
    <xf numFmtId="0" fontId="75" fillId="0" borderId="0" applyNumberFormat="0" applyFill="0" applyBorder="0" applyAlignment="0" applyProtection="0"/>
    <xf numFmtId="173" fontId="22" fillId="0" borderId="11">
      <protection locked="0"/>
    </xf>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0" borderId="0"/>
    <xf numFmtId="0" fontId="2" fillId="2"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9" fontId="2" fillId="0" borderId="0" applyFont="0" applyFill="0" applyBorder="0" applyAlignment="0" applyProtection="0"/>
    <xf numFmtId="0" fontId="2" fillId="0" borderId="0"/>
    <xf numFmtId="0" fontId="2" fillId="51" borderId="23" applyNumberFormat="0" applyFont="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25" borderId="0" applyNumberFormat="0" applyBorder="0" applyAlignment="0" applyProtection="0"/>
    <xf numFmtId="0" fontId="2" fillId="31" borderId="0" applyNumberFormat="0" applyBorder="0" applyAlignment="0" applyProtection="0"/>
    <xf numFmtId="0" fontId="2" fillId="26" borderId="0" applyNumberFormat="0" applyBorder="0" applyAlignment="0" applyProtection="0"/>
    <xf numFmtId="0" fontId="2" fillId="3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 borderId="0" applyNumberFormat="0" applyBorder="0" applyAlignment="0" applyProtection="0"/>
    <xf numFmtId="0" fontId="2" fillId="0" borderId="0"/>
    <xf numFmtId="0" fontId="2" fillId="2"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9" fontId="2" fillId="0" borderId="0" applyFont="0" applyFill="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10" borderId="0" applyNumberFormat="0" applyBorder="0" applyAlignment="0" applyProtection="0"/>
    <xf numFmtId="0" fontId="2" fillId="9"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4"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51" borderId="23" applyNumberFormat="0" applyFont="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0" borderId="0"/>
    <xf numFmtId="0" fontId="2" fillId="24" borderId="0" applyNumberFormat="0" applyBorder="0" applyAlignment="0" applyProtection="0"/>
    <xf numFmtId="0" fontId="2" fillId="30" borderId="0" applyNumberFormat="0" applyBorder="0" applyAlignment="0" applyProtection="0"/>
    <xf numFmtId="0" fontId="2" fillId="25" borderId="0" applyNumberFormat="0" applyBorder="0" applyAlignment="0" applyProtection="0"/>
    <xf numFmtId="0" fontId="2" fillId="31" borderId="0" applyNumberFormat="0" applyBorder="0" applyAlignment="0" applyProtection="0"/>
    <xf numFmtId="0" fontId="2" fillId="26" borderId="0" applyNumberFormat="0" applyBorder="0" applyAlignment="0" applyProtection="0"/>
    <xf numFmtId="0" fontId="2" fillId="32" borderId="0" applyNumberFormat="0" applyBorder="0" applyAlignment="0" applyProtection="0"/>
    <xf numFmtId="0" fontId="2" fillId="0" borderId="0"/>
    <xf numFmtId="0" fontId="2" fillId="28" borderId="0" applyNumberFormat="0" applyBorder="0" applyAlignment="0" applyProtection="0"/>
    <xf numFmtId="0" fontId="2" fillId="25"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0" borderId="0"/>
    <xf numFmtId="0" fontId="2" fillId="2"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9" fontId="2" fillId="0" borderId="0" applyFont="0" applyFill="0" applyBorder="0" applyAlignment="0" applyProtection="0"/>
    <xf numFmtId="0" fontId="2" fillId="0" borderId="0"/>
    <xf numFmtId="0" fontId="2" fillId="51" borderId="23" applyNumberFormat="0" applyFont="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25" borderId="0" applyNumberFormat="0" applyBorder="0" applyAlignment="0" applyProtection="0"/>
    <xf numFmtId="0" fontId="2" fillId="31" borderId="0" applyNumberFormat="0" applyBorder="0" applyAlignment="0" applyProtection="0"/>
    <xf numFmtId="0" fontId="2" fillId="26" borderId="0" applyNumberFormat="0" applyBorder="0" applyAlignment="0" applyProtection="0"/>
    <xf numFmtId="0" fontId="2" fillId="3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 borderId="0" applyNumberFormat="0" applyBorder="0" applyAlignment="0" applyProtection="0"/>
    <xf numFmtId="0" fontId="2" fillId="0" borderId="0"/>
    <xf numFmtId="0" fontId="2" fillId="2"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9" fontId="2" fillId="0" borderId="0" applyFont="0" applyFill="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10" borderId="0" applyNumberFormat="0" applyBorder="0" applyAlignment="0" applyProtection="0"/>
    <xf numFmtId="0" fontId="2" fillId="9" borderId="0" applyNumberFormat="0" applyBorder="0" applyAlignment="0" applyProtection="0"/>
    <xf numFmtId="0" fontId="2" fillId="7"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4"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51" borderId="23" applyNumberFormat="0" applyFont="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0" borderId="0"/>
    <xf numFmtId="0" fontId="2" fillId="24" borderId="0" applyNumberFormat="0" applyBorder="0" applyAlignment="0" applyProtection="0"/>
    <xf numFmtId="0" fontId="2" fillId="30" borderId="0" applyNumberFormat="0" applyBorder="0" applyAlignment="0" applyProtection="0"/>
    <xf numFmtId="0" fontId="2" fillId="25" borderId="0" applyNumberFormat="0" applyBorder="0" applyAlignment="0" applyProtection="0"/>
    <xf numFmtId="0" fontId="2" fillId="31" borderId="0" applyNumberFormat="0" applyBorder="0" applyAlignment="0" applyProtection="0"/>
    <xf numFmtId="0" fontId="2" fillId="26" borderId="0" applyNumberFormat="0" applyBorder="0" applyAlignment="0" applyProtection="0"/>
    <xf numFmtId="0" fontId="2" fillId="32" borderId="0" applyNumberFormat="0" applyBorder="0" applyAlignment="0" applyProtection="0"/>
    <xf numFmtId="0" fontId="2" fillId="0" borderId="0"/>
    <xf numFmtId="0" fontId="2" fillId="51" borderId="23" applyNumberFormat="0" applyFont="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25" borderId="0" applyNumberFormat="0" applyBorder="0" applyAlignment="0" applyProtection="0"/>
    <xf numFmtId="0" fontId="2" fillId="31" borderId="0" applyNumberFormat="0" applyBorder="0" applyAlignment="0" applyProtection="0"/>
    <xf numFmtId="0" fontId="2" fillId="26" borderId="0" applyNumberFormat="0" applyBorder="0" applyAlignment="0" applyProtection="0"/>
    <xf numFmtId="0" fontId="2" fillId="3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21" borderId="0" applyNumberFormat="0" applyBorder="0" applyAlignment="0" applyProtection="0"/>
    <xf numFmtId="0" fontId="2" fillId="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22" borderId="0" applyNumberFormat="0" applyBorder="0" applyAlignment="0" applyProtection="0"/>
    <xf numFmtId="0" fontId="2" fillId="4"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3" borderId="0" applyNumberFormat="0" applyBorder="0" applyAlignment="0" applyProtection="0"/>
    <xf numFmtId="0" fontId="2" fillId="6"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24" borderId="0" applyNumberFormat="0" applyBorder="0" applyAlignment="0" applyProtection="0"/>
    <xf numFmtId="0" fontId="2" fillId="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26" borderId="0" applyNumberFormat="0" applyBorder="0" applyAlignment="0" applyProtection="0"/>
    <xf numFmtId="0" fontId="2" fillId="6"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27" borderId="0" applyNumberFormat="0" applyBorder="0" applyAlignment="0" applyProtection="0"/>
    <xf numFmtId="0" fontId="2" fillId="7"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29" borderId="0" applyNumberFormat="0" applyBorder="0" applyAlignment="0" applyProtection="0"/>
    <xf numFmtId="0" fontId="2" fillId="9"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30" borderId="0" applyNumberFormat="0" applyBorder="0" applyAlignment="0" applyProtection="0"/>
    <xf numFmtId="0" fontId="2" fillId="10"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31" borderId="0" applyNumberFormat="0" applyBorder="0" applyAlignment="0" applyProtection="0"/>
    <xf numFmtId="0" fontId="2" fillId="7"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32" borderId="0" applyNumberFormat="0" applyBorder="0" applyAlignment="0" applyProtection="0"/>
    <xf numFmtId="0" fontId="2" fillId="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1" borderId="23" applyNumberFormat="0" applyFont="0" applyAlignment="0" applyProtection="0"/>
    <xf numFmtId="0" fontId="2" fillId="0" borderId="0"/>
    <xf numFmtId="0" fontId="2" fillId="51" borderId="23" applyNumberFormat="0" applyFont="0" applyAlignment="0" applyProtection="0"/>
    <xf numFmtId="0" fontId="2" fillId="51" borderId="23" applyNumberFormat="0" applyFont="0" applyAlignment="0" applyProtection="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51" borderId="23" applyNumberFormat="0" applyFont="0" applyAlignment="0" applyProtection="0"/>
    <xf numFmtId="0" fontId="2" fillId="0" borderId="0"/>
    <xf numFmtId="0" fontId="2" fillId="51" borderId="23" applyNumberFormat="0" applyFont="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25" borderId="0" applyNumberFormat="0" applyBorder="0" applyAlignment="0" applyProtection="0"/>
    <xf numFmtId="0" fontId="2" fillId="31" borderId="0" applyNumberFormat="0" applyBorder="0" applyAlignment="0" applyProtection="0"/>
    <xf numFmtId="0" fontId="2" fillId="26" borderId="0" applyNumberFormat="0" applyBorder="0" applyAlignment="0" applyProtection="0"/>
    <xf numFmtId="0" fontId="2" fillId="32" borderId="0" applyNumberFormat="0" applyBorder="0" applyAlignment="0" applyProtection="0"/>
    <xf numFmtId="164" fontId="66" fillId="0" borderId="0" applyNumberFormat="0" applyFill="0" applyBorder="0" applyAlignment="0" applyProtection="0"/>
    <xf numFmtId="0" fontId="1" fillId="0" borderId="0"/>
    <xf numFmtId="0" fontId="10" fillId="0" borderId="0"/>
    <xf numFmtId="0" fontId="1" fillId="51" borderId="23" applyNumberFormat="0" applyFont="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0" fillId="0" borderId="0"/>
    <xf numFmtId="0" fontId="10" fillId="0" borderId="0"/>
    <xf numFmtId="0" fontId="1" fillId="0" borderId="0"/>
    <xf numFmtId="0" fontId="1" fillId="0" borderId="0"/>
    <xf numFmtId="0" fontId="1" fillId="0" borderId="0"/>
    <xf numFmtId="0" fontId="1" fillId="0" borderId="0"/>
    <xf numFmtId="0" fontId="1" fillId="51" borderId="23" applyNumberFormat="0" applyFont="0" applyAlignment="0" applyProtection="0"/>
    <xf numFmtId="0" fontId="10" fillId="0" borderId="0"/>
  </cellStyleXfs>
  <cellXfs count="553">
    <xf numFmtId="164" fontId="0" fillId="0" borderId="0" xfId="0"/>
    <xf numFmtId="0" fontId="10" fillId="0" borderId="0" xfId="587"/>
    <xf numFmtId="3" fontId="10" fillId="0" borderId="0" xfId="587" applyNumberFormat="1"/>
    <xf numFmtId="0" fontId="10" fillId="0" borderId="0" xfId="587" applyAlignment="1">
      <alignment horizontal="right"/>
    </xf>
    <xf numFmtId="0" fontId="10" fillId="0" borderId="0" xfId="587" applyFont="1" applyAlignment="1">
      <alignment horizontal="right"/>
    </xf>
    <xf numFmtId="0" fontId="10" fillId="0" borderId="0" xfId="587" applyFont="1"/>
    <xf numFmtId="164" fontId="15" fillId="0" borderId="0" xfId="0" applyFont="1"/>
    <xf numFmtId="164" fontId="15" fillId="0" borderId="14" xfId="0" applyFont="1" applyBorder="1"/>
    <xf numFmtId="164" fontId="15" fillId="0" borderId="0" xfId="0" applyFont="1" applyAlignment="1">
      <alignment horizontal="right"/>
    </xf>
    <xf numFmtId="3" fontId="15" fillId="0" borderId="0" xfId="0" applyNumberFormat="1" applyFont="1"/>
    <xf numFmtId="3" fontId="10" fillId="0" borderId="0" xfId="587" applyNumberFormat="1" applyFont="1"/>
    <xf numFmtId="0" fontId="10" fillId="0" borderId="0" xfId="583"/>
    <xf numFmtId="3" fontId="15" fillId="0" borderId="0" xfId="0" applyNumberFormat="1" applyFont="1" applyBorder="1"/>
    <xf numFmtId="164" fontId="0" fillId="0" borderId="0" xfId="0" applyAlignment="1">
      <alignment horizontal="right"/>
    </xf>
    <xf numFmtId="0" fontId="10" fillId="0" borderId="0" xfId="587" quotePrefix="1" applyFont="1" applyAlignment="1">
      <alignment horizontal="right"/>
    </xf>
    <xf numFmtId="166" fontId="10" fillId="0" borderId="0" xfId="587" applyNumberFormat="1"/>
    <xf numFmtId="9" fontId="10" fillId="0" borderId="0" xfId="587" applyNumberFormat="1"/>
    <xf numFmtId="0" fontId="14" fillId="0" borderId="0" xfId="587" quotePrefix="1" applyFont="1" applyAlignment="1">
      <alignment horizontal="right"/>
    </xf>
    <xf numFmtId="3" fontId="0" fillId="0" borderId="0" xfId="0" applyNumberFormat="1"/>
    <xf numFmtId="168" fontId="10" fillId="0" borderId="0" xfId="587" applyNumberFormat="1"/>
    <xf numFmtId="164" fontId="15" fillId="0" borderId="0" xfId="0" applyFont="1" applyFill="1" applyBorder="1" applyAlignment="1">
      <alignment horizontal="right"/>
    </xf>
    <xf numFmtId="0" fontId="10" fillId="0" borderId="0" xfId="583" applyFont="1"/>
    <xf numFmtId="164" fontId="17" fillId="0" borderId="0" xfId="0" applyFont="1"/>
    <xf numFmtId="164" fontId="17" fillId="0" borderId="14" xfId="0" applyFont="1" applyBorder="1"/>
    <xf numFmtId="164" fontId="17" fillId="0" borderId="0" xfId="0" applyFont="1" applyBorder="1"/>
    <xf numFmtId="164" fontId="17" fillId="0" borderId="14" xfId="0" applyFont="1" applyBorder="1" applyAlignment="1"/>
    <xf numFmtId="164" fontId="19" fillId="0" borderId="14" xfId="0" applyFont="1" applyBorder="1" applyAlignment="1"/>
    <xf numFmtId="164" fontId="17" fillId="0" borderId="0" xfId="0" applyFont="1" applyAlignment="1">
      <alignment horizontal="left"/>
    </xf>
    <xf numFmtId="164" fontId="17" fillId="0" borderId="0" xfId="0" applyFont="1" applyBorder="1" applyAlignment="1">
      <alignment horizontal="center"/>
    </xf>
    <xf numFmtId="164" fontId="17" fillId="0" borderId="0" xfId="0" applyFont="1" applyBorder="1" applyAlignment="1">
      <alignment horizontal="left"/>
    </xf>
    <xf numFmtId="164" fontId="17" fillId="0" borderId="14" xfId="0" applyFont="1" applyBorder="1" applyAlignment="1">
      <alignment horizontal="left"/>
    </xf>
    <xf numFmtId="164" fontId="17" fillId="0" borderId="14" xfId="0" applyFont="1" applyBorder="1" applyAlignment="1">
      <alignment horizontal="center"/>
    </xf>
    <xf numFmtId="1" fontId="17" fillId="0" borderId="0" xfId="324" applyNumberFormat="1" applyFont="1" applyAlignment="1">
      <alignment horizontal="left"/>
    </xf>
    <xf numFmtId="3" fontId="20" fillId="0" borderId="0" xfId="0" applyNumberFormat="1" applyFont="1" applyAlignment="1">
      <alignment horizontal="right"/>
    </xf>
    <xf numFmtId="3" fontId="20" fillId="0" borderId="0" xfId="0" applyNumberFormat="1" applyFont="1" applyAlignment="1"/>
    <xf numFmtId="3" fontId="17" fillId="0" borderId="0" xfId="0" applyNumberFormat="1" applyFont="1" applyAlignment="1"/>
    <xf numFmtId="167" fontId="17" fillId="0" borderId="0" xfId="0" applyNumberFormat="1" applyFont="1" applyAlignment="1"/>
    <xf numFmtId="164" fontId="17" fillId="0" borderId="0" xfId="0" applyFont="1" applyAlignment="1">
      <alignment horizontal="center"/>
    </xf>
    <xf numFmtId="3" fontId="10" fillId="0" borderId="0" xfId="581" applyNumberFormat="1"/>
    <xf numFmtId="3" fontId="26" fillId="0" borderId="0" xfId="580" applyNumberFormat="1" applyFont="1" applyFill="1"/>
    <xf numFmtId="3" fontId="10" fillId="0" borderId="0" xfId="582" applyNumberFormat="1"/>
    <xf numFmtId="37" fontId="17" fillId="0" borderId="0" xfId="584" applyNumberFormat="1" applyFont="1" applyProtection="1"/>
    <xf numFmtId="164" fontId="11" fillId="0" borderId="0" xfId="0" applyFont="1" applyAlignment="1">
      <alignment horizontal="center"/>
    </xf>
    <xf numFmtId="164" fontId="11" fillId="0" borderId="0" xfId="0" applyFont="1"/>
    <xf numFmtId="0" fontId="11" fillId="0" borderId="0" xfId="583" applyFont="1"/>
    <xf numFmtId="165" fontId="17" fillId="0" borderId="0" xfId="559" applyNumberFormat="1" applyFont="1" applyAlignment="1">
      <alignment horizontal="right"/>
    </xf>
    <xf numFmtId="167" fontId="17" fillId="0" borderId="0" xfId="585" applyNumberFormat="1" applyFont="1"/>
    <xf numFmtId="3" fontId="29" fillId="0" borderId="0" xfId="475" applyNumberFormat="1" applyFont="1"/>
    <xf numFmtId="3" fontId="11" fillId="0" borderId="0" xfId="586" applyNumberFormat="1" applyFont="1"/>
    <xf numFmtId="164" fontId="17" fillId="0" borderId="15" xfId="0" applyFont="1" applyBorder="1"/>
    <xf numFmtId="3" fontId="17" fillId="0" borderId="0" xfId="559" applyNumberFormat="1" applyFont="1" applyAlignment="1">
      <alignment horizontal="right"/>
    </xf>
    <xf numFmtId="3" fontId="10" fillId="0" borderId="0" xfId="494" applyNumberFormat="1"/>
    <xf numFmtId="3" fontId="17" fillId="0" borderId="0" xfId="518" applyNumberFormat="1" applyFont="1" applyAlignment="1"/>
    <xf numFmtId="4" fontId="17" fillId="0" borderId="0" xfId="519" applyNumberFormat="1" applyFont="1" applyAlignment="1">
      <alignment horizontal="right"/>
    </xf>
    <xf numFmtId="165" fontId="17" fillId="0" borderId="0" xfId="559" applyNumberFormat="1" applyFont="1" applyBorder="1" applyAlignment="1">
      <alignment horizontal="right"/>
    </xf>
    <xf numFmtId="166" fontId="10" fillId="0" borderId="0" xfId="587" applyNumberFormat="1" applyFont="1"/>
    <xf numFmtId="3" fontId="10" fillId="0" borderId="0" xfId="524" applyNumberFormat="1"/>
    <xf numFmtId="3" fontId="17" fillId="0" borderId="0" xfId="521" applyNumberFormat="1" applyFont="1" applyAlignment="1">
      <alignment horizontal="right"/>
    </xf>
    <xf numFmtId="1" fontId="17" fillId="0" borderId="0" xfId="324" applyNumberFormat="1" applyFont="1" applyBorder="1" applyAlignment="1">
      <alignment horizontal="left"/>
    </xf>
    <xf numFmtId="3" fontId="10" fillId="0" borderId="0" xfId="523" applyNumberFormat="1"/>
    <xf numFmtId="169" fontId="10" fillId="0" borderId="0" xfId="523" applyNumberFormat="1"/>
    <xf numFmtId="3" fontId="10" fillId="0" borderId="0" xfId="537" applyNumberFormat="1"/>
    <xf numFmtId="3" fontId="10" fillId="0" borderId="0" xfId="542" applyNumberFormat="1"/>
    <xf numFmtId="3" fontId="10" fillId="0" borderId="0" xfId="587" applyNumberFormat="1" applyFill="1"/>
    <xf numFmtId="164" fontId="17" fillId="0" borderId="0" xfId="0" applyFont="1" applyFill="1" applyBorder="1" applyAlignment="1">
      <alignment horizontal="center"/>
    </xf>
    <xf numFmtId="3" fontId="15" fillId="0" borderId="0" xfId="0" applyNumberFormat="1" applyFont="1" applyAlignment="1">
      <alignment horizontal="center"/>
    </xf>
    <xf numFmtId="164" fontId="11" fillId="0" borderId="0" xfId="0" applyFont="1" applyAlignment="1">
      <alignment horizontal="left"/>
    </xf>
    <xf numFmtId="3" fontId="10" fillId="0" borderId="0" xfId="587" applyNumberFormat="1" applyFont="1" applyFill="1"/>
    <xf numFmtId="3" fontId="10" fillId="0" borderId="0" xfId="587" applyNumberFormat="1" applyAlignment="1">
      <alignment horizontal="right"/>
    </xf>
    <xf numFmtId="0" fontId="17" fillId="0" borderId="0" xfId="583" applyFont="1"/>
    <xf numFmtId="1" fontId="17" fillId="0" borderId="16" xfId="0" applyNumberFormat="1" applyFont="1" applyBorder="1" applyAlignment="1">
      <alignment vertical="center"/>
    </xf>
    <xf numFmtId="3" fontId="17" fillId="0" borderId="16" xfId="0" applyNumberFormat="1" applyFont="1" applyBorder="1" applyAlignment="1">
      <alignment vertical="center"/>
    </xf>
    <xf numFmtId="167" fontId="17" fillId="0" borderId="16" xfId="0" applyNumberFormat="1" applyFont="1" applyBorder="1" applyAlignment="1">
      <alignment vertical="center"/>
    </xf>
    <xf numFmtId="164" fontId="17" fillId="0" borderId="15" xfId="0" applyFont="1" applyBorder="1" applyAlignment="1">
      <alignment horizontal="center"/>
    </xf>
    <xf numFmtId="164" fontId="17" fillId="0" borderId="16" xfId="0" applyFont="1" applyBorder="1" applyAlignment="1">
      <alignment horizontal="center"/>
    </xf>
    <xf numFmtId="164" fontId="19" fillId="0" borderId="16" xfId="0" applyFont="1" applyBorder="1" applyAlignment="1">
      <alignment horizontal="center"/>
    </xf>
    <xf numFmtId="164" fontId="47" fillId="0" borderId="0" xfId="0" applyFont="1"/>
    <xf numFmtId="167" fontId="17" fillId="0" borderId="0" xfId="0" applyNumberFormat="1" applyFont="1"/>
    <xf numFmtId="167" fontId="17" fillId="0" borderId="0" xfId="0" applyNumberFormat="1" applyFont="1" applyBorder="1"/>
    <xf numFmtId="164" fontId="17" fillId="0" borderId="16" xfId="0" applyFont="1" applyBorder="1" applyAlignment="1">
      <alignment vertical="center"/>
    </xf>
    <xf numFmtId="167" fontId="17" fillId="0" borderId="16" xfId="585" applyNumberFormat="1" applyFont="1" applyBorder="1" applyAlignment="1">
      <alignment vertical="center"/>
    </xf>
    <xf numFmtId="164" fontId="15" fillId="0" borderId="0" xfId="0" applyFont="1" applyBorder="1"/>
    <xf numFmtId="164" fontId="17" fillId="0" borderId="16" xfId="0" applyFont="1" applyBorder="1"/>
    <xf numFmtId="164" fontId="11" fillId="0" borderId="15" xfId="0" applyFont="1" applyBorder="1"/>
    <xf numFmtId="164" fontId="11" fillId="0" borderId="16" xfId="0" applyFont="1" applyBorder="1"/>
    <xf numFmtId="164" fontId="11" fillId="0" borderId="14" xfId="0" applyFont="1" applyBorder="1"/>
    <xf numFmtId="164" fontId="11" fillId="0" borderId="14" xfId="0" applyFont="1" applyBorder="1" applyAlignment="1">
      <alignment horizontal="center"/>
    </xf>
    <xf numFmtId="3" fontId="11" fillId="0" borderId="0" xfId="585" applyNumberFormat="1" applyFont="1"/>
    <xf numFmtId="3" fontId="11" fillId="0" borderId="0" xfId="0" applyNumberFormat="1" applyFont="1"/>
    <xf numFmtId="164" fontId="11" fillId="0" borderId="0" xfId="0" applyFont="1" applyBorder="1" applyAlignment="1">
      <alignment horizontal="left"/>
    </xf>
    <xf numFmtId="3" fontId="11" fillId="0" borderId="0" xfId="585" applyNumberFormat="1" applyFont="1" applyBorder="1"/>
    <xf numFmtId="3" fontId="11" fillId="0" borderId="0" xfId="586" applyNumberFormat="1" applyFont="1" applyBorder="1"/>
    <xf numFmtId="3" fontId="11" fillId="0" borderId="0" xfId="0" applyNumberFormat="1" applyFont="1" applyBorder="1"/>
    <xf numFmtId="3" fontId="11" fillId="0" borderId="14" xfId="585" applyNumberFormat="1" applyFont="1" applyBorder="1"/>
    <xf numFmtId="0" fontId="79" fillId="0" borderId="0" xfId="671"/>
    <xf numFmtId="165" fontId="79" fillId="0" borderId="0" xfId="671" applyNumberFormat="1"/>
    <xf numFmtId="165" fontId="17" fillId="0" borderId="16" xfId="671" applyNumberFormat="1" applyFont="1" applyBorder="1" applyAlignment="1" applyProtection="1">
      <alignment horizontal="center"/>
    </xf>
    <xf numFmtId="165" fontId="17" fillId="0" borderId="16" xfId="671" applyNumberFormat="1" applyFont="1" applyBorder="1" applyAlignment="1" applyProtection="1">
      <alignment horizontal="right"/>
    </xf>
    <xf numFmtId="0" fontId="17" fillId="0" borderId="16" xfId="671" applyFont="1" applyBorder="1"/>
    <xf numFmtId="0" fontId="17" fillId="0" borderId="16" xfId="671" applyFont="1" applyBorder="1" applyAlignment="1" applyProtection="1">
      <alignment horizontal="left"/>
    </xf>
    <xf numFmtId="165" fontId="17" fillId="0" borderId="0" xfId="671" applyNumberFormat="1" applyFont="1" applyAlignment="1" applyProtection="1">
      <alignment horizontal="center"/>
    </xf>
    <xf numFmtId="165" fontId="17" fillId="0" borderId="0" xfId="671" applyNumberFormat="1" applyFont="1" applyAlignment="1" applyProtection="1">
      <alignment horizontal="right"/>
    </xf>
    <xf numFmtId="0" fontId="17" fillId="0" borderId="0" xfId="671" applyFont="1" applyAlignment="1">
      <alignment horizontal="left"/>
    </xf>
    <xf numFmtId="0" fontId="17" fillId="0" borderId="0" xfId="671" applyFont="1" applyAlignment="1" applyProtection="1">
      <alignment horizontal="left"/>
    </xf>
    <xf numFmtId="0" fontId="17" fillId="0" borderId="14" xfId="671" applyFont="1" applyBorder="1" applyAlignment="1" applyProtection="1">
      <alignment horizontal="center"/>
    </xf>
    <xf numFmtId="0" fontId="17" fillId="0" borderId="0" xfId="671" applyFont="1" applyAlignment="1" applyProtection="1">
      <alignment horizontal="center"/>
    </xf>
    <xf numFmtId="0" fontId="17" fillId="0" borderId="0" xfId="671" applyFont="1" applyAlignment="1">
      <alignment horizontal="center"/>
    </xf>
    <xf numFmtId="0" fontId="47" fillId="0" borderId="0" xfId="671" applyFont="1"/>
    <xf numFmtId="0" fontId="17" fillId="0" borderId="15" xfId="671" applyFont="1" applyBorder="1" applyAlignment="1" applyProtection="1">
      <alignment horizontal="center"/>
    </xf>
    <xf numFmtId="0" fontId="17" fillId="0" borderId="15" xfId="671" applyFont="1" applyBorder="1" applyAlignment="1">
      <alignment horizontal="center"/>
    </xf>
    <xf numFmtId="0" fontId="17" fillId="0" borderId="0" xfId="671" applyFont="1"/>
    <xf numFmtId="3" fontId="79" fillId="0" borderId="0" xfId="671" applyNumberFormat="1"/>
    <xf numFmtId="3" fontId="17" fillId="0" borderId="16" xfId="671" applyNumberFormat="1" applyFont="1" applyBorder="1" applyAlignment="1" applyProtection="1">
      <alignment horizontal="right"/>
    </xf>
    <xf numFmtId="3" fontId="17" fillId="0" borderId="16" xfId="671" applyNumberFormat="1" applyFont="1" applyBorder="1"/>
    <xf numFmtId="0" fontId="17" fillId="0" borderId="16" xfId="671" applyFont="1" applyBorder="1" applyAlignment="1" applyProtection="1">
      <alignment horizontal="center"/>
    </xf>
    <xf numFmtId="3" fontId="17" fillId="0" borderId="0" xfId="671" applyNumberFormat="1" applyFont="1" applyAlignment="1" applyProtection="1">
      <alignment horizontal="right"/>
    </xf>
    <xf numFmtId="0" fontId="19" fillId="0" borderId="0" xfId="671" applyFont="1" applyBorder="1" applyAlignment="1" applyProtection="1">
      <alignment horizontal="fill"/>
    </xf>
    <xf numFmtId="164" fontId="12" fillId="0" borderId="0" xfId="1143"/>
    <xf numFmtId="165" fontId="11" fillId="53" borderId="16" xfId="324" applyNumberFormat="1" applyFont="1" applyFill="1" applyBorder="1"/>
    <xf numFmtId="177" fontId="11" fillId="53" borderId="16" xfId="1143" applyNumberFormat="1" applyFont="1" applyFill="1" applyBorder="1"/>
    <xf numFmtId="164" fontId="11" fillId="53" borderId="16" xfId="1143" applyFont="1" applyFill="1" applyBorder="1" applyAlignment="1">
      <alignment horizontal="left"/>
    </xf>
    <xf numFmtId="165" fontId="11" fillId="53" borderId="0" xfId="324" applyNumberFormat="1" applyFont="1" applyFill="1"/>
    <xf numFmtId="177" fontId="11" fillId="53" borderId="0" xfId="1143" applyNumberFormat="1" applyFont="1" applyFill="1"/>
    <xf numFmtId="1" fontId="11" fillId="53" borderId="0" xfId="1143" applyNumberFormat="1" applyFont="1" applyFill="1" applyAlignment="1">
      <alignment horizontal="left"/>
    </xf>
    <xf numFmtId="3" fontId="11" fillId="53" borderId="14" xfId="1143" applyNumberFormat="1" applyFont="1" applyFill="1" applyBorder="1" applyAlignment="1">
      <alignment horizontal="center"/>
    </xf>
    <xf numFmtId="164" fontId="11" fillId="53" borderId="14" xfId="1143" applyFont="1" applyFill="1" applyBorder="1" applyAlignment="1">
      <alignment horizontal="center"/>
    </xf>
    <xf numFmtId="164" fontId="11" fillId="53" borderId="14" xfId="1143" applyFont="1" applyFill="1" applyBorder="1"/>
    <xf numFmtId="3" fontId="11" fillId="53" borderId="0" xfId="1143" applyNumberFormat="1" applyFont="1" applyFill="1" applyAlignment="1">
      <alignment horizontal="center"/>
    </xf>
    <xf numFmtId="164" fontId="11" fillId="53" borderId="0" xfId="1143" applyFont="1" applyFill="1" applyAlignment="1">
      <alignment horizontal="center"/>
    </xf>
    <xf numFmtId="164" fontId="11" fillId="53" borderId="0" xfId="1143" applyFont="1" applyFill="1"/>
    <xf numFmtId="164" fontId="11" fillId="53" borderId="16" xfId="1143" applyFont="1" applyFill="1" applyBorder="1"/>
    <xf numFmtId="164" fontId="11" fillId="53" borderId="15" xfId="1143" applyFont="1" applyFill="1" applyBorder="1" applyAlignment="1">
      <alignment horizontal="center"/>
    </xf>
    <xf numFmtId="164" fontId="11" fillId="53" borderId="15" xfId="1143" applyFont="1" applyFill="1" applyBorder="1"/>
    <xf numFmtId="164" fontId="17" fillId="53" borderId="0" xfId="1143" applyFont="1" applyFill="1"/>
    <xf numFmtId="3" fontId="17" fillId="53" borderId="0" xfId="330" applyNumberFormat="1" applyFont="1" applyFill="1"/>
    <xf numFmtId="1" fontId="17" fillId="53" borderId="0" xfId="330" applyNumberFormat="1" applyFont="1" applyFill="1"/>
    <xf numFmtId="3" fontId="79" fillId="0" borderId="0" xfId="671" applyNumberFormat="1" applyAlignment="1">
      <alignment horizontal="center"/>
    </xf>
    <xf numFmtId="3" fontId="17" fillId="53" borderId="0" xfId="324" applyNumberFormat="1" applyFont="1" applyFill="1"/>
    <xf numFmtId="1" fontId="17" fillId="53" borderId="0" xfId="1143" applyNumberFormat="1" applyFont="1" applyFill="1" applyAlignment="1">
      <alignment horizontal="left"/>
    </xf>
    <xf numFmtId="3" fontId="11" fillId="53" borderId="16" xfId="324" applyNumberFormat="1" applyFont="1" applyFill="1" applyBorder="1" applyAlignment="1">
      <alignment horizontal="center"/>
    </xf>
    <xf numFmtId="3" fontId="11" fillId="53" borderId="16" xfId="324" applyNumberFormat="1" applyFont="1" applyFill="1" applyBorder="1"/>
    <xf numFmtId="3" fontId="11" fillId="53" borderId="0" xfId="324" applyNumberFormat="1" applyFont="1" applyFill="1" applyAlignment="1">
      <alignment horizontal="center"/>
    </xf>
    <xf numFmtId="3" fontId="11" fillId="53" borderId="0" xfId="324" applyNumberFormat="1" applyFont="1" applyFill="1"/>
    <xf numFmtId="1" fontId="11" fillId="53" borderId="0" xfId="324" applyNumberFormat="1" applyFont="1" applyFill="1"/>
    <xf numFmtId="169" fontId="11" fillId="53" borderId="0" xfId="324" applyNumberFormat="1" applyFont="1" applyFill="1"/>
    <xf numFmtId="3" fontId="11" fillId="53" borderId="0" xfId="324" applyNumberFormat="1" applyFont="1" applyFill="1" applyAlignment="1"/>
    <xf numFmtId="164" fontId="11" fillId="53" borderId="0" xfId="1143" applyFont="1" applyFill="1" applyAlignment="1">
      <alignment horizontal="left"/>
    </xf>
    <xf numFmtId="1" fontId="28" fillId="0" borderId="0" xfId="584"/>
    <xf numFmtId="1" fontId="28" fillId="0" borderId="0" xfId="584" applyAlignment="1">
      <alignment horizontal="center"/>
    </xf>
    <xf numFmtId="1" fontId="28" fillId="0" borderId="0" xfId="584" applyAlignment="1"/>
    <xf numFmtId="165" fontId="11" fillId="0" borderId="16" xfId="584" applyNumberFormat="1" applyFont="1" applyBorder="1" applyAlignment="1" applyProtection="1">
      <alignment horizontal="center"/>
    </xf>
    <xf numFmtId="165" fontId="11" fillId="0" borderId="16" xfId="584" applyNumberFormat="1" applyFont="1" applyBorder="1" applyProtection="1"/>
    <xf numFmtId="37" fontId="11" fillId="0" borderId="16" xfId="584" applyNumberFormat="1" applyFont="1" applyBorder="1" applyProtection="1"/>
    <xf numFmtId="1" fontId="11" fillId="0" borderId="16" xfId="584" applyFont="1" applyBorder="1" applyAlignment="1" applyProtection="1">
      <alignment horizontal="center"/>
    </xf>
    <xf numFmtId="165" fontId="11" fillId="0" borderId="0" xfId="584" applyNumberFormat="1" applyFont="1" applyAlignment="1" applyProtection="1">
      <alignment horizontal="center"/>
    </xf>
    <xf numFmtId="165" fontId="11" fillId="0" borderId="0" xfId="584" applyNumberFormat="1" applyFont="1" applyProtection="1"/>
    <xf numFmtId="37" fontId="11" fillId="0" borderId="0" xfId="584" applyNumberFormat="1" applyFont="1" applyProtection="1"/>
    <xf numFmtId="1" fontId="11" fillId="0" borderId="0" xfId="584" applyFont="1" applyAlignment="1">
      <alignment horizontal="center"/>
    </xf>
    <xf numFmtId="0" fontId="11" fillId="0" borderId="14" xfId="462" applyFont="1" applyBorder="1" applyAlignment="1">
      <alignment horizontal="center"/>
    </xf>
    <xf numFmtId="0" fontId="11" fillId="0" borderId="0" xfId="462" applyFont="1" applyBorder="1" applyAlignment="1">
      <alignment horizontal="center"/>
    </xf>
    <xf numFmtId="0" fontId="11" fillId="0" borderId="0" xfId="462" applyFont="1" applyAlignment="1">
      <alignment horizontal="center"/>
    </xf>
    <xf numFmtId="0" fontId="11" fillId="0" borderId="16" xfId="462" applyFont="1" applyBorder="1" applyAlignment="1"/>
    <xf numFmtId="0" fontId="81" fillId="0" borderId="16" xfId="462" applyFont="1" applyBorder="1" applyAlignment="1"/>
    <xf numFmtId="0" fontId="11" fillId="0" borderId="15" xfId="462" applyFont="1" applyBorder="1" applyAlignment="1">
      <alignment horizontal="center"/>
    </xf>
    <xf numFmtId="1" fontId="17" fillId="0" borderId="0" xfId="584" applyFont="1"/>
    <xf numFmtId="1" fontId="17" fillId="0" borderId="0" xfId="584" applyFont="1" applyAlignment="1"/>
    <xf numFmtId="1" fontId="17" fillId="0" borderId="0" xfId="584" applyFont="1" applyAlignment="1" applyProtection="1">
      <alignment horizontal="left"/>
    </xf>
    <xf numFmtId="0" fontId="47" fillId="0" borderId="0" xfId="671" applyFont="1" applyAlignment="1">
      <alignment horizontal="left"/>
    </xf>
    <xf numFmtId="37" fontId="17" fillId="0" borderId="0" xfId="584" applyNumberFormat="1" applyFont="1" applyBorder="1" applyProtection="1"/>
    <xf numFmtId="37" fontId="17" fillId="0" borderId="0" xfId="584" applyNumberFormat="1" applyFont="1" applyBorder="1" applyAlignment="1" applyProtection="1"/>
    <xf numFmtId="37" fontId="17" fillId="0" borderId="0" xfId="584" applyNumberFormat="1" applyFont="1" applyBorder="1" applyAlignment="1" applyProtection="1">
      <alignment horizontal="center"/>
    </xf>
    <xf numFmtId="37" fontId="11" fillId="0" borderId="16" xfId="584" applyNumberFormat="1" applyFont="1" applyBorder="1" applyAlignment="1" applyProtection="1">
      <alignment horizontal="right"/>
    </xf>
    <xf numFmtId="37" fontId="11" fillId="0" borderId="16" xfId="584" applyNumberFormat="1" applyFont="1" applyBorder="1" applyAlignment="1" applyProtection="1">
      <alignment horizontal="center"/>
    </xf>
    <xf numFmtId="37" fontId="11" fillId="0" borderId="0" xfId="584" applyNumberFormat="1" applyFont="1" applyAlignment="1" applyProtection="1">
      <alignment horizontal="right"/>
    </xf>
    <xf numFmtId="37" fontId="11" fillId="0" borderId="0" xfId="584" applyNumberFormat="1" applyFont="1" applyAlignment="1" applyProtection="1">
      <alignment horizontal="center"/>
    </xf>
    <xf numFmtId="178" fontId="11" fillId="0" borderId="0" xfId="584" applyNumberFormat="1" applyFont="1" applyAlignment="1">
      <alignment horizontal="center"/>
    </xf>
    <xf numFmtId="0" fontId="17" fillId="0" borderId="0" xfId="462" applyFont="1" applyBorder="1"/>
    <xf numFmtId="0" fontId="17" fillId="0" borderId="0" xfId="462" applyFont="1" applyBorder="1" applyAlignment="1">
      <alignment horizontal="center"/>
    </xf>
    <xf numFmtId="0" fontId="10" fillId="0" borderId="0" xfId="462"/>
    <xf numFmtId="167" fontId="11" fillId="0" borderId="16" xfId="462" applyNumberFormat="1" applyFont="1" applyBorder="1" applyAlignment="1">
      <alignment horizontal="center"/>
    </xf>
    <xf numFmtId="167" fontId="11" fillId="0" borderId="16" xfId="462" applyNumberFormat="1" applyFont="1" applyBorder="1" applyAlignment="1"/>
    <xf numFmtId="3" fontId="11" fillId="0" borderId="16" xfId="462" applyNumberFormat="1" applyFont="1" applyBorder="1" applyAlignment="1"/>
    <xf numFmtId="1" fontId="11" fillId="0" borderId="16" xfId="462" applyNumberFormat="1" applyFont="1" applyBorder="1" applyAlignment="1"/>
    <xf numFmtId="167" fontId="11" fillId="0" borderId="0" xfId="462" applyNumberFormat="1" applyFont="1" applyAlignment="1">
      <alignment horizontal="center"/>
    </xf>
    <xf numFmtId="167" fontId="11" fillId="0" borderId="0" xfId="462" applyNumberFormat="1" applyFont="1" applyAlignment="1"/>
    <xf numFmtId="167" fontId="11" fillId="0" borderId="0" xfId="462" applyNumberFormat="1" applyFont="1" applyAlignment="1">
      <alignment horizontal="right"/>
    </xf>
    <xf numFmtId="1" fontId="11" fillId="0" borderId="0" xfId="325" applyNumberFormat="1" applyFont="1" applyBorder="1" applyAlignment="1">
      <alignment horizontal="left"/>
    </xf>
    <xf numFmtId="3" fontId="11" fillId="0" borderId="0" xfId="462" applyNumberFormat="1" applyFont="1" applyAlignment="1">
      <alignment horizontal="right"/>
    </xf>
    <xf numFmtId="1" fontId="11" fillId="0" borderId="0" xfId="325" applyNumberFormat="1" applyFont="1" applyAlignment="1">
      <alignment horizontal="left"/>
    </xf>
    <xf numFmtId="0" fontId="11" fillId="0" borderId="14" xfId="462" applyFont="1" applyBorder="1" applyAlignment="1">
      <alignment horizontal="left"/>
    </xf>
    <xf numFmtId="0" fontId="11" fillId="0" borderId="0" xfId="462" applyFont="1"/>
    <xf numFmtId="0" fontId="11" fillId="0" borderId="15" xfId="462" applyFont="1" applyBorder="1"/>
    <xf numFmtId="0" fontId="17" fillId="0" borderId="0" xfId="462" applyFont="1"/>
    <xf numFmtId="3" fontId="17" fillId="0" borderId="0" xfId="462" applyNumberFormat="1" applyFont="1" applyBorder="1" applyAlignment="1"/>
    <xf numFmtId="3" fontId="17" fillId="0" borderId="16" xfId="462" applyNumberFormat="1" applyFont="1" applyBorder="1" applyAlignment="1"/>
    <xf numFmtId="1" fontId="17" fillId="0" borderId="16" xfId="462" applyNumberFormat="1" applyFont="1" applyBorder="1" applyAlignment="1"/>
    <xf numFmtId="3" fontId="17" fillId="0" borderId="0" xfId="462" applyNumberFormat="1" applyFont="1" applyBorder="1" applyAlignment="1">
      <alignment horizontal="right"/>
    </xf>
    <xf numFmtId="1" fontId="17" fillId="0" borderId="0" xfId="325" applyNumberFormat="1" applyFont="1" applyBorder="1" applyAlignment="1">
      <alignment horizontal="left"/>
    </xf>
    <xf numFmtId="3" fontId="17" fillId="0" borderId="0" xfId="462" applyNumberFormat="1" applyFont="1" applyAlignment="1">
      <alignment horizontal="right"/>
    </xf>
    <xf numFmtId="1" fontId="17" fillId="0" borderId="0" xfId="325" applyNumberFormat="1" applyFont="1" applyAlignment="1">
      <alignment horizontal="left"/>
    </xf>
    <xf numFmtId="0" fontId="17" fillId="0" borderId="14" xfId="462" applyFont="1" applyBorder="1" applyAlignment="1">
      <alignment horizontal="center"/>
    </xf>
    <xf numFmtId="0" fontId="17" fillId="0" borderId="14" xfId="462" applyFont="1" applyBorder="1" applyAlignment="1">
      <alignment horizontal="left"/>
    </xf>
    <xf numFmtId="0" fontId="17" fillId="0" borderId="0" xfId="462" applyFont="1" applyAlignment="1">
      <alignment horizontal="center"/>
    </xf>
    <xf numFmtId="0" fontId="17" fillId="0" borderId="16" xfId="462" applyFont="1" applyBorder="1" applyAlignment="1"/>
    <xf numFmtId="0" fontId="19" fillId="0" borderId="16" xfId="462" applyFont="1" applyBorder="1" applyAlignment="1"/>
    <xf numFmtId="0" fontId="17" fillId="0" borderId="15" xfId="462" applyFont="1" applyBorder="1" applyAlignment="1">
      <alignment horizontal="center"/>
    </xf>
    <xf numFmtId="0" fontId="17" fillId="0" borderId="15" xfId="462" applyFont="1" applyBorder="1"/>
    <xf numFmtId="167" fontId="17" fillId="0" borderId="0" xfId="462" applyNumberFormat="1" applyFont="1" applyAlignment="1"/>
    <xf numFmtId="167" fontId="17" fillId="0" borderId="16" xfId="462" applyNumberFormat="1" applyFont="1" applyBorder="1" applyAlignment="1">
      <alignment horizontal="center"/>
    </xf>
    <xf numFmtId="167" fontId="17" fillId="0" borderId="16" xfId="462" applyNumberFormat="1" applyFont="1" applyBorder="1" applyAlignment="1">
      <alignment horizontal="right"/>
    </xf>
    <xf numFmtId="167" fontId="17" fillId="0" borderId="16" xfId="462" applyNumberFormat="1" applyFont="1" applyBorder="1" applyAlignment="1"/>
    <xf numFmtId="0" fontId="10" fillId="0" borderId="0" xfId="462" applyAlignment="1">
      <alignment horizontal="center"/>
    </xf>
    <xf numFmtId="167" fontId="17" fillId="0" borderId="0" xfId="462" applyNumberFormat="1" applyFont="1" applyBorder="1" applyAlignment="1">
      <alignment horizontal="center"/>
    </xf>
    <xf numFmtId="167" fontId="17" fillId="0" borderId="0" xfId="462" applyNumberFormat="1" applyFont="1" applyBorder="1" applyAlignment="1">
      <alignment horizontal="right"/>
    </xf>
    <xf numFmtId="167" fontId="17" fillId="0" borderId="0" xfId="462" applyNumberFormat="1" applyFont="1" applyBorder="1" applyAlignment="1"/>
    <xf numFmtId="167" fontId="17" fillId="0" borderId="0" xfId="462" applyNumberFormat="1" applyFont="1" applyAlignment="1">
      <alignment horizontal="center"/>
    </xf>
    <xf numFmtId="167" fontId="17" fillId="0" borderId="0" xfId="462" applyNumberFormat="1" applyFont="1" applyAlignment="1">
      <alignment horizontal="right"/>
    </xf>
    <xf numFmtId="3" fontId="17" fillId="0" borderId="0" xfId="462" applyNumberFormat="1" applyFont="1" applyAlignment="1"/>
    <xf numFmtId="3" fontId="10" fillId="0" borderId="0" xfId="462" applyNumberFormat="1"/>
    <xf numFmtId="3" fontId="17" fillId="0" borderId="0" xfId="671" applyNumberFormat="1" applyFont="1" applyAlignment="1"/>
    <xf numFmtId="0" fontId="82" fillId="0" borderId="0" xfId="456" applyFont="1"/>
    <xf numFmtId="0" fontId="82" fillId="0" borderId="14" xfId="456" applyFont="1" applyBorder="1" applyAlignment="1">
      <alignment horizontal="center"/>
    </xf>
    <xf numFmtId="0" fontId="82" fillId="0" borderId="14" xfId="456" applyFont="1" applyBorder="1"/>
    <xf numFmtId="0" fontId="82" fillId="0" borderId="0" xfId="456" applyFont="1" applyAlignment="1">
      <alignment horizontal="center"/>
    </xf>
    <xf numFmtId="3" fontId="82" fillId="0" borderId="14" xfId="456" applyNumberFormat="1" applyFont="1" applyBorder="1" applyAlignment="1">
      <alignment horizontal="center"/>
    </xf>
    <xf numFmtId="3" fontId="82" fillId="0" borderId="0" xfId="456" applyNumberFormat="1" applyFont="1" applyAlignment="1">
      <alignment horizontal="center"/>
    </xf>
    <xf numFmtId="3" fontId="83" fillId="52" borderId="0" xfId="456" applyNumberFormat="1" applyFont="1" applyFill="1" applyAlignment="1">
      <alignment horizontal="center"/>
    </xf>
    <xf numFmtId="0" fontId="10" fillId="0" borderId="0" xfId="456"/>
    <xf numFmtId="0" fontId="84" fillId="0" borderId="26" xfId="456" applyFont="1" applyBorder="1" applyAlignment="1">
      <alignment horizontal="center" vertical="center" wrapText="1"/>
    </xf>
    <xf numFmtId="3" fontId="84" fillId="0" borderId="26" xfId="456" applyNumberFormat="1" applyFont="1" applyBorder="1" applyAlignment="1">
      <alignment horizontal="center" vertical="center" wrapText="1"/>
    </xf>
    <xf numFmtId="0" fontId="84" fillId="0" borderId="26" xfId="456" applyFont="1" applyBorder="1" applyAlignment="1">
      <alignment horizontal="left" vertical="center" wrapText="1"/>
    </xf>
    <xf numFmtId="0" fontId="84" fillId="0" borderId="0" xfId="456" applyFont="1" applyAlignment="1">
      <alignment horizontal="center" vertical="center" wrapText="1"/>
    </xf>
    <xf numFmtId="3" fontId="84" fillId="0" borderId="0" xfId="456" applyNumberFormat="1" applyFont="1" applyAlignment="1">
      <alignment horizontal="center" vertical="center" wrapText="1"/>
    </xf>
    <xf numFmtId="0" fontId="84" fillId="0" borderId="0" xfId="456" applyFont="1" applyAlignment="1">
      <alignment horizontal="left" vertical="center" wrapText="1"/>
    </xf>
    <xf numFmtId="0" fontId="85" fillId="0" borderId="0" xfId="456" applyFont="1" applyAlignment="1">
      <alignment horizontal="left" vertical="center" wrapText="1"/>
    </xf>
    <xf numFmtId="3" fontId="82" fillId="0" borderId="16" xfId="456" applyNumberFormat="1" applyFont="1" applyBorder="1" applyAlignment="1">
      <alignment horizontal="center" vertical="center" wrapText="1"/>
    </xf>
    <xf numFmtId="0" fontId="84" fillId="0" borderId="16" xfId="456" applyFont="1" applyBorder="1" applyAlignment="1">
      <alignment horizontal="left" vertical="center" wrapText="1"/>
    </xf>
    <xf numFmtId="3" fontId="82" fillId="54" borderId="0" xfId="456" applyNumberFormat="1" applyFont="1" applyFill="1" applyBorder="1" applyAlignment="1">
      <alignment horizontal="center" vertical="center" wrapText="1"/>
    </xf>
    <xf numFmtId="3" fontId="82" fillId="54" borderId="0" xfId="456" applyNumberFormat="1" applyFont="1" applyFill="1" applyAlignment="1">
      <alignment horizontal="center" vertical="center" wrapText="1"/>
    </xf>
    <xf numFmtId="0" fontId="84" fillId="0" borderId="0" xfId="456" applyFont="1" applyBorder="1" applyAlignment="1">
      <alignment horizontal="left" vertical="center" wrapText="1"/>
    </xf>
    <xf numFmtId="0" fontId="10" fillId="0" borderId="0" xfId="456" applyFont="1"/>
    <xf numFmtId="0" fontId="82" fillId="0" borderId="27" xfId="456" applyFont="1" applyBorder="1" applyAlignment="1">
      <alignment horizontal="center" vertical="center" wrapText="1"/>
    </xf>
    <xf numFmtId="3" fontId="10" fillId="0" borderId="0" xfId="456" applyNumberFormat="1"/>
    <xf numFmtId="3" fontId="10" fillId="0" borderId="0" xfId="456" applyNumberFormat="1" applyFont="1"/>
    <xf numFmtId="0" fontId="17" fillId="0" borderId="0" xfId="456" applyFont="1"/>
    <xf numFmtId="3" fontId="17" fillId="0" borderId="16" xfId="456" applyNumberFormat="1" applyFont="1" applyBorder="1" applyAlignment="1">
      <alignment horizontal="center"/>
    </xf>
    <xf numFmtId="3" fontId="17" fillId="0" borderId="14" xfId="456" applyNumberFormat="1" applyFont="1" applyBorder="1" applyAlignment="1">
      <alignment horizontal="center"/>
    </xf>
    <xf numFmtId="0" fontId="17" fillId="0" borderId="14" xfId="456" applyFont="1" applyBorder="1" applyAlignment="1">
      <alignment horizontal="center"/>
    </xf>
    <xf numFmtId="0" fontId="17" fillId="0" borderId="14" xfId="456" applyFont="1" applyBorder="1"/>
    <xf numFmtId="3" fontId="17" fillId="0" borderId="0" xfId="456" applyNumberFormat="1" applyFont="1" applyAlignment="1">
      <alignment horizontal="center"/>
    </xf>
    <xf numFmtId="0" fontId="17" fillId="0" borderId="0" xfId="456" applyFont="1" applyAlignment="1">
      <alignment horizontal="center"/>
    </xf>
    <xf numFmtId="3" fontId="87" fillId="52" borderId="0" xfId="456" applyNumberFormat="1" applyFont="1" applyFill="1" applyAlignment="1">
      <alignment horizontal="center"/>
    </xf>
    <xf numFmtId="0" fontId="17" fillId="0" borderId="0" xfId="456" applyFont="1" applyBorder="1" applyAlignment="1">
      <alignment horizontal="center"/>
    </xf>
    <xf numFmtId="0" fontId="17" fillId="0" borderId="0" xfId="456" applyFont="1" applyBorder="1"/>
    <xf numFmtId="0" fontId="17" fillId="0" borderId="15" xfId="456" applyFont="1" applyBorder="1" applyAlignment="1">
      <alignment horizontal="center"/>
    </xf>
    <xf numFmtId="0" fontId="17" fillId="0" borderId="15" xfId="456" applyFont="1" applyBorder="1"/>
    <xf numFmtId="1" fontId="10" fillId="0" borderId="0" xfId="456" applyNumberFormat="1"/>
    <xf numFmtId="3" fontId="84" fillId="54" borderId="14" xfId="456" applyNumberFormat="1" applyFont="1" applyFill="1" applyBorder="1" applyAlignment="1">
      <alignment horizontal="center" vertical="center" wrapText="1"/>
    </xf>
    <xf numFmtId="0" fontId="10" fillId="54" borderId="14" xfId="456" applyFill="1" applyBorder="1"/>
    <xf numFmtId="0" fontId="84" fillId="54" borderId="14" xfId="456" applyFont="1" applyFill="1" applyBorder="1" applyAlignment="1">
      <alignment horizontal="center" vertical="center" wrapText="1"/>
    </xf>
    <xf numFmtId="3" fontId="84" fillId="54" borderId="0" xfId="456" applyNumberFormat="1" applyFont="1" applyFill="1" applyAlignment="1">
      <alignment horizontal="center" vertical="center" wrapText="1"/>
    </xf>
    <xf numFmtId="0" fontId="84" fillId="54" borderId="0" xfId="456" applyFont="1" applyFill="1" applyAlignment="1">
      <alignment horizontal="center" vertical="center" wrapText="1"/>
    </xf>
    <xf numFmtId="0" fontId="10" fillId="54" borderId="0" xfId="456" applyFill="1"/>
    <xf numFmtId="3" fontId="84" fillId="54" borderId="16" xfId="456" applyNumberFormat="1" applyFont="1" applyFill="1" applyBorder="1" applyAlignment="1">
      <alignment horizontal="center" vertical="center" wrapText="1"/>
    </xf>
    <xf numFmtId="3" fontId="17" fillId="54" borderId="14" xfId="456" applyNumberFormat="1" applyFont="1" applyFill="1" applyBorder="1"/>
    <xf numFmtId="3" fontId="82" fillId="54" borderId="14" xfId="456" applyNumberFormat="1" applyFont="1" applyFill="1" applyBorder="1" applyAlignment="1">
      <alignment horizontal="center" vertical="center" wrapText="1"/>
    </xf>
    <xf numFmtId="1" fontId="84" fillId="54" borderId="14" xfId="456" applyNumberFormat="1" applyFont="1" applyFill="1" applyBorder="1" applyAlignment="1">
      <alignment horizontal="center" vertical="center" wrapText="1"/>
    </xf>
    <xf numFmtId="3" fontId="17" fillId="54" borderId="0" xfId="456" applyNumberFormat="1" applyFont="1" applyFill="1"/>
    <xf numFmtId="1" fontId="84" fillId="54" borderId="0" xfId="456" applyNumberFormat="1" applyFont="1" applyFill="1" applyAlignment="1">
      <alignment horizontal="center" vertical="center" wrapText="1"/>
    </xf>
    <xf numFmtId="3" fontId="84" fillId="54" borderId="26" xfId="456" applyNumberFormat="1" applyFont="1" applyFill="1" applyBorder="1" applyAlignment="1">
      <alignment horizontal="center" vertical="center" wrapText="1"/>
    </xf>
    <xf numFmtId="0" fontId="88" fillId="54" borderId="27" xfId="456" applyFont="1" applyFill="1" applyBorder="1" applyAlignment="1">
      <alignment horizontal="center" vertical="center" wrapText="1"/>
    </xf>
    <xf numFmtId="0" fontId="88" fillId="54" borderId="27" xfId="456" applyFont="1" applyFill="1" applyBorder="1" applyAlignment="1">
      <alignment horizontal="justify" vertical="center" wrapText="1"/>
    </xf>
    <xf numFmtId="0" fontId="89" fillId="54" borderId="0" xfId="456" applyFont="1" applyFill="1"/>
    <xf numFmtId="0" fontId="50" fillId="0" borderId="0" xfId="456" applyFont="1"/>
    <xf numFmtId="0" fontId="10" fillId="0" borderId="0" xfId="456" applyFill="1"/>
    <xf numFmtId="3" fontId="10" fillId="0" borderId="0" xfId="456" applyNumberFormat="1" applyFill="1"/>
    <xf numFmtId="3" fontId="10" fillId="0" borderId="0" xfId="456" applyNumberFormat="1" applyFont="1" applyFill="1"/>
    <xf numFmtId="0" fontId="10" fillId="55" borderId="0" xfId="456" applyFont="1" applyFill="1"/>
    <xf numFmtId="0" fontId="10" fillId="55" borderId="0" xfId="456" applyFill="1"/>
    <xf numFmtId="0" fontId="17" fillId="54" borderId="0" xfId="456" applyFont="1" applyFill="1"/>
    <xf numFmtId="3" fontId="0" fillId="0" borderId="0" xfId="456" applyNumberFormat="1" applyFont="1"/>
    <xf numFmtId="1" fontId="17" fillId="0" borderId="0" xfId="325" quotePrefix="1" applyNumberFormat="1" applyFont="1" applyAlignment="1">
      <alignment horizontal="left"/>
    </xf>
    <xf numFmtId="1" fontId="27" fillId="0" borderId="0" xfId="324" applyNumberFormat="1" applyFont="1" applyAlignment="1">
      <alignment horizontal="left"/>
    </xf>
    <xf numFmtId="3" fontId="0" fillId="0" borderId="0" xfId="587" applyNumberFormat="1" applyFont="1"/>
    <xf numFmtId="169" fontId="0" fillId="0" borderId="0" xfId="324" applyNumberFormat="1" applyFont="1"/>
    <xf numFmtId="0" fontId="10" fillId="0" borderId="15" xfId="456" applyFont="1" applyBorder="1"/>
    <xf numFmtId="0" fontId="10" fillId="0" borderId="14" xfId="456" applyFont="1" applyBorder="1" applyAlignment="1"/>
    <xf numFmtId="0" fontId="10" fillId="0" borderId="14" xfId="456" applyFont="1" applyBorder="1"/>
    <xf numFmtId="3" fontId="10" fillId="0" borderId="0" xfId="456" applyNumberFormat="1" applyFont="1" applyBorder="1" applyAlignment="1">
      <alignment horizontal="center"/>
    </xf>
    <xf numFmtId="3" fontId="10" fillId="0" borderId="14" xfId="456" applyNumberFormat="1" applyFont="1" applyBorder="1"/>
    <xf numFmtId="0" fontId="10" fillId="0" borderId="0" xfId="456" applyFont="1" applyBorder="1"/>
    <xf numFmtId="0" fontId="10" fillId="0" borderId="14" xfId="456" applyFont="1" applyBorder="1" applyAlignment="1">
      <alignment horizontal="center"/>
    </xf>
    <xf numFmtId="3" fontId="10" fillId="0" borderId="0" xfId="456" applyNumberFormat="1" applyFont="1" applyFill="1" applyAlignment="1">
      <alignment horizontal="center"/>
    </xf>
    <xf numFmtId="3" fontId="10" fillId="0" borderId="14" xfId="456" applyNumberFormat="1" applyFont="1" applyFill="1" applyBorder="1" applyAlignment="1">
      <alignment horizontal="center"/>
    </xf>
    <xf numFmtId="164" fontId="0" fillId="0" borderId="0" xfId="0" applyFont="1"/>
    <xf numFmtId="0" fontId="0" fillId="0" borderId="0" xfId="456" applyFont="1"/>
    <xf numFmtId="3" fontId="0" fillId="0" borderId="0" xfId="0" applyNumberFormat="1" applyFont="1"/>
    <xf numFmtId="164" fontId="0" fillId="0" borderId="0" xfId="0" applyFont="1" applyBorder="1"/>
    <xf numFmtId="3" fontId="0" fillId="0" borderId="0" xfId="0" applyNumberFormat="1" applyFont="1" applyBorder="1"/>
    <xf numFmtId="0" fontId="0" fillId="0" borderId="15" xfId="456" applyFont="1" applyBorder="1"/>
    <xf numFmtId="0" fontId="0" fillId="0" borderId="14" xfId="456" applyFont="1" applyBorder="1"/>
    <xf numFmtId="0" fontId="0" fillId="0" borderId="0" xfId="456" applyFont="1" applyFill="1" applyBorder="1"/>
    <xf numFmtId="3" fontId="0" fillId="0" borderId="0" xfId="456" applyNumberFormat="1" applyFont="1" applyAlignment="1">
      <alignment horizontal="center"/>
    </xf>
    <xf numFmtId="3" fontId="0" fillId="0" borderId="0" xfId="456" applyNumberFormat="1" applyFont="1" applyBorder="1" applyAlignment="1">
      <alignment horizontal="center"/>
    </xf>
    <xf numFmtId="3" fontId="17" fillId="0" borderId="0" xfId="456" applyNumberFormat="1" applyFont="1"/>
    <xf numFmtId="164" fontId="11" fillId="0" borderId="27" xfId="0" applyFont="1" applyBorder="1" applyAlignment="1">
      <alignment horizontal="center" vertical="center"/>
    </xf>
    <xf numFmtId="164" fontId="11" fillId="0" borderId="0" xfId="0" applyFont="1" applyAlignment="1">
      <alignment horizontal="center" vertical="center"/>
    </xf>
    <xf numFmtId="164" fontId="11" fillId="0" borderId="26" xfId="0" applyFont="1" applyBorder="1" applyAlignment="1">
      <alignment horizontal="center" vertical="center"/>
    </xf>
    <xf numFmtId="164" fontId="11" fillId="0" borderId="28" xfId="0" applyFont="1" applyBorder="1" applyAlignment="1">
      <alignment vertical="center"/>
    </xf>
    <xf numFmtId="169" fontId="11" fillId="0" borderId="27" xfId="324" applyNumberFormat="1" applyFont="1" applyBorder="1" applyAlignment="1">
      <alignment horizontal="center" vertical="center"/>
    </xf>
    <xf numFmtId="169" fontId="11" fillId="0" borderId="0" xfId="324" applyNumberFormat="1" applyFont="1" applyAlignment="1">
      <alignment horizontal="center" vertical="center"/>
    </xf>
    <xf numFmtId="169" fontId="11" fillId="0" borderId="26" xfId="324" applyNumberFormat="1" applyFont="1" applyBorder="1" applyAlignment="1">
      <alignment horizontal="center" vertical="center"/>
    </xf>
    <xf numFmtId="169" fontId="11" fillId="0" borderId="0" xfId="324" applyNumberFormat="1" applyFont="1" applyAlignment="1">
      <alignment horizontal="right" vertical="center" indent="1"/>
    </xf>
    <xf numFmtId="169" fontId="11" fillId="0" borderId="28" xfId="324" applyNumberFormat="1" applyFont="1" applyBorder="1" applyAlignment="1">
      <alignment horizontal="right" vertical="center" indent="1"/>
    </xf>
    <xf numFmtId="1" fontId="17" fillId="0" borderId="0" xfId="456" applyNumberFormat="1" applyFont="1"/>
    <xf numFmtId="3" fontId="82" fillId="0" borderId="0" xfId="456" applyNumberFormat="1" applyFont="1"/>
    <xf numFmtId="164" fontId="90" fillId="0" borderId="0" xfId="0" applyFont="1"/>
    <xf numFmtId="165" fontId="28" fillId="0" borderId="0" xfId="584" applyNumberFormat="1"/>
    <xf numFmtId="6" fontId="17" fillId="0" borderId="0" xfId="583" applyNumberFormat="1" applyFont="1"/>
    <xf numFmtId="14" fontId="17" fillId="0" borderId="0" xfId="583" applyNumberFormat="1" applyFont="1"/>
    <xf numFmtId="1" fontId="17" fillId="56" borderId="0" xfId="462" applyNumberFormat="1" applyFont="1" applyFill="1" applyAlignment="1">
      <alignment horizontal="center"/>
    </xf>
    <xf numFmtId="1" fontId="92" fillId="0" borderId="0" xfId="325" applyNumberFormat="1" applyFont="1" applyAlignment="1">
      <alignment horizontal="left"/>
    </xf>
    <xf numFmtId="0" fontId="8" fillId="0" borderId="0" xfId="15314"/>
    <xf numFmtId="164" fontId="10" fillId="0" borderId="0" xfId="15315" applyFont="1"/>
    <xf numFmtId="164" fontId="10" fillId="0" borderId="0" xfId="15315"/>
    <xf numFmtId="0" fontId="93" fillId="0" borderId="0" xfId="15314" applyFont="1"/>
    <xf numFmtId="0" fontId="79" fillId="0" borderId="0" xfId="671"/>
    <xf numFmtId="0" fontId="11" fillId="0" borderId="0" xfId="671" applyFont="1"/>
    <xf numFmtId="0" fontId="11" fillId="0" borderId="0" xfId="671" applyFont="1" applyBorder="1"/>
    <xf numFmtId="0" fontId="11" fillId="0" borderId="0" xfId="671" applyFont="1" applyAlignment="1">
      <alignment horizontal="center"/>
    </xf>
    <xf numFmtId="0" fontId="11" fillId="0" borderId="0" xfId="671" applyFont="1" applyBorder="1" applyAlignment="1">
      <alignment horizontal="center"/>
    </xf>
    <xf numFmtId="0" fontId="11" fillId="0" borderId="14" xfId="671" applyFont="1" applyBorder="1" applyAlignment="1">
      <alignment horizontal="center"/>
    </xf>
    <xf numFmtId="0" fontId="11" fillId="0" borderId="15" xfId="671" applyFont="1" applyBorder="1" applyAlignment="1">
      <alignment horizontal="center"/>
    </xf>
    <xf numFmtId="165" fontId="11" fillId="0" borderId="15" xfId="671" applyNumberFormat="1" applyFont="1" applyBorder="1" applyAlignment="1">
      <alignment horizontal="center"/>
    </xf>
    <xf numFmtId="165" fontId="11" fillId="0" borderId="0" xfId="671" applyNumberFormat="1" applyFont="1" applyAlignment="1">
      <alignment horizontal="center"/>
    </xf>
    <xf numFmtId="0" fontId="11" fillId="0" borderId="16" xfId="671" applyFont="1" applyBorder="1" applyAlignment="1">
      <alignment horizontal="left"/>
    </xf>
    <xf numFmtId="165" fontId="11" fillId="0" borderId="0" xfId="671" applyNumberFormat="1" applyFont="1" applyAlignment="1">
      <alignment horizontal="right"/>
    </xf>
    <xf numFmtId="165" fontId="11" fillId="0" borderId="16" xfId="671" applyNumberFormat="1" applyFont="1" applyBorder="1" applyAlignment="1">
      <alignment horizontal="right"/>
    </xf>
    <xf numFmtId="165" fontId="10" fillId="0" borderId="0" xfId="15784" applyNumberFormat="1"/>
    <xf numFmtId="164" fontId="0" fillId="0" borderId="0" xfId="0" applyAlignment="1">
      <alignment horizontal="center"/>
    </xf>
    <xf numFmtId="169" fontId="11" fillId="0" borderId="0" xfId="324" applyNumberFormat="1" applyFont="1" applyBorder="1" applyAlignment="1">
      <alignment horizontal="right" vertical="center" indent="1"/>
    </xf>
    <xf numFmtId="169" fontId="11" fillId="0" borderId="0" xfId="324" applyNumberFormat="1" applyFont="1" applyBorder="1" applyAlignment="1">
      <alignment horizontal="center" vertical="center"/>
    </xf>
    <xf numFmtId="169" fontId="11" fillId="0" borderId="14" xfId="324" applyNumberFormat="1" applyFont="1" applyFill="1" applyBorder="1" applyAlignment="1">
      <alignment horizontal="left" vertical="center"/>
    </xf>
    <xf numFmtId="164" fontId="95" fillId="0" borderId="0" xfId="0" applyFont="1"/>
    <xf numFmtId="2" fontId="17" fillId="0" borderId="0" xfId="0" applyNumberFormat="1" applyFont="1"/>
    <xf numFmtId="169" fontId="11" fillId="0" borderId="14" xfId="324" applyNumberFormat="1" applyFont="1" applyBorder="1" applyAlignment="1">
      <alignment horizontal="left" vertical="center"/>
    </xf>
    <xf numFmtId="164" fontId="0" fillId="0" borderId="14" xfId="0" applyBorder="1"/>
    <xf numFmtId="169" fontId="11" fillId="0" borderId="0" xfId="324" applyNumberFormat="1" applyFont="1" applyFill="1" applyBorder="1" applyAlignment="1">
      <alignment horizontal="center" vertical="center"/>
    </xf>
    <xf numFmtId="0" fontId="11" fillId="0" borderId="0" xfId="671" applyFont="1"/>
    <xf numFmtId="0" fontId="11" fillId="0" borderId="0" xfId="671" applyFont="1" applyAlignment="1">
      <alignment horizontal="center"/>
    </xf>
    <xf numFmtId="165" fontId="11" fillId="0" borderId="0" xfId="671" applyNumberFormat="1" applyFont="1" applyAlignment="1">
      <alignment horizontal="right"/>
    </xf>
    <xf numFmtId="0" fontId="79" fillId="0" borderId="0" xfId="671"/>
    <xf numFmtId="0" fontId="11" fillId="0" borderId="0" xfId="671" applyFont="1" applyAlignment="1">
      <alignment horizontal="center"/>
    </xf>
    <xf numFmtId="0" fontId="11" fillId="0" borderId="0" xfId="671" applyFont="1" applyBorder="1" applyAlignment="1">
      <alignment horizontal="center"/>
    </xf>
    <xf numFmtId="0" fontId="11" fillId="0" borderId="14" xfId="671" applyFont="1" applyBorder="1" applyAlignment="1">
      <alignment horizontal="center"/>
    </xf>
    <xf numFmtId="0" fontId="11" fillId="0" borderId="15" xfId="671" applyFont="1" applyBorder="1" applyAlignment="1">
      <alignment horizontal="center"/>
    </xf>
    <xf numFmtId="165" fontId="11" fillId="0" borderId="0" xfId="671" applyNumberFormat="1" applyFont="1" applyAlignment="1">
      <alignment horizontal="center"/>
    </xf>
    <xf numFmtId="165" fontId="11" fillId="0" borderId="0" xfId="671" applyNumberFormat="1" applyFont="1" applyAlignment="1">
      <alignment horizontal="right"/>
    </xf>
    <xf numFmtId="0" fontId="99" fillId="0" borderId="0" xfId="15786" applyFont="1"/>
    <xf numFmtId="165" fontId="10" fillId="0" borderId="0" xfId="15784" applyNumberFormat="1" applyAlignment="1">
      <alignment horizontal="center"/>
    </xf>
    <xf numFmtId="1" fontId="99" fillId="0" borderId="0" xfId="15792" applyNumberFormat="1" applyFont="1" applyAlignment="1">
      <alignment horizontal="center"/>
    </xf>
    <xf numFmtId="164" fontId="99" fillId="0" borderId="0" xfId="0" applyFont="1"/>
    <xf numFmtId="165" fontId="101" fillId="0" borderId="0" xfId="671" applyNumberFormat="1" applyFont="1" applyAlignment="1">
      <alignment horizontal="right"/>
    </xf>
    <xf numFmtId="164" fontId="0" fillId="0" borderId="0" xfId="0" applyBorder="1"/>
    <xf numFmtId="0" fontId="11" fillId="0" borderId="14" xfId="671" applyFont="1" applyFill="1" applyBorder="1" applyAlignment="1">
      <alignment horizontal="center"/>
    </xf>
    <xf numFmtId="0" fontId="11" fillId="0" borderId="0" xfId="671" applyFont="1" applyFill="1" applyBorder="1" applyAlignment="1">
      <alignment horizontal="center"/>
    </xf>
    <xf numFmtId="2" fontId="11" fillId="0" borderId="0" xfId="671" applyNumberFormat="1" applyFont="1" applyAlignment="1">
      <alignment horizontal="right"/>
    </xf>
    <xf numFmtId="166" fontId="10" fillId="0" borderId="0" xfId="15783" applyNumberFormat="1" applyAlignment="1">
      <alignment horizontal="center"/>
    </xf>
    <xf numFmtId="0" fontId="17" fillId="0" borderId="0" xfId="15795" applyFont="1"/>
    <xf numFmtId="3" fontId="10" fillId="0" borderId="0" xfId="15789" applyNumberFormat="1" applyAlignment="1">
      <alignment horizontal="center"/>
    </xf>
    <xf numFmtId="1" fontId="10" fillId="0" borderId="0" xfId="15792" applyNumberFormat="1" applyAlignment="1">
      <alignment horizontal="center"/>
    </xf>
    <xf numFmtId="166" fontId="10" fillId="0" borderId="0" xfId="15793" applyNumberFormat="1" applyAlignment="1">
      <alignment horizontal="center"/>
    </xf>
    <xf numFmtId="10" fontId="0" fillId="0" borderId="0" xfId="15794" quotePrefix="1" applyNumberFormat="1" applyFont="1"/>
    <xf numFmtId="0" fontId="11" fillId="0" borderId="0" xfId="671" applyFont="1" applyFill="1" applyBorder="1" applyAlignment="1">
      <alignment horizontal="left"/>
    </xf>
    <xf numFmtId="10" fontId="100" fillId="0" borderId="0" xfId="15796" applyNumberFormat="1" applyFont="1"/>
    <xf numFmtId="165" fontId="11" fillId="0" borderId="0" xfId="671" applyNumberFormat="1" applyFont="1" applyFill="1" applyAlignment="1">
      <alignment horizontal="right"/>
    </xf>
    <xf numFmtId="10" fontId="10" fillId="0" borderId="0" xfId="15797" quotePrefix="1" applyNumberFormat="1" applyFont="1"/>
    <xf numFmtId="164" fontId="89" fillId="0" borderId="0" xfId="0" applyFont="1"/>
    <xf numFmtId="165" fontId="102" fillId="0" borderId="0" xfId="671" applyNumberFormat="1" applyFont="1" applyFill="1" applyAlignment="1">
      <alignment horizontal="right"/>
    </xf>
    <xf numFmtId="180" fontId="0" fillId="0" borderId="0" xfId="0" applyNumberFormat="1"/>
    <xf numFmtId="181" fontId="89" fillId="0" borderId="0" xfId="0" applyNumberFormat="1" applyFont="1" applyAlignment="1">
      <alignment horizontal="center"/>
    </xf>
    <xf numFmtId="181" fontId="0" fillId="0" borderId="0" xfId="0" applyNumberFormat="1"/>
    <xf numFmtId="166" fontId="89" fillId="0" borderId="0" xfId="15793" applyNumberFormat="1" applyFont="1" applyAlignment="1">
      <alignment horizontal="left"/>
    </xf>
    <xf numFmtId="164" fontId="0" fillId="0" borderId="0" xfId="0" applyFill="1" applyBorder="1" applyAlignment="1"/>
    <xf numFmtId="165" fontId="103" fillId="0" borderId="0" xfId="671" applyNumberFormat="1" applyFont="1" applyFill="1" applyAlignment="1">
      <alignment horizontal="right"/>
    </xf>
    <xf numFmtId="164" fontId="0" fillId="0" borderId="26" xfId="0" applyFill="1" applyBorder="1" applyAlignment="1"/>
    <xf numFmtId="181" fontId="104" fillId="0" borderId="0" xfId="0" applyNumberFormat="1" applyFont="1" applyAlignment="1">
      <alignment horizontal="center"/>
    </xf>
    <xf numFmtId="165" fontId="0" fillId="0" borderId="0" xfId="0" applyNumberFormat="1"/>
    <xf numFmtId="3" fontId="83" fillId="0" borderId="0" xfId="456" applyNumberFormat="1" applyFont="1" applyFill="1" applyAlignment="1">
      <alignment horizontal="center"/>
    </xf>
    <xf numFmtId="3" fontId="105" fillId="52" borderId="0" xfId="456" applyNumberFormat="1" applyFont="1" applyFill="1" applyAlignment="1">
      <alignment horizontal="center"/>
    </xf>
    <xf numFmtId="0" fontId="11" fillId="0" borderId="0" xfId="671" applyFont="1" applyFill="1" applyAlignment="1">
      <alignment horizontal="center"/>
    </xf>
    <xf numFmtId="9" fontId="0" fillId="0" borderId="0" xfId="324" applyNumberFormat="1" applyFont="1"/>
    <xf numFmtId="0" fontId="82" fillId="0" borderId="0" xfId="456" applyFont="1" applyBorder="1"/>
    <xf numFmtId="3" fontId="82" fillId="0" borderId="0" xfId="456" applyNumberFormat="1" applyFont="1" applyBorder="1" applyAlignment="1">
      <alignment horizontal="center"/>
    </xf>
    <xf numFmtId="0" fontId="106" fillId="0" borderId="0" xfId="456" applyFont="1"/>
    <xf numFmtId="3" fontId="106" fillId="0" borderId="0" xfId="456" applyNumberFormat="1" applyFont="1" applyAlignment="1">
      <alignment horizontal="center"/>
    </xf>
    <xf numFmtId="182" fontId="0" fillId="0" borderId="0" xfId="324" applyNumberFormat="1" applyFont="1"/>
    <xf numFmtId="167" fontId="11" fillId="0" borderId="0" xfId="20651" applyNumberFormat="1" applyFont="1" applyAlignment="1">
      <alignment horizontal="center"/>
    </xf>
    <xf numFmtId="0" fontId="10" fillId="0" borderId="0" xfId="20655" applyFont="1"/>
    <xf numFmtId="0" fontId="10" fillId="0" borderId="0" xfId="20655"/>
    <xf numFmtId="164" fontId="0" fillId="0" borderId="0" xfId="0" applyAlignment="1">
      <alignment horizontal="left"/>
    </xf>
    <xf numFmtId="3" fontId="10" fillId="0" borderId="0" xfId="20655" applyNumberFormat="1"/>
    <xf numFmtId="0" fontId="10" fillId="0" borderId="0" xfId="20655" applyAlignment="1">
      <alignment horizontal="right"/>
    </xf>
    <xf numFmtId="37" fontId="11" fillId="0" borderId="0" xfId="584" applyNumberFormat="1" applyFont="1" applyProtection="1"/>
    <xf numFmtId="0" fontId="10" fillId="0" borderId="0" xfId="20655" applyAlignment="1">
      <alignment horizontal="left"/>
    </xf>
    <xf numFmtId="165" fontId="10" fillId="0" borderId="0" xfId="20655" applyNumberFormat="1"/>
    <xf numFmtId="3" fontId="11" fillId="0" borderId="0" xfId="20651" applyNumberFormat="1" applyFont="1" applyProtection="1"/>
    <xf numFmtId="3" fontId="11" fillId="0" borderId="0" xfId="20651" applyNumberFormat="1" applyFont="1" applyAlignment="1">
      <alignment horizontal="center"/>
    </xf>
    <xf numFmtId="165" fontId="11" fillId="0" borderId="0" xfId="20651" applyNumberFormat="1" applyFont="1" applyAlignment="1" applyProtection="1">
      <alignment horizontal="center"/>
    </xf>
    <xf numFmtId="167" fontId="11" fillId="0" borderId="0" xfId="20651" applyNumberFormat="1" applyFont="1" applyProtection="1"/>
    <xf numFmtId="167" fontId="10" fillId="0" borderId="0" xfId="462" applyNumberFormat="1"/>
    <xf numFmtId="9" fontId="28" fillId="0" borderId="0" xfId="584" applyNumberFormat="1"/>
    <xf numFmtId="165" fontId="102" fillId="0" borderId="0" xfId="20651" applyNumberFormat="1" applyFont="1" applyAlignment="1" applyProtection="1">
      <alignment horizontal="center"/>
    </xf>
    <xf numFmtId="165" fontId="108" fillId="0" borderId="0" xfId="20651" applyNumberFormat="1" applyFont="1" applyAlignment="1" applyProtection="1">
      <alignment horizontal="center"/>
    </xf>
    <xf numFmtId="165" fontId="109" fillId="0" borderId="0" xfId="20651" applyNumberFormat="1" applyFont="1" applyAlignment="1" applyProtection="1">
      <alignment horizontal="center"/>
    </xf>
    <xf numFmtId="164" fontId="110" fillId="0" borderId="30" xfId="0" applyFont="1" applyFill="1" applyBorder="1" applyAlignment="1">
      <alignment horizontal="center"/>
    </xf>
    <xf numFmtId="164" fontId="110" fillId="0" borderId="30" xfId="0" applyFont="1" applyFill="1" applyBorder="1" applyAlignment="1">
      <alignment horizontal="centerContinuous"/>
    </xf>
    <xf numFmtId="165" fontId="102" fillId="0" borderId="0" xfId="671" applyNumberFormat="1" applyFont="1" applyAlignment="1">
      <alignment horizontal="right"/>
    </xf>
    <xf numFmtId="164" fontId="11" fillId="53" borderId="0" xfId="1143" applyFont="1" applyFill="1" applyBorder="1" applyAlignment="1">
      <alignment horizontal="left"/>
    </xf>
    <xf numFmtId="177" fontId="11" fillId="53" borderId="0" xfId="1143" applyNumberFormat="1" applyFont="1" applyFill="1" applyBorder="1"/>
    <xf numFmtId="3" fontId="11" fillId="53" borderId="0" xfId="324" applyNumberFormat="1" applyFont="1" applyFill="1" applyBorder="1"/>
    <xf numFmtId="3" fontId="11" fillId="53" borderId="0" xfId="324" applyNumberFormat="1" applyFont="1" applyFill="1" applyBorder="1" applyAlignment="1">
      <alignment horizontal="center"/>
    </xf>
    <xf numFmtId="0" fontId="17" fillId="0" borderId="0" xfId="671" applyFont="1" applyBorder="1" applyAlignment="1">
      <alignment horizontal="center"/>
    </xf>
    <xf numFmtId="3" fontId="17" fillId="0" borderId="0" xfId="671" applyNumberFormat="1" applyFont="1" applyBorder="1" applyAlignment="1" applyProtection="1">
      <alignment horizontal="right"/>
    </xf>
    <xf numFmtId="164" fontId="11" fillId="0" borderId="15" xfId="0" quotePrefix="1" applyFont="1" applyBorder="1"/>
    <xf numFmtId="3" fontId="48" fillId="0" borderId="15" xfId="588" applyNumberFormat="1" applyFont="1" applyBorder="1"/>
    <xf numFmtId="3" fontId="49" fillId="0" borderId="15" xfId="0" applyNumberFormat="1" applyFont="1" applyBorder="1"/>
    <xf numFmtId="3" fontId="11" fillId="0" borderId="15" xfId="0" applyNumberFormat="1" applyFont="1" applyBorder="1"/>
    <xf numFmtId="3" fontId="11" fillId="0" borderId="15" xfId="585" applyNumberFormat="1" applyFont="1" applyBorder="1"/>
    <xf numFmtId="3" fontId="89" fillId="55" borderId="0" xfId="456" applyNumberFormat="1" applyFont="1" applyFill="1" applyBorder="1" applyAlignment="1">
      <alignment horizontal="center"/>
    </xf>
    <xf numFmtId="169" fontId="11" fillId="53" borderId="16" xfId="324" applyNumberFormat="1" applyFont="1" applyFill="1" applyBorder="1"/>
    <xf numFmtId="1" fontId="11" fillId="53" borderId="16" xfId="324" applyNumberFormat="1" applyFont="1" applyFill="1" applyBorder="1"/>
    <xf numFmtId="165" fontId="89" fillId="0" borderId="0" xfId="671" applyNumberFormat="1" applyFont="1"/>
    <xf numFmtId="167" fontId="11" fillId="0" borderId="16" xfId="462" applyNumberFormat="1" applyFont="1" applyBorder="1" applyAlignment="1">
      <alignment horizontal="right"/>
    </xf>
    <xf numFmtId="167" fontId="111" fillId="55" borderId="0" xfId="462" applyNumberFormat="1" applyFont="1" applyFill="1" applyAlignment="1">
      <alignment horizontal="center"/>
    </xf>
    <xf numFmtId="167" fontId="27" fillId="57" borderId="0" xfId="462" applyNumberFormat="1" applyFont="1" applyFill="1" applyAlignment="1">
      <alignment horizontal="center"/>
    </xf>
    <xf numFmtId="167" fontId="8" fillId="0" borderId="0" xfId="15314" applyNumberFormat="1"/>
    <xf numFmtId="165" fontId="6" fillId="0" borderId="0" xfId="20671" applyNumberFormat="1"/>
    <xf numFmtId="169" fontId="6" fillId="0" borderId="0" xfId="20661" applyNumberFormat="1"/>
    <xf numFmtId="0" fontId="6" fillId="0" borderId="0" xfId="20661"/>
    <xf numFmtId="0" fontId="6" fillId="0" borderId="0" xfId="20661" applyFill="1" applyBorder="1"/>
    <xf numFmtId="169" fontId="6" fillId="0" borderId="0" xfId="20661" applyNumberFormat="1"/>
    <xf numFmtId="169" fontId="6" fillId="0" borderId="14" xfId="20661" applyNumberFormat="1" applyBorder="1"/>
    <xf numFmtId="169" fontId="6" fillId="0" borderId="0" xfId="20661" applyNumberFormat="1" applyFill="1" applyBorder="1"/>
    <xf numFmtId="169" fontId="6" fillId="0" borderId="0" xfId="20661" applyNumberFormat="1"/>
    <xf numFmtId="3" fontId="0" fillId="0" borderId="0" xfId="0" applyNumberFormat="1" applyAlignment="1">
      <alignment horizontal="left"/>
    </xf>
    <xf numFmtId="2" fontId="0" fillId="0" borderId="0" xfId="0" quotePrefix="1" applyNumberFormat="1" applyAlignment="1">
      <alignment horizontal="center"/>
    </xf>
    <xf numFmtId="2" fontId="0" fillId="0" borderId="0" xfId="0" applyNumberFormat="1" applyAlignment="1">
      <alignment horizontal="center"/>
    </xf>
    <xf numFmtId="1" fontId="15" fillId="56" borderId="0" xfId="0" applyNumberFormat="1" applyFont="1" applyFill="1"/>
    <xf numFmtId="0" fontId="11" fillId="0" borderId="0" xfId="456" applyFont="1"/>
    <xf numFmtId="3" fontId="17" fillId="0" borderId="0" xfId="456" applyNumberFormat="1" applyFont="1" applyBorder="1" applyAlignment="1">
      <alignment horizontal="center"/>
    </xf>
    <xf numFmtId="0" fontId="82" fillId="0" borderId="15" xfId="456" applyFont="1" applyBorder="1"/>
    <xf numFmtId="0" fontId="82" fillId="0" borderId="14" xfId="456" applyFont="1" applyBorder="1" applyAlignment="1"/>
    <xf numFmtId="3" fontId="82" fillId="0" borderId="0" xfId="456" applyNumberFormat="1" applyFont="1" applyFill="1" applyAlignment="1">
      <alignment horizontal="center"/>
    </xf>
    <xf numFmtId="3" fontId="82" fillId="0" borderId="14" xfId="456" applyNumberFormat="1" applyFont="1" applyBorder="1"/>
    <xf numFmtId="3" fontId="82" fillId="0" borderId="14" xfId="456" applyNumberFormat="1" applyFont="1" applyFill="1" applyBorder="1" applyAlignment="1">
      <alignment horizontal="center"/>
    </xf>
    <xf numFmtId="3" fontId="11" fillId="0" borderId="0" xfId="25113" applyNumberFormat="1" applyFont="1" applyBorder="1"/>
    <xf numFmtId="3" fontId="105" fillId="52" borderId="0" xfId="456" applyNumberFormat="1" applyFont="1" applyFill="1" applyBorder="1" applyAlignment="1">
      <alignment horizontal="center"/>
    </xf>
    <xf numFmtId="3" fontId="10" fillId="0" borderId="0" xfId="456" applyNumberFormat="1" applyFill="1"/>
    <xf numFmtId="0" fontId="10" fillId="0" borderId="0" xfId="456" applyFill="1"/>
    <xf numFmtId="0" fontId="10" fillId="0" borderId="0" xfId="456" applyFill="1"/>
    <xf numFmtId="3" fontId="10" fillId="0" borderId="0" xfId="456" applyNumberFormat="1" applyFill="1"/>
    <xf numFmtId="3" fontId="10" fillId="0" borderId="0" xfId="456" applyNumberFormat="1" applyFont="1" applyFill="1"/>
    <xf numFmtId="0" fontId="10" fillId="0" borderId="0" xfId="456" applyFill="1"/>
    <xf numFmtId="0" fontId="10" fillId="0" borderId="0" xfId="456" applyFill="1"/>
    <xf numFmtId="0" fontId="10" fillId="0" borderId="0" xfId="456" applyFill="1"/>
    <xf numFmtId="3" fontId="10" fillId="0" borderId="0" xfId="456" applyNumberFormat="1" applyFont="1" applyFill="1"/>
    <xf numFmtId="0" fontId="10" fillId="0" borderId="0" xfId="456"/>
    <xf numFmtId="0" fontId="10" fillId="0" borderId="0" xfId="456" applyFill="1"/>
    <xf numFmtId="10" fontId="17" fillId="0" borderId="0" xfId="456" applyNumberFormat="1" applyFont="1"/>
    <xf numFmtId="0" fontId="0" fillId="0" borderId="0" xfId="462" applyFont="1"/>
    <xf numFmtId="3" fontId="17" fillId="0" borderId="0" xfId="30355" applyNumberFormat="1" applyFont="1" applyAlignment="1"/>
    <xf numFmtId="3" fontId="17" fillId="0" borderId="0" xfId="521" applyNumberFormat="1" applyFont="1" applyAlignment="1">
      <alignment horizontal="right"/>
    </xf>
    <xf numFmtId="3" fontId="17" fillId="0" borderId="0" xfId="521" applyNumberFormat="1" applyFont="1" applyAlignment="1"/>
    <xf numFmtId="3" fontId="17" fillId="0" borderId="0" xfId="521" applyNumberFormat="1" applyFont="1" applyBorder="1" applyAlignment="1"/>
    <xf numFmtId="3" fontId="113" fillId="55" borderId="0" xfId="30355" applyNumberFormat="1" applyFont="1" applyFill="1"/>
    <xf numFmtId="3" fontId="17" fillId="0" borderId="0" xfId="30699" applyNumberFormat="1" applyFont="1" applyAlignment="1"/>
    <xf numFmtId="165" fontId="0" fillId="0" borderId="0" xfId="0" applyNumberFormat="1" applyBorder="1"/>
    <xf numFmtId="165" fontId="14" fillId="0" borderId="0" xfId="0" applyNumberFormat="1" applyFont="1" applyBorder="1"/>
    <xf numFmtId="164" fontId="11" fillId="0" borderId="0" xfId="0" applyFont="1" applyFill="1" applyBorder="1" applyAlignment="1">
      <alignment horizontal="right"/>
    </xf>
    <xf numFmtId="165" fontId="14" fillId="54" borderId="0" xfId="0" applyNumberFormat="1" applyFont="1" applyFill="1" applyBorder="1"/>
    <xf numFmtId="166" fontId="3" fillId="0" borderId="0" xfId="30765" applyNumberFormat="1"/>
    <xf numFmtId="180" fontId="28" fillId="0" borderId="0" xfId="584" applyNumberFormat="1"/>
    <xf numFmtId="166" fontId="28" fillId="0" borderId="0" xfId="584" applyNumberFormat="1"/>
    <xf numFmtId="3" fontId="0" fillId="0" borderId="0" xfId="456" applyNumberFormat="1" applyFont="1" applyFill="1" applyBorder="1" applyAlignment="1">
      <alignment horizontal="center"/>
    </xf>
    <xf numFmtId="37" fontId="102" fillId="0" borderId="0" xfId="584" applyNumberFormat="1" applyFont="1" applyAlignment="1" applyProtection="1">
      <alignment horizontal="right"/>
    </xf>
    <xf numFmtId="164" fontId="11" fillId="0" borderId="27" xfId="0" applyFont="1" applyBorder="1" applyAlignment="1">
      <alignment vertical="center"/>
    </xf>
    <xf numFmtId="164" fontId="49" fillId="0" borderId="28" xfId="0" applyFont="1" applyBorder="1" applyAlignment="1">
      <alignment vertical="center"/>
    </xf>
    <xf numFmtId="164" fontId="11" fillId="0" borderId="26" xfId="0" applyFont="1" applyBorder="1" applyAlignment="1">
      <alignment vertical="center"/>
    </xf>
    <xf numFmtId="164" fontId="11" fillId="0" borderId="26" xfId="0" applyFont="1" applyBorder="1" applyAlignment="1">
      <alignment horizontal="right" vertical="center"/>
    </xf>
    <xf numFmtId="164" fontId="11" fillId="0" borderId="0" xfId="0" applyFont="1" applyAlignment="1">
      <alignment horizontal="right" vertical="center"/>
    </xf>
    <xf numFmtId="164" fontId="116" fillId="0" borderId="0" xfId="0" applyFont="1" applyAlignment="1">
      <alignment vertical="center"/>
    </xf>
    <xf numFmtId="164" fontId="94" fillId="0" borderId="0" xfId="0" applyFont="1" applyAlignment="1">
      <alignment vertical="center"/>
    </xf>
    <xf numFmtId="166" fontId="0" fillId="0" borderId="0" xfId="0" applyNumberFormat="1"/>
    <xf numFmtId="3" fontId="11" fillId="0" borderId="0" xfId="0" applyNumberFormat="1" applyFont="1" applyAlignment="1">
      <alignment horizontal="right" vertical="center"/>
    </xf>
    <xf numFmtId="1" fontId="102" fillId="56" borderId="26" xfId="0" applyNumberFormat="1" applyFont="1" applyFill="1" applyBorder="1" applyAlignment="1">
      <alignment horizontal="right" vertical="center"/>
    </xf>
    <xf numFmtId="168" fontId="17" fillId="0" borderId="0" xfId="0" applyNumberFormat="1" applyFont="1" applyAlignment="1"/>
    <xf numFmtId="165" fontId="12" fillId="0" borderId="0" xfId="1143" applyNumberFormat="1"/>
    <xf numFmtId="180" fontId="112" fillId="0" borderId="0" xfId="0" applyNumberFormat="1" applyFont="1" applyFill="1" applyBorder="1" applyAlignment="1"/>
    <xf numFmtId="164" fontId="94" fillId="0" borderId="0" xfId="0" applyFont="1"/>
    <xf numFmtId="0" fontId="82" fillId="0" borderId="0" xfId="456" applyFont="1" applyAlignment="1">
      <alignment horizontal="left"/>
    </xf>
    <xf numFmtId="0" fontId="82" fillId="0" borderId="14" xfId="456" applyFont="1" applyBorder="1" applyAlignment="1">
      <alignment horizontal="left"/>
    </xf>
    <xf numFmtId="0" fontId="82" fillId="0" borderId="0" xfId="456" applyFont="1" applyBorder="1" applyAlignment="1">
      <alignment horizontal="left"/>
    </xf>
    <xf numFmtId="3" fontId="99" fillId="0" borderId="0" xfId="537" applyNumberFormat="1" applyFont="1"/>
    <xf numFmtId="3" fontId="99" fillId="0" borderId="0" xfId="587" applyNumberFormat="1" applyFont="1"/>
    <xf numFmtId="166" fontId="99" fillId="0" borderId="0" xfId="587" applyNumberFormat="1" applyFont="1"/>
    <xf numFmtId="0" fontId="0" fillId="0" borderId="0" xfId="671" applyFont="1"/>
    <xf numFmtId="0" fontId="113" fillId="0" borderId="0" xfId="30779" applyFont="1"/>
    <xf numFmtId="164" fontId="0" fillId="0" borderId="0" xfId="0" applyNumberFormat="1"/>
    <xf numFmtId="164" fontId="10" fillId="0" borderId="0" xfId="462" applyNumberFormat="1"/>
    <xf numFmtId="2" fontId="11" fillId="53" borderId="0" xfId="324" applyNumberFormat="1" applyFont="1" applyFill="1"/>
    <xf numFmtId="2" fontId="11" fillId="0" borderId="0" xfId="462" applyNumberFormat="1" applyFont="1" applyAlignment="1">
      <alignment horizontal="right"/>
    </xf>
    <xf numFmtId="2" fontId="17" fillId="0" borderId="0" xfId="671" applyNumberFormat="1" applyFont="1" applyAlignment="1" applyProtection="1">
      <alignment horizontal="right"/>
    </xf>
    <xf numFmtId="43" fontId="0" fillId="0" borderId="0" xfId="324" applyNumberFormat="1" applyFont="1"/>
    <xf numFmtId="166" fontId="10" fillId="0" borderId="0" xfId="462" applyNumberFormat="1"/>
    <xf numFmtId="1" fontId="11" fillId="56" borderId="0" xfId="671" applyNumberFormat="1" applyFont="1" applyFill="1" applyAlignment="1">
      <alignment horizontal="center"/>
    </xf>
    <xf numFmtId="3" fontId="113" fillId="0" borderId="0" xfId="30779" applyNumberFormat="1" applyFont="1"/>
    <xf numFmtId="3" fontId="83" fillId="52" borderId="14" xfId="456" applyNumberFormat="1" applyFont="1" applyFill="1" applyBorder="1" applyAlignment="1">
      <alignment horizontal="center"/>
    </xf>
    <xf numFmtId="3" fontId="119" fillId="0" borderId="0" xfId="30699" applyNumberFormat="1" applyFont="1" applyAlignment="1"/>
    <xf numFmtId="3" fontId="102" fillId="0" borderId="0" xfId="585" applyNumberFormat="1" applyFont="1" applyBorder="1"/>
    <xf numFmtId="10" fontId="0" fillId="0" borderId="0" xfId="0" applyNumberFormat="1"/>
    <xf numFmtId="0" fontId="10" fillId="0" borderId="0" xfId="50520"/>
    <xf numFmtId="3" fontId="102" fillId="0" borderId="0" xfId="586" applyNumberFormat="1" applyFont="1"/>
    <xf numFmtId="3" fontId="102" fillId="0" borderId="0" xfId="0" applyNumberFormat="1" applyFont="1" applyBorder="1"/>
    <xf numFmtId="3" fontId="102" fillId="0" borderId="0" xfId="586" applyNumberFormat="1" applyFont="1" applyBorder="1"/>
    <xf numFmtId="169" fontId="102" fillId="0" borderId="0" xfId="324" applyNumberFormat="1" applyFont="1" applyAlignment="1">
      <alignment horizontal="right" vertical="center" indent="1"/>
    </xf>
    <xf numFmtId="10" fontId="89" fillId="55" borderId="0" xfId="0" applyNumberFormat="1" applyFont="1" applyFill="1"/>
    <xf numFmtId="0" fontId="1" fillId="0" borderId="0" xfId="50519"/>
    <xf numFmtId="3" fontId="1" fillId="0" borderId="0" xfId="50519" applyNumberFormat="1"/>
    <xf numFmtId="3" fontId="118" fillId="55" borderId="0" xfId="671" applyNumberFormat="1" applyFont="1" applyFill="1" applyAlignment="1"/>
    <xf numFmtId="167" fontId="14" fillId="0" borderId="0" xfId="462" applyNumberFormat="1" applyFont="1"/>
    <xf numFmtId="0" fontId="120" fillId="55" borderId="0" xfId="462" applyFont="1" applyFill="1"/>
    <xf numFmtId="165" fontId="10" fillId="0" borderId="0" xfId="462" applyNumberFormat="1"/>
    <xf numFmtId="165" fontId="14" fillId="0" borderId="0" xfId="671" applyNumberFormat="1" applyFont="1"/>
    <xf numFmtId="180" fontId="14" fillId="0" borderId="0" xfId="462" applyNumberFormat="1" applyFont="1"/>
    <xf numFmtId="180" fontId="14" fillId="55" borderId="0" xfId="462" applyNumberFormat="1" applyFont="1" applyFill="1"/>
    <xf numFmtId="180" fontId="112" fillId="55" borderId="0" xfId="462" applyNumberFormat="1" applyFont="1" applyFill="1"/>
    <xf numFmtId="1" fontId="93" fillId="0" borderId="0" xfId="0" applyNumberFormat="1" applyFont="1" applyAlignment="1">
      <alignment horizontal="center"/>
    </xf>
    <xf numFmtId="1" fontId="102" fillId="55" borderId="0" xfId="0" applyNumberFormat="1" applyFont="1" applyFill="1" applyAlignment="1">
      <alignment horizontal="center"/>
    </xf>
    <xf numFmtId="1" fontId="121" fillId="0" borderId="0" xfId="11912" applyNumberFormat="1" applyFont="1" applyAlignment="1">
      <alignment horizontal="center"/>
    </xf>
    <xf numFmtId="0" fontId="10" fillId="0" borderId="15" xfId="456" applyFont="1" applyBorder="1" applyAlignment="1">
      <alignment horizontal="center"/>
    </xf>
    <xf numFmtId="0" fontId="82" fillId="0" borderId="16" xfId="456" applyFont="1" applyBorder="1" applyAlignment="1">
      <alignment horizontal="center"/>
    </xf>
    <xf numFmtId="0" fontId="88" fillId="54" borderId="27" xfId="456" applyFont="1" applyFill="1" applyBorder="1" applyAlignment="1">
      <alignment horizontal="center" vertical="center" wrapText="1"/>
    </xf>
    <xf numFmtId="3" fontId="84" fillId="54" borderId="0" xfId="456" applyNumberFormat="1" applyFont="1" applyFill="1" applyBorder="1" applyAlignment="1">
      <alignment horizontal="center" vertical="center" wrapText="1"/>
    </xf>
    <xf numFmtId="0" fontId="82" fillId="0" borderId="27" xfId="456" applyFont="1" applyBorder="1" applyAlignment="1">
      <alignment horizontal="center" vertical="center" wrapText="1"/>
    </xf>
    <xf numFmtId="164" fontId="114" fillId="0" borderId="0" xfId="0" applyFont="1" applyAlignment="1">
      <alignment vertical="center"/>
    </xf>
    <xf numFmtId="164" fontId="49" fillId="0" borderId="28" xfId="0" applyFont="1" applyBorder="1" applyAlignment="1">
      <alignment vertical="center"/>
    </xf>
    <xf numFmtId="0" fontId="102" fillId="55" borderId="0" xfId="671" applyFont="1" applyFill="1" applyAlignment="1">
      <alignment horizontal="center"/>
    </xf>
    <xf numFmtId="164" fontId="0" fillId="55" borderId="0" xfId="0" applyFill="1"/>
    <xf numFmtId="165" fontId="102" fillId="55" borderId="0" xfId="671" applyNumberFormat="1" applyFont="1" applyFill="1" applyAlignment="1">
      <alignment horizontal="right"/>
    </xf>
    <xf numFmtId="165" fontId="11" fillId="55" borderId="0" xfId="671" applyNumberFormat="1" applyFont="1" applyFill="1" applyAlignment="1">
      <alignment horizontal="right"/>
    </xf>
    <xf numFmtId="165" fontId="103" fillId="55" borderId="0" xfId="671" applyNumberFormat="1" applyFont="1" applyFill="1" applyAlignment="1">
      <alignment horizontal="right"/>
    </xf>
    <xf numFmtId="164" fontId="14" fillId="55" borderId="0" xfId="0" applyFont="1" applyFill="1"/>
  </cellXfs>
  <cellStyles count="50542">
    <cellStyle name="20% - Accent1" xfId="1" builtinId="30" customBuiltin="1"/>
    <cellStyle name="20% - Accent1 10" xfId="2"/>
    <cellStyle name="20% - Accent1 10 2" xfId="672"/>
    <cellStyle name="20% - Accent1 10 2 2" xfId="1156"/>
    <cellStyle name="20% - Accent1 10 2 2 2" xfId="1157"/>
    <cellStyle name="20% - Accent1 10 2 2 2 2" xfId="16462"/>
    <cellStyle name="20% - Accent1 10 2 2 2 2 2" xfId="26178"/>
    <cellStyle name="20% - Accent1 10 2 2 2 2 2 2" xfId="45932"/>
    <cellStyle name="20% - Accent1 10 2 2 2 2 3" xfId="36288"/>
    <cellStyle name="20% - Accent1 10 2 2 2 3" xfId="21368"/>
    <cellStyle name="20% - Accent1 10 2 2 2 3 2" xfId="41123"/>
    <cellStyle name="20% - Accent1 10 2 2 2 4" xfId="31479"/>
    <cellStyle name="20% - Accent1 10 2 2 3" xfId="16461"/>
    <cellStyle name="20% - Accent1 10 2 2 3 2" xfId="26177"/>
    <cellStyle name="20% - Accent1 10 2 2 3 2 2" xfId="45931"/>
    <cellStyle name="20% - Accent1 10 2 2 3 3" xfId="36287"/>
    <cellStyle name="20% - Accent1 10 2 2 4" xfId="21367"/>
    <cellStyle name="20% - Accent1 10 2 2 4 2" xfId="41122"/>
    <cellStyle name="20% - Accent1 10 2 2 5" xfId="31478"/>
    <cellStyle name="20% - Accent1 10 2 3" xfId="1158"/>
    <cellStyle name="20% - Accent1 10 2 3 2" xfId="16463"/>
    <cellStyle name="20% - Accent1 10 2 3 2 2" xfId="26179"/>
    <cellStyle name="20% - Accent1 10 2 3 2 2 2" xfId="45933"/>
    <cellStyle name="20% - Accent1 10 2 3 2 3" xfId="36289"/>
    <cellStyle name="20% - Accent1 10 2 3 3" xfId="21369"/>
    <cellStyle name="20% - Accent1 10 2 3 3 2" xfId="41124"/>
    <cellStyle name="20% - Accent1 10 2 3 4" xfId="31480"/>
    <cellStyle name="20% - Accent1 10 2 4" xfId="16019"/>
    <cellStyle name="20% - Accent1 10 2 4 2" xfId="25735"/>
    <cellStyle name="20% - Accent1 10 2 4 2 2" xfId="45489"/>
    <cellStyle name="20% - Accent1 10 2 4 3" xfId="35845"/>
    <cellStyle name="20% - Accent1 10 2 5" xfId="20925"/>
    <cellStyle name="20% - Accent1 10 2 5 2" xfId="40680"/>
    <cellStyle name="20% - Accent1 10 2 6" xfId="31036"/>
    <cellStyle name="20% - Accent1 10 3" xfId="673"/>
    <cellStyle name="20% - Accent1 10 3 2" xfId="1159"/>
    <cellStyle name="20% - Accent1 10 3 2 2" xfId="16464"/>
    <cellStyle name="20% - Accent1 10 3 2 2 2" xfId="26180"/>
    <cellStyle name="20% - Accent1 10 3 2 2 2 2" xfId="45934"/>
    <cellStyle name="20% - Accent1 10 3 2 2 3" xfId="36290"/>
    <cellStyle name="20% - Accent1 10 3 2 3" xfId="21370"/>
    <cellStyle name="20% - Accent1 10 3 2 3 2" xfId="41125"/>
    <cellStyle name="20% - Accent1 10 3 2 4" xfId="31481"/>
    <cellStyle name="20% - Accent1 10 3 3" xfId="16020"/>
    <cellStyle name="20% - Accent1 10 3 3 2" xfId="25736"/>
    <cellStyle name="20% - Accent1 10 3 3 2 2" xfId="45490"/>
    <cellStyle name="20% - Accent1 10 3 3 3" xfId="35846"/>
    <cellStyle name="20% - Accent1 10 3 4" xfId="20926"/>
    <cellStyle name="20% - Accent1 10 3 4 2" xfId="40681"/>
    <cellStyle name="20% - Accent1 10 3 5" xfId="31037"/>
    <cellStyle name="20% - Accent1 10 4" xfId="1160"/>
    <cellStyle name="20% - Accent1 10 4 2" xfId="16465"/>
    <cellStyle name="20% - Accent1 10 4 2 2" xfId="26181"/>
    <cellStyle name="20% - Accent1 10 4 2 2 2" xfId="45935"/>
    <cellStyle name="20% - Accent1 10 4 2 3" xfId="36291"/>
    <cellStyle name="20% - Accent1 10 4 3" xfId="21371"/>
    <cellStyle name="20% - Accent1 10 4 3 2" xfId="41126"/>
    <cellStyle name="20% - Accent1 10 4 4" xfId="31482"/>
    <cellStyle name="20% - Accent1 10 5" xfId="15352"/>
    <cellStyle name="20% - Accent1 10 5 2" xfId="20224"/>
    <cellStyle name="20% - Accent1 10 5 2 2" xfId="29938"/>
    <cellStyle name="20% - Accent1 10 5 2 2 2" xfId="49691"/>
    <cellStyle name="20% - Accent1 10 5 2 3" xfId="40047"/>
    <cellStyle name="20% - Accent1 10 5 3" xfId="25126"/>
    <cellStyle name="20% - Accent1 10 5 3 2" xfId="44880"/>
    <cellStyle name="20% - Accent1 10 5 4" xfId="35236"/>
    <cellStyle name="20% - Accent1 10 6" xfId="15813"/>
    <cellStyle name="20% - Accent1 10 6 2" xfId="25529"/>
    <cellStyle name="20% - Accent1 10 6 2 2" xfId="45283"/>
    <cellStyle name="20% - Accent1 10 6 3" xfId="35639"/>
    <cellStyle name="20% - Accent1 10 7" xfId="20684"/>
    <cellStyle name="20% - Accent1 10 7 2" xfId="40464"/>
    <cellStyle name="20% - Accent1 10 8" xfId="30370"/>
    <cellStyle name="20% - Accent1 10 8 2" xfId="50118"/>
    <cellStyle name="20% - Accent1 10 9" xfId="30795"/>
    <cellStyle name="20% - Accent1 11" xfId="3"/>
    <cellStyle name="20% - Accent1 11 2" xfId="674"/>
    <cellStyle name="20% - Accent1 11 2 2" xfId="16021"/>
    <cellStyle name="20% - Accent1 11 2 2 2" xfId="25737"/>
    <cellStyle name="20% - Accent1 11 2 2 2 2" xfId="45491"/>
    <cellStyle name="20% - Accent1 11 2 2 3" xfId="35847"/>
    <cellStyle name="20% - Accent1 11 2 3" xfId="20927"/>
    <cellStyle name="20% - Accent1 11 2 3 2" xfId="40682"/>
    <cellStyle name="20% - Accent1 11 2 4" xfId="31038"/>
    <cellStyle name="20% - Accent1 11 3" xfId="15353"/>
    <cellStyle name="20% - Accent1 11 3 2" xfId="20225"/>
    <cellStyle name="20% - Accent1 11 3 2 2" xfId="29939"/>
    <cellStyle name="20% - Accent1 11 3 2 2 2" xfId="49692"/>
    <cellStyle name="20% - Accent1 11 3 2 3" xfId="40048"/>
    <cellStyle name="20% - Accent1 11 3 3" xfId="25127"/>
    <cellStyle name="20% - Accent1 11 3 3 2" xfId="44881"/>
    <cellStyle name="20% - Accent1 11 3 4" xfId="35237"/>
    <cellStyle name="20% - Accent1 11 4" xfId="15812"/>
    <cellStyle name="20% - Accent1 11 4 2" xfId="25528"/>
    <cellStyle name="20% - Accent1 11 4 2 2" xfId="45282"/>
    <cellStyle name="20% - Accent1 11 4 3" xfId="35638"/>
    <cellStyle name="20% - Accent1 11 5" xfId="20685"/>
    <cellStyle name="20% - Accent1 11 5 2" xfId="40465"/>
    <cellStyle name="20% - Accent1 11 6" xfId="30371"/>
    <cellStyle name="20% - Accent1 11 6 2" xfId="50119"/>
    <cellStyle name="20% - Accent1 11 7" xfId="30796"/>
    <cellStyle name="20% - Accent1 12" xfId="675"/>
    <cellStyle name="20% - Accent1 12 2" xfId="16022"/>
    <cellStyle name="20% - Accent1 12 2 2" xfId="25738"/>
    <cellStyle name="20% - Accent1 12 2 2 2" xfId="45492"/>
    <cellStyle name="20% - Accent1 12 2 3" xfId="35848"/>
    <cellStyle name="20% - Accent1 12 3" xfId="20928"/>
    <cellStyle name="20% - Accent1 12 3 2" xfId="40683"/>
    <cellStyle name="20% - Accent1 12 4" xfId="31039"/>
    <cellStyle name="20% - Accent1 13" xfId="676"/>
    <cellStyle name="20% - Accent1 13 2" xfId="16023"/>
    <cellStyle name="20% - Accent1 13 2 2" xfId="25739"/>
    <cellStyle name="20% - Accent1 13 2 2 2" xfId="45493"/>
    <cellStyle name="20% - Accent1 13 2 3" xfId="35849"/>
    <cellStyle name="20% - Accent1 13 3" xfId="20929"/>
    <cellStyle name="20% - Accent1 13 3 2" xfId="40684"/>
    <cellStyle name="20% - Accent1 13 4" xfId="31040"/>
    <cellStyle name="20% - Accent1 14" xfId="677"/>
    <cellStyle name="20% - Accent1 14 2" xfId="16024"/>
    <cellStyle name="20% - Accent1 14 2 2" xfId="25740"/>
    <cellStyle name="20% - Accent1 14 2 2 2" xfId="45494"/>
    <cellStyle name="20% - Accent1 14 2 3" xfId="35850"/>
    <cellStyle name="20% - Accent1 14 3" xfId="20930"/>
    <cellStyle name="20% - Accent1 14 3 2" xfId="40685"/>
    <cellStyle name="20% - Accent1 14 4" xfId="31041"/>
    <cellStyle name="20% - Accent1 15" xfId="15316"/>
    <cellStyle name="20% - Accent1 15 2" xfId="20213"/>
    <cellStyle name="20% - Accent1 15 2 2" xfId="29927"/>
    <cellStyle name="20% - Accent1 15 2 2 2" xfId="49680"/>
    <cellStyle name="20% - Accent1 15 2 3" xfId="40036"/>
    <cellStyle name="20% - Accent1 15 3" xfId="25115"/>
    <cellStyle name="20% - Accent1 15 3 2" xfId="44869"/>
    <cellStyle name="20% - Accent1 15 4" xfId="35225"/>
    <cellStyle name="20% - Accent1 16" xfId="15351"/>
    <cellStyle name="20% - Accent1 16 2" xfId="20223"/>
    <cellStyle name="20% - Accent1 16 2 2" xfId="29937"/>
    <cellStyle name="20% - Accent1 16 2 2 2" xfId="49690"/>
    <cellStyle name="20% - Accent1 16 2 3" xfId="40046"/>
    <cellStyle name="20% - Accent1 16 3" xfId="25125"/>
    <cellStyle name="20% - Accent1 16 3 2" xfId="44879"/>
    <cellStyle name="20% - Accent1 16 4" xfId="35235"/>
    <cellStyle name="20% - Accent1 17" xfId="15800"/>
    <cellStyle name="20% - Accent1 17 2" xfId="25516"/>
    <cellStyle name="20% - Accent1 17 2 2" xfId="45270"/>
    <cellStyle name="20% - Accent1 17 3" xfId="35626"/>
    <cellStyle name="20% - Accent1 18" xfId="20210"/>
    <cellStyle name="20% - Accent1 18 2" xfId="29925"/>
    <cellStyle name="20% - Accent1 18 2 2" xfId="49678"/>
    <cellStyle name="20% - Accent1 18 3" xfId="40034"/>
    <cellStyle name="20% - Accent1 19" xfId="20665"/>
    <cellStyle name="20% - Accent1 19 2" xfId="30342"/>
    <cellStyle name="20% - Accent1 19 2 2" xfId="50091"/>
    <cellStyle name="20% - Accent1 19 3" xfId="40447"/>
    <cellStyle name="20% - Accent1 2" xfId="4"/>
    <cellStyle name="20% - Accent1 2 10" xfId="1161"/>
    <cellStyle name="20% - Accent1 2 10 2" xfId="1162"/>
    <cellStyle name="20% - Accent1 2 10 2 2" xfId="16467"/>
    <cellStyle name="20% - Accent1 2 10 2 2 2" xfId="26183"/>
    <cellStyle name="20% - Accent1 2 10 2 2 2 2" xfId="45937"/>
    <cellStyle name="20% - Accent1 2 10 2 2 3" xfId="36293"/>
    <cellStyle name="20% - Accent1 2 10 2 3" xfId="21373"/>
    <cellStyle name="20% - Accent1 2 10 2 3 2" xfId="41128"/>
    <cellStyle name="20% - Accent1 2 10 2 4" xfId="31484"/>
    <cellStyle name="20% - Accent1 2 10 3" xfId="16466"/>
    <cellStyle name="20% - Accent1 2 10 3 2" xfId="26182"/>
    <cellStyle name="20% - Accent1 2 10 3 2 2" xfId="45936"/>
    <cellStyle name="20% - Accent1 2 10 3 3" xfId="36292"/>
    <cellStyle name="20% - Accent1 2 10 4" xfId="21372"/>
    <cellStyle name="20% - Accent1 2 10 4 2" xfId="41127"/>
    <cellStyle name="20% - Accent1 2 10 5" xfId="31483"/>
    <cellStyle name="20% - Accent1 2 11" xfId="1163"/>
    <cellStyle name="20% - Accent1 2 11 2" xfId="16468"/>
    <cellStyle name="20% - Accent1 2 11 2 2" xfId="26184"/>
    <cellStyle name="20% - Accent1 2 11 2 2 2" xfId="45938"/>
    <cellStyle name="20% - Accent1 2 11 2 3" xfId="36294"/>
    <cellStyle name="20% - Accent1 2 11 3" xfId="21374"/>
    <cellStyle name="20% - Accent1 2 11 3 2" xfId="41129"/>
    <cellStyle name="20% - Accent1 2 11 4" xfId="31485"/>
    <cellStyle name="20% - Accent1 2 12" xfId="1164"/>
    <cellStyle name="20% - Accent1 2 12 2" xfId="16469"/>
    <cellStyle name="20% - Accent1 2 12 2 2" xfId="26185"/>
    <cellStyle name="20% - Accent1 2 12 2 2 2" xfId="45939"/>
    <cellStyle name="20% - Accent1 2 12 2 3" xfId="36295"/>
    <cellStyle name="20% - Accent1 2 12 3" xfId="21375"/>
    <cellStyle name="20% - Accent1 2 12 3 2" xfId="41130"/>
    <cellStyle name="20% - Accent1 2 12 4" xfId="31486"/>
    <cellStyle name="20% - Accent1 2 13" xfId="1165"/>
    <cellStyle name="20% - Accent1 2 13 2" xfId="16470"/>
    <cellStyle name="20% - Accent1 2 13 2 2" xfId="26186"/>
    <cellStyle name="20% - Accent1 2 13 2 2 2" xfId="45940"/>
    <cellStyle name="20% - Accent1 2 13 2 3" xfId="36296"/>
    <cellStyle name="20% - Accent1 2 13 3" xfId="21376"/>
    <cellStyle name="20% - Accent1 2 13 3 2" xfId="41131"/>
    <cellStyle name="20% - Accent1 2 13 4" xfId="31487"/>
    <cellStyle name="20% - Accent1 2 2" xfId="5"/>
    <cellStyle name="20% - Accent1 2 2 10" xfId="1166"/>
    <cellStyle name="20% - Accent1 2 2 10 2" xfId="16471"/>
    <cellStyle name="20% - Accent1 2 2 10 2 2" xfId="26187"/>
    <cellStyle name="20% - Accent1 2 2 10 2 2 2" xfId="45941"/>
    <cellStyle name="20% - Accent1 2 2 10 2 3" xfId="36297"/>
    <cellStyle name="20% - Accent1 2 2 10 3" xfId="21377"/>
    <cellStyle name="20% - Accent1 2 2 10 3 2" xfId="41132"/>
    <cellStyle name="20% - Accent1 2 2 10 4" xfId="31488"/>
    <cellStyle name="20% - Accent1 2 2 11" xfId="1167"/>
    <cellStyle name="20% - Accent1 2 2 11 2" xfId="16472"/>
    <cellStyle name="20% - Accent1 2 2 11 2 2" xfId="26188"/>
    <cellStyle name="20% - Accent1 2 2 11 2 2 2" xfId="45942"/>
    <cellStyle name="20% - Accent1 2 2 11 2 3" xfId="36298"/>
    <cellStyle name="20% - Accent1 2 2 11 3" xfId="21378"/>
    <cellStyle name="20% - Accent1 2 2 11 3 2" xfId="41133"/>
    <cellStyle name="20% - Accent1 2 2 11 4" xfId="31489"/>
    <cellStyle name="20% - Accent1 2 2 12" xfId="1168"/>
    <cellStyle name="20% - Accent1 2 2 12 2" xfId="16473"/>
    <cellStyle name="20% - Accent1 2 2 12 2 2" xfId="26189"/>
    <cellStyle name="20% - Accent1 2 2 12 2 2 2" xfId="45943"/>
    <cellStyle name="20% - Accent1 2 2 12 2 3" xfId="36299"/>
    <cellStyle name="20% - Accent1 2 2 12 3" xfId="21379"/>
    <cellStyle name="20% - Accent1 2 2 12 3 2" xfId="41134"/>
    <cellStyle name="20% - Accent1 2 2 12 4" xfId="31490"/>
    <cellStyle name="20% - Accent1 2 2 2" xfId="1169"/>
    <cellStyle name="20% - Accent1 2 2 2 10" xfId="1170"/>
    <cellStyle name="20% - Accent1 2 2 2 10 2" xfId="16475"/>
    <cellStyle name="20% - Accent1 2 2 2 10 2 2" xfId="26191"/>
    <cellStyle name="20% - Accent1 2 2 2 10 2 2 2" xfId="45945"/>
    <cellStyle name="20% - Accent1 2 2 2 10 2 3" xfId="36301"/>
    <cellStyle name="20% - Accent1 2 2 2 10 3" xfId="21381"/>
    <cellStyle name="20% - Accent1 2 2 2 10 3 2" xfId="41136"/>
    <cellStyle name="20% - Accent1 2 2 2 10 4" xfId="31492"/>
    <cellStyle name="20% - Accent1 2 2 2 11" xfId="16474"/>
    <cellStyle name="20% - Accent1 2 2 2 11 2" xfId="26190"/>
    <cellStyle name="20% - Accent1 2 2 2 11 2 2" xfId="45944"/>
    <cellStyle name="20% - Accent1 2 2 2 11 3" xfId="36300"/>
    <cellStyle name="20% - Accent1 2 2 2 12" xfId="21380"/>
    <cellStyle name="20% - Accent1 2 2 2 12 2" xfId="41135"/>
    <cellStyle name="20% - Accent1 2 2 2 13" xfId="31491"/>
    <cellStyle name="20% - Accent1 2 2 2 2" xfId="1171"/>
    <cellStyle name="20% - Accent1 2 2 2 2 10" xfId="31493"/>
    <cellStyle name="20% - Accent1 2 2 2 2 2" xfId="1172"/>
    <cellStyle name="20% - Accent1 2 2 2 2 2 2" xfId="1173"/>
    <cellStyle name="20% - Accent1 2 2 2 2 2 2 2" xfId="1174"/>
    <cellStyle name="20% - Accent1 2 2 2 2 2 2 2 2" xfId="1175"/>
    <cellStyle name="20% - Accent1 2 2 2 2 2 2 2 2 2" xfId="16480"/>
    <cellStyle name="20% - Accent1 2 2 2 2 2 2 2 2 2 2" xfId="26196"/>
    <cellStyle name="20% - Accent1 2 2 2 2 2 2 2 2 2 2 2" xfId="45950"/>
    <cellStyle name="20% - Accent1 2 2 2 2 2 2 2 2 2 3" xfId="36306"/>
    <cellStyle name="20% - Accent1 2 2 2 2 2 2 2 2 3" xfId="21386"/>
    <cellStyle name="20% - Accent1 2 2 2 2 2 2 2 2 3 2" xfId="41141"/>
    <cellStyle name="20% - Accent1 2 2 2 2 2 2 2 2 4" xfId="31497"/>
    <cellStyle name="20% - Accent1 2 2 2 2 2 2 2 3" xfId="16479"/>
    <cellStyle name="20% - Accent1 2 2 2 2 2 2 2 3 2" xfId="26195"/>
    <cellStyle name="20% - Accent1 2 2 2 2 2 2 2 3 2 2" xfId="45949"/>
    <cellStyle name="20% - Accent1 2 2 2 2 2 2 2 3 3" xfId="36305"/>
    <cellStyle name="20% - Accent1 2 2 2 2 2 2 2 4" xfId="21385"/>
    <cellStyle name="20% - Accent1 2 2 2 2 2 2 2 4 2" xfId="41140"/>
    <cellStyle name="20% - Accent1 2 2 2 2 2 2 2 5" xfId="31496"/>
    <cellStyle name="20% - Accent1 2 2 2 2 2 2 3" xfId="1176"/>
    <cellStyle name="20% - Accent1 2 2 2 2 2 2 3 2" xfId="16481"/>
    <cellStyle name="20% - Accent1 2 2 2 2 2 2 3 2 2" xfId="26197"/>
    <cellStyle name="20% - Accent1 2 2 2 2 2 2 3 2 2 2" xfId="45951"/>
    <cellStyle name="20% - Accent1 2 2 2 2 2 2 3 2 3" xfId="36307"/>
    <cellStyle name="20% - Accent1 2 2 2 2 2 2 3 3" xfId="21387"/>
    <cellStyle name="20% - Accent1 2 2 2 2 2 2 3 3 2" xfId="41142"/>
    <cellStyle name="20% - Accent1 2 2 2 2 2 2 3 4" xfId="31498"/>
    <cellStyle name="20% - Accent1 2 2 2 2 2 2 4" xfId="16478"/>
    <cellStyle name="20% - Accent1 2 2 2 2 2 2 4 2" xfId="26194"/>
    <cellStyle name="20% - Accent1 2 2 2 2 2 2 4 2 2" xfId="45948"/>
    <cellStyle name="20% - Accent1 2 2 2 2 2 2 4 3" xfId="36304"/>
    <cellStyle name="20% - Accent1 2 2 2 2 2 2 5" xfId="21384"/>
    <cellStyle name="20% - Accent1 2 2 2 2 2 2 5 2" xfId="41139"/>
    <cellStyle name="20% - Accent1 2 2 2 2 2 2 6" xfId="31495"/>
    <cellStyle name="20% - Accent1 2 2 2 2 2 3" xfId="1177"/>
    <cellStyle name="20% - Accent1 2 2 2 2 2 3 2" xfId="1178"/>
    <cellStyle name="20% - Accent1 2 2 2 2 2 3 2 2" xfId="16483"/>
    <cellStyle name="20% - Accent1 2 2 2 2 2 3 2 2 2" xfId="26199"/>
    <cellStyle name="20% - Accent1 2 2 2 2 2 3 2 2 2 2" xfId="45953"/>
    <cellStyle name="20% - Accent1 2 2 2 2 2 3 2 2 3" xfId="36309"/>
    <cellStyle name="20% - Accent1 2 2 2 2 2 3 2 3" xfId="21389"/>
    <cellStyle name="20% - Accent1 2 2 2 2 2 3 2 3 2" xfId="41144"/>
    <cellStyle name="20% - Accent1 2 2 2 2 2 3 2 4" xfId="31500"/>
    <cellStyle name="20% - Accent1 2 2 2 2 2 3 3" xfId="16482"/>
    <cellStyle name="20% - Accent1 2 2 2 2 2 3 3 2" xfId="26198"/>
    <cellStyle name="20% - Accent1 2 2 2 2 2 3 3 2 2" xfId="45952"/>
    <cellStyle name="20% - Accent1 2 2 2 2 2 3 3 3" xfId="36308"/>
    <cellStyle name="20% - Accent1 2 2 2 2 2 3 4" xfId="21388"/>
    <cellStyle name="20% - Accent1 2 2 2 2 2 3 4 2" xfId="41143"/>
    <cellStyle name="20% - Accent1 2 2 2 2 2 3 5" xfId="31499"/>
    <cellStyle name="20% - Accent1 2 2 2 2 2 4" xfId="1179"/>
    <cellStyle name="20% - Accent1 2 2 2 2 2 4 2" xfId="16484"/>
    <cellStyle name="20% - Accent1 2 2 2 2 2 4 2 2" xfId="26200"/>
    <cellStyle name="20% - Accent1 2 2 2 2 2 4 2 2 2" xfId="45954"/>
    <cellStyle name="20% - Accent1 2 2 2 2 2 4 2 3" xfId="36310"/>
    <cellStyle name="20% - Accent1 2 2 2 2 2 4 3" xfId="21390"/>
    <cellStyle name="20% - Accent1 2 2 2 2 2 4 3 2" xfId="41145"/>
    <cellStyle name="20% - Accent1 2 2 2 2 2 4 4" xfId="31501"/>
    <cellStyle name="20% - Accent1 2 2 2 2 2 5" xfId="16477"/>
    <cellStyle name="20% - Accent1 2 2 2 2 2 5 2" xfId="26193"/>
    <cellStyle name="20% - Accent1 2 2 2 2 2 5 2 2" xfId="45947"/>
    <cellStyle name="20% - Accent1 2 2 2 2 2 5 3" xfId="36303"/>
    <cellStyle name="20% - Accent1 2 2 2 2 2 6" xfId="21383"/>
    <cellStyle name="20% - Accent1 2 2 2 2 2 6 2" xfId="41138"/>
    <cellStyle name="20% - Accent1 2 2 2 2 2 7" xfId="31494"/>
    <cellStyle name="20% - Accent1 2 2 2 2 3" xfId="1180"/>
    <cellStyle name="20% - Accent1 2 2 2 2 3 2" xfId="1181"/>
    <cellStyle name="20% - Accent1 2 2 2 2 3 2 2" xfId="1182"/>
    <cellStyle name="20% - Accent1 2 2 2 2 3 2 2 2" xfId="16487"/>
    <cellStyle name="20% - Accent1 2 2 2 2 3 2 2 2 2" xfId="26203"/>
    <cellStyle name="20% - Accent1 2 2 2 2 3 2 2 2 2 2" xfId="45957"/>
    <cellStyle name="20% - Accent1 2 2 2 2 3 2 2 2 3" xfId="36313"/>
    <cellStyle name="20% - Accent1 2 2 2 2 3 2 2 3" xfId="21393"/>
    <cellStyle name="20% - Accent1 2 2 2 2 3 2 2 3 2" xfId="41148"/>
    <cellStyle name="20% - Accent1 2 2 2 2 3 2 2 4" xfId="31504"/>
    <cellStyle name="20% - Accent1 2 2 2 2 3 2 3" xfId="16486"/>
    <cellStyle name="20% - Accent1 2 2 2 2 3 2 3 2" xfId="26202"/>
    <cellStyle name="20% - Accent1 2 2 2 2 3 2 3 2 2" xfId="45956"/>
    <cellStyle name="20% - Accent1 2 2 2 2 3 2 3 3" xfId="36312"/>
    <cellStyle name="20% - Accent1 2 2 2 2 3 2 4" xfId="21392"/>
    <cellStyle name="20% - Accent1 2 2 2 2 3 2 4 2" xfId="41147"/>
    <cellStyle name="20% - Accent1 2 2 2 2 3 2 5" xfId="31503"/>
    <cellStyle name="20% - Accent1 2 2 2 2 3 3" xfId="1183"/>
    <cellStyle name="20% - Accent1 2 2 2 2 3 3 2" xfId="16488"/>
    <cellStyle name="20% - Accent1 2 2 2 2 3 3 2 2" xfId="26204"/>
    <cellStyle name="20% - Accent1 2 2 2 2 3 3 2 2 2" xfId="45958"/>
    <cellStyle name="20% - Accent1 2 2 2 2 3 3 2 3" xfId="36314"/>
    <cellStyle name="20% - Accent1 2 2 2 2 3 3 3" xfId="21394"/>
    <cellStyle name="20% - Accent1 2 2 2 2 3 3 3 2" xfId="41149"/>
    <cellStyle name="20% - Accent1 2 2 2 2 3 3 4" xfId="31505"/>
    <cellStyle name="20% - Accent1 2 2 2 2 3 4" xfId="16485"/>
    <cellStyle name="20% - Accent1 2 2 2 2 3 4 2" xfId="26201"/>
    <cellStyle name="20% - Accent1 2 2 2 2 3 4 2 2" xfId="45955"/>
    <cellStyle name="20% - Accent1 2 2 2 2 3 4 3" xfId="36311"/>
    <cellStyle name="20% - Accent1 2 2 2 2 3 5" xfId="21391"/>
    <cellStyle name="20% - Accent1 2 2 2 2 3 5 2" xfId="41146"/>
    <cellStyle name="20% - Accent1 2 2 2 2 3 6" xfId="31502"/>
    <cellStyle name="20% - Accent1 2 2 2 2 4" xfId="1184"/>
    <cellStyle name="20% - Accent1 2 2 2 2 4 2" xfId="1185"/>
    <cellStyle name="20% - Accent1 2 2 2 2 4 2 2" xfId="16490"/>
    <cellStyle name="20% - Accent1 2 2 2 2 4 2 2 2" xfId="26206"/>
    <cellStyle name="20% - Accent1 2 2 2 2 4 2 2 2 2" xfId="45960"/>
    <cellStyle name="20% - Accent1 2 2 2 2 4 2 2 3" xfId="36316"/>
    <cellStyle name="20% - Accent1 2 2 2 2 4 2 3" xfId="21396"/>
    <cellStyle name="20% - Accent1 2 2 2 2 4 2 3 2" xfId="41151"/>
    <cellStyle name="20% - Accent1 2 2 2 2 4 2 4" xfId="31507"/>
    <cellStyle name="20% - Accent1 2 2 2 2 4 3" xfId="16489"/>
    <cellStyle name="20% - Accent1 2 2 2 2 4 3 2" xfId="26205"/>
    <cellStyle name="20% - Accent1 2 2 2 2 4 3 2 2" xfId="45959"/>
    <cellStyle name="20% - Accent1 2 2 2 2 4 3 3" xfId="36315"/>
    <cellStyle name="20% - Accent1 2 2 2 2 4 4" xfId="21395"/>
    <cellStyle name="20% - Accent1 2 2 2 2 4 4 2" xfId="41150"/>
    <cellStyle name="20% - Accent1 2 2 2 2 4 5" xfId="31506"/>
    <cellStyle name="20% - Accent1 2 2 2 2 5" xfId="1186"/>
    <cellStyle name="20% - Accent1 2 2 2 2 5 2" xfId="16491"/>
    <cellStyle name="20% - Accent1 2 2 2 2 5 2 2" xfId="26207"/>
    <cellStyle name="20% - Accent1 2 2 2 2 5 2 2 2" xfId="45961"/>
    <cellStyle name="20% - Accent1 2 2 2 2 5 2 3" xfId="36317"/>
    <cellStyle name="20% - Accent1 2 2 2 2 5 3" xfId="21397"/>
    <cellStyle name="20% - Accent1 2 2 2 2 5 3 2" xfId="41152"/>
    <cellStyle name="20% - Accent1 2 2 2 2 5 4" xfId="31508"/>
    <cellStyle name="20% - Accent1 2 2 2 2 6" xfId="1187"/>
    <cellStyle name="20% - Accent1 2 2 2 2 6 2" xfId="16492"/>
    <cellStyle name="20% - Accent1 2 2 2 2 6 2 2" xfId="26208"/>
    <cellStyle name="20% - Accent1 2 2 2 2 6 2 2 2" xfId="45962"/>
    <cellStyle name="20% - Accent1 2 2 2 2 6 2 3" xfId="36318"/>
    <cellStyle name="20% - Accent1 2 2 2 2 6 3" xfId="21398"/>
    <cellStyle name="20% - Accent1 2 2 2 2 6 3 2" xfId="41153"/>
    <cellStyle name="20% - Accent1 2 2 2 2 6 4" xfId="31509"/>
    <cellStyle name="20% - Accent1 2 2 2 2 7" xfId="1188"/>
    <cellStyle name="20% - Accent1 2 2 2 2 7 2" xfId="16493"/>
    <cellStyle name="20% - Accent1 2 2 2 2 7 2 2" xfId="26209"/>
    <cellStyle name="20% - Accent1 2 2 2 2 7 2 2 2" xfId="45963"/>
    <cellStyle name="20% - Accent1 2 2 2 2 7 2 3" xfId="36319"/>
    <cellStyle name="20% - Accent1 2 2 2 2 7 3" xfId="21399"/>
    <cellStyle name="20% - Accent1 2 2 2 2 7 3 2" xfId="41154"/>
    <cellStyle name="20% - Accent1 2 2 2 2 7 4" xfId="31510"/>
    <cellStyle name="20% - Accent1 2 2 2 2 8" xfId="16476"/>
    <cellStyle name="20% - Accent1 2 2 2 2 8 2" xfId="26192"/>
    <cellStyle name="20% - Accent1 2 2 2 2 8 2 2" xfId="45946"/>
    <cellStyle name="20% - Accent1 2 2 2 2 8 3" xfId="36302"/>
    <cellStyle name="20% - Accent1 2 2 2 2 9" xfId="21382"/>
    <cellStyle name="20% - Accent1 2 2 2 2 9 2" xfId="41137"/>
    <cellStyle name="20% - Accent1 2 2 2 3" xfId="1189"/>
    <cellStyle name="20% - Accent1 2 2 2 3 2" xfId="1190"/>
    <cellStyle name="20% - Accent1 2 2 2 3 2 2" xfId="1191"/>
    <cellStyle name="20% - Accent1 2 2 2 3 2 2 2" xfId="1192"/>
    <cellStyle name="20% - Accent1 2 2 2 3 2 2 2 2" xfId="16497"/>
    <cellStyle name="20% - Accent1 2 2 2 3 2 2 2 2 2" xfId="26213"/>
    <cellStyle name="20% - Accent1 2 2 2 3 2 2 2 2 2 2" xfId="45967"/>
    <cellStyle name="20% - Accent1 2 2 2 3 2 2 2 2 3" xfId="36323"/>
    <cellStyle name="20% - Accent1 2 2 2 3 2 2 2 3" xfId="21403"/>
    <cellStyle name="20% - Accent1 2 2 2 3 2 2 2 3 2" xfId="41158"/>
    <cellStyle name="20% - Accent1 2 2 2 3 2 2 2 4" xfId="31514"/>
    <cellStyle name="20% - Accent1 2 2 2 3 2 2 3" xfId="16496"/>
    <cellStyle name="20% - Accent1 2 2 2 3 2 2 3 2" xfId="26212"/>
    <cellStyle name="20% - Accent1 2 2 2 3 2 2 3 2 2" xfId="45966"/>
    <cellStyle name="20% - Accent1 2 2 2 3 2 2 3 3" xfId="36322"/>
    <cellStyle name="20% - Accent1 2 2 2 3 2 2 4" xfId="21402"/>
    <cellStyle name="20% - Accent1 2 2 2 3 2 2 4 2" xfId="41157"/>
    <cellStyle name="20% - Accent1 2 2 2 3 2 2 5" xfId="31513"/>
    <cellStyle name="20% - Accent1 2 2 2 3 2 3" xfId="1193"/>
    <cellStyle name="20% - Accent1 2 2 2 3 2 3 2" xfId="16498"/>
    <cellStyle name="20% - Accent1 2 2 2 3 2 3 2 2" xfId="26214"/>
    <cellStyle name="20% - Accent1 2 2 2 3 2 3 2 2 2" xfId="45968"/>
    <cellStyle name="20% - Accent1 2 2 2 3 2 3 2 3" xfId="36324"/>
    <cellStyle name="20% - Accent1 2 2 2 3 2 3 3" xfId="21404"/>
    <cellStyle name="20% - Accent1 2 2 2 3 2 3 3 2" xfId="41159"/>
    <cellStyle name="20% - Accent1 2 2 2 3 2 3 4" xfId="31515"/>
    <cellStyle name="20% - Accent1 2 2 2 3 2 4" xfId="16495"/>
    <cellStyle name="20% - Accent1 2 2 2 3 2 4 2" xfId="26211"/>
    <cellStyle name="20% - Accent1 2 2 2 3 2 4 2 2" xfId="45965"/>
    <cellStyle name="20% - Accent1 2 2 2 3 2 4 3" xfId="36321"/>
    <cellStyle name="20% - Accent1 2 2 2 3 2 5" xfId="21401"/>
    <cellStyle name="20% - Accent1 2 2 2 3 2 5 2" xfId="41156"/>
    <cellStyle name="20% - Accent1 2 2 2 3 2 6" xfId="31512"/>
    <cellStyle name="20% - Accent1 2 2 2 3 3" xfId="1194"/>
    <cellStyle name="20% - Accent1 2 2 2 3 3 2" xfId="1195"/>
    <cellStyle name="20% - Accent1 2 2 2 3 3 2 2" xfId="16500"/>
    <cellStyle name="20% - Accent1 2 2 2 3 3 2 2 2" xfId="26216"/>
    <cellStyle name="20% - Accent1 2 2 2 3 3 2 2 2 2" xfId="45970"/>
    <cellStyle name="20% - Accent1 2 2 2 3 3 2 2 3" xfId="36326"/>
    <cellStyle name="20% - Accent1 2 2 2 3 3 2 3" xfId="21406"/>
    <cellStyle name="20% - Accent1 2 2 2 3 3 2 3 2" xfId="41161"/>
    <cellStyle name="20% - Accent1 2 2 2 3 3 2 4" xfId="31517"/>
    <cellStyle name="20% - Accent1 2 2 2 3 3 3" xfId="16499"/>
    <cellStyle name="20% - Accent1 2 2 2 3 3 3 2" xfId="26215"/>
    <cellStyle name="20% - Accent1 2 2 2 3 3 3 2 2" xfId="45969"/>
    <cellStyle name="20% - Accent1 2 2 2 3 3 3 3" xfId="36325"/>
    <cellStyle name="20% - Accent1 2 2 2 3 3 4" xfId="21405"/>
    <cellStyle name="20% - Accent1 2 2 2 3 3 4 2" xfId="41160"/>
    <cellStyle name="20% - Accent1 2 2 2 3 3 5" xfId="31516"/>
    <cellStyle name="20% - Accent1 2 2 2 3 4" xfId="1196"/>
    <cellStyle name="20% - Accent1 2 2 2 3 4 2" xfId="16501"/>
    <cellStyle name="20% - Accent1 2 2 2 3 4 2 2" xfId="26217"/>
    <cellStyle name="20% - Accent1 2 2 2 3 4 2 2 2" xfId="45971"/>
    <cellStyle name="20% - Accent1 2 2 2 3 4 2 3" xfId="36327"/>
    <cellStyle name="20% - Accent1 2 2 2 3 4 3" xfId="21407"/>
    <cellStyle name="20% - Accent1 2 2 2 3 4 3 2" xfId="41162"/>
    <cellStyle name="20% - Accent1 2 2 2 3 4 4" xfId="31518"/>
    <cellStyle name="20% - Accent1 2 2 2 3 5" xfId="16494"/>
    <cellStyle name="20% - Accent1 2 2 2 3 5 2" xfId="26210"/>
    <cellStyle name="20% - Accent1 2 2 2 3 5 2 2" xfId="45964"/>
    <cellStyle name="20% - Accent1 2 2 2 3 5 3" xfId="36320"/>
    <cellStyle name="20% - Accent1 2 2 2 3 6" xfId="21400"/>
    <cellStyle name="20% - Accent1 2 2 2 3 6 2" xfId="41155"/>
    <cellStyle name="20% - Accent1 2 2 2 3 7" xfId="31511"/>
    <cellStyle name="20% - Accent1 2 2 2 4" xfId="1197"/>
    <cellStyle name="20% - Accent1 2 2 2 4 2" xfId="1198"/>
    <cellStyle name="20% - Accent1 2 2 2 4 2 2" xfId="1199"/>
    <cellStyle name="20% - Accent1 2 2 2 4 2 2 2" xfId="1200"/>
    <cellStyle name="20% - Accent1 2 2 2 4 2 2 2 2" xfId="16505"/>
    <cellStyle name="20% - Accent1 2 2 2 4 2 2 2 2 2" xfId="26221"/>
    <cellStyle name="20% - Accent1 2 2 2 4 2 2 2 2 2 2" xfId="45975"/>
    <cellStyle name="20% - Accent1 2 2 2 4 2 2 2 2 3" xfId="36331"/>
    <cellStyle name="20% - Accent1 2 2 2 4 2 2 2 3" xfId="21411"/>
    <cellStyle name="20% - Accent1 2 2 2 4 2 2 2 3 2" xfId="41166"/>
    <cellStyle name="20% - Accent1 2 2 2 4 2 2 2 4" xfId="31522"/>
    <cellStyle name="20% - Accent1 2 2 2 4 2 2 3" xfId="16504"/>
    <cellStyle name="20% - Accent1 2 2 2 4 2 2 3 2" xfId="26220"/>
    <cellStyle name="20% - Accent1 2 2 2 4 2 2 3 2 2" xfId="45974"/>
    <cellStyle name="20% - Accent1 2 2 2 4 2 2 3 3" xfId="36330"/>
    <cellStyle name="20% - Accent1 2 2 2 4 2 2 4" xfId="21410"/>
    <cellStyle name="20% - Accent1 2 2 2 4 2 2 4 2" xfId="41165"/>
    <cellStyle name="20% - Accent1 2 2 2 4 2 2 5" xfId="31521"/>
    <cellStyle name="20% - Accent1 2 2 2 4 2 3" xfId="1201"/>
    <cellStyle name="20% - Accent1 2 2 2 4 2 3 2" xfId="16506"/>
    <cellStyle name="20% - Accent1 2 2 2 4 2 3 2 2" xfId="26222"/>
    <cellStyle name="20% - Accent1 2 2 2 4 2 3 2 2 2" xfId="45976"/>
    <cellStyle name="20% - Accent1 2 2 2 4 2 3 2 3" xfId="36332"/>
    <cellStyle name="20% - Accent1 2 2 2 4 2 3 3" xfId="21412"/>
    <cellStyle name="20% - Accent1 2 2 2 4 2 3 3 2" xfId="41167"/>
    <cellStyle name="20% - Accent1 2 2 2 4 2 3 4" xfId="31523"/>
    <cellStyle name="20% - Accent1 2 2 2 4 2 4" xfId="16503"/>
    <cellStyle name="20% - Accent1 2 2 2 4 2 4 2" xfId="26219"/>
    <cellStyle name="20% - Accent1 2 2 2 4 2 4 2 2" xfId="45973"/>
    <cellStyle name="20% - Accent1 2 2 2 4 2 4 3" xfId="36329"/>
    <cellStyle name="20% - Accent1 2 2 2 4 2 5" xfId="21409"/>
    <cellStyle name="20% - Accent1 2 2 2 4 2 5 2" xfId="41164"/>
    <cellStyle name="20% - Accent1 2 2 2 4 2 6" xfId="31520"/>
    <cellStyle name="20% - Accent1 2 2 2 4 3" xfId="1202"/>
    <cellStyle name="20% - Accent1 2 2 2 4 3 2" xfId="1203"/>
    <cellStyle name="20% - Accent1 2 2 2 4 3 2 2" xfId="16508"/>
    <cellStyle name="20% - Accent1 2 2 2 4 3 2 2 2" xfId="26224"/>
    <cellStyle name="20% - Accent1 2 2 2 4 3 2 2 2 2" xfId="45978"/>
    <cellStyle name="20% - Accent1 2 2 2 4 3 2 2 3" xfId="36334"/>
    <cellStyle name="20% - Accent1 2 2 2 4 3 2 3" xfId="21414"/>
    <cellStyle name="20% - Accent1 2 2 2 4 3 2 3 2" xfId="41169"/>
    <cellStyle name="20% - Accent1 2 2 2 4 3 2 4" xfId="31525"/>
    <cellStyle name="20% - Accent1 2 2 2 4 3 3" xfId="16507"/>
    <cellStyle name="20% - Accent1 2 2 2 4 3 3 2" xfId="26223"/>
    <cellStyle name="20% - Accent1 2 2 2 4 3 3 2 2" xfId="45977"/>
    <cellStyle name="20% - Accent1 2 2 2 4 3 3 3" xfId="36333"/>
    <cellStyle name="20% - Accent1 2 2 2 4 3 4" xfId="21413"/>
    <cellStyle name="20% - Accent1 2 2 2 4 3 4 2" xfId="41168"/>
    <cellStyle name="20% - Accent1 2 2 2 4 3 5" xfId="31524"/>
    <cellStyle name="20% - Accent1 2 2 2 4 4" xfId="1204"/>
    <cellStyle name="20% - Accent1 2 2 2 4 4 2" xfId="16509"/>
    <cellStyle name="20% - Accent1 2 2 2 4 4 2 2" xfId="26225"/>
    <cellStyle name="20% - Accent1 2 2 2 4 4 2 2 2" xfId="45979"/>
    <cellStyle name="20% - Accent1 2 2 2 4 4 2 3" xfId="36335"/>
    <cellStyle name="20% - Accent1 2 2 2 4 4 3" xfId="21415"/>
    <cellStyle name="20% - Accent1 2 2 2 4 4 3 2" xfId="41170"/>
    <cellStyle name="20% - Accent1 2 2 2 4 4 4" xfId="31526"/>
    <cellStyle name="20% - Accent1 2 2 2 4 5" xfId="16502"/>
    <cellStyle name="20% - Accent1 2 2 2 4 5 2" xfId="26218"/>
    <cellStyle name="20% - Accent1 2 2 2 4 5 2 2" xfId="45972"/>
    <cellStyle name="20% - Accent1 2 2 2 4 5 3" xfId="36328"/>
    <cellStyle name="20% - Accent1 2 2 2 4 6" xfId="21408"/>
    <cellStyle name="20% - Accent1 2 2 2 4 6 2" xfId="41163"/>
    <cellStyle name="20% - Accent1 2 2 2 4 7" xfId="31519"/>
    <cellStyle name="20% - Accent1 2 2 2 5" xfId="1205"/>
    <cellStyle name="20% - Accent1 2 2 2 5 2" xfId="1206"/>
    <cellStyle name="20% - Accent1 2 2 2 5 2 2" xfId="1207"/>
    <cellStyle name="20% - Accent1 2 2 2 5 2 2 2" xfId="16512"/>
    <cellStyle name="20% - Accent1 2 2 2 5 2 2 2 2" xfId="26228"/>
    <cellStyle name="20% - Accent1 2 2 2 5 2 2 2 2 2" xfId="45982"/>
    <cellStyle name="20% - Accent1 2 2 2 5 2 2 2 3" xfId="36338"/>
    <cellStyle name="20% - Accent1 2 2 2 5 2 2 3" xfId="21418"/>
    <cellStyle name="20% - Accent1 2 2 2 5 2 2 3 2" xfId="41173"/>
    <cellStyle name="20% - Accent1 2 2 2 5 2 2 4" xfId="31529"/>
    <cellStyle name="20% - Accent1 2 2 2 5 2 3" xfId="16511"/>
    <cellStyle name="20% - Accent1 2 2 2 5 2 3 2" xfId="26227"/>
    <cellStyle name="20% - Accent1 2 2 2 5 2 3 2 2" xfId="45981"/>
    <cellStyle name="20% - Accent1 2 2 2 5 2 3 3" xfId="36337"/>
    <cellStyle name="20% - Accent1 2 2 2 5 2 4" xfId="21417"/>
    <cellStyle name="20% - Accent1 2 2 2 5 2 4 2" xfId="41172"/>
    <cellStyle name="20% - Accent1 2 2 2 5 2 5" xfId="31528"/>
    <cellStyle name="20% - Accent1 2 2 2 5 3" xfId="1208"/>
    <cellStyle name="20% - Accent1 2 2 2 5 3 2" xfId="16513"/>
    <cellStyle name="20% - Accent1 2 2 2 5 3 2 2" xfId="26229"/>
    <cellStyle name="20% - Accent1 2 2 2 5 3 2 2 2" xfId="45983"/>
    <cellStyle name="20% - Accent1 2 2 2 5 3 2 3" xfId="36339"/>
    <cellStyle name="20% - Accent1 2 2 2 5 3 3" xfId="21419"/>
    <cellStyle name="20% - Accent1 2 2 2 5 3 3 2" xfId="41174"/>
    <cellStyle name="20% - Accent1 2 2 2 5 3 4" xfId="31530"/>
    <cellStyle name="20% - Accent1 2 2 2 5 4" xfId="16510"/>
    <cellStyle name="20% - Accent1 2 2 2 5 4 2" xfId="26226"/>
    <cellStyle name="20% - Accent1 2 2 2 5 4 2 2" xfId="45980"/>
    <cellStyle name="20% - Accent1 2 2 2 5 4 3" xfId="36336"/>
    <cellStyle name="20% - Accent1 2 2 2 5 5" xfId="21416"/>
    <cellStyle name="20% - Accent1 2 2 2 5 5 2" xfId="41171"/>
    <cellStyle name="20% - Accent1 2 2 2 5 6" xfId="31527"/>
    <cellStyle name="20% - Accent1 2 2 2 6" xfId="1209"/>
    <cellStyle name="20% - Accent1 2 2 2 6 2" xfId="1210"/>
    <cellStyle name="20% - Accent1 2 2 2 6 2 2" xfId="16515"/>
    <cellStyle name="20% - Accent1 2 2 2 6 2 2 2" xfId="26231"/>
    <cellStyle name="20% - Accent1 2 2 2 6 2 2 2 2" xfId="45985"/>
    <cellStyle name="20% - Accent1 2 2 2 6 2 2 3" xfId="36341"/>
    <cellStyle name="20% - Accent1 2 2 2 6 2 3" xfId="21421"/>
    <cellStyle name="20% - Accent1 2 2 2 6 2 3 2" xfId="41176"/>
    <cellStyle name="20% - Accent1 2 2 2 6 2 4" xfId="31532"/>
    <cellStyle name="20% - Accent1 2 2 2 6 3" xfId="16514"/>
    <cellStyle name="20% - Accent1 2 2 2 6 3 2" xfId="26230"/>
    <cellStyle name="20% - Accent1 2 2 2 6 3 2 2" xfId="45984"/>
    <cellStyle name="20% - Accent1 2 2 2 6 3 3" xfId="36340"/>
    <cellStyle name="20% - Accent1 2 2 2 6 4" xfId="21420"/>
    <cellStyle name="20% - Accent1 2 2 2 6 4 2" xfId="41175"/>
    <cellStyle name="20% - Accent1 2 2 2 6 5" xfId="31531"/>
    <cellStyle name="20% - Accent1 2 2 2 7" xfId="1211"/>
    <cellStyle name="20% - Accent1 2 2 2 7 2" xfId="1212"/>
    <cellStyle name="20% - Accent1 2 2 2 7 2 2" xfId="16517"/>
    <cellStyle name="20% - Accent1 2 2 2 7 2 2 2" xfId="26233"/>
    <cellStyle name="20% - Accent1 2 2 2 7 2 2 2 2" xfId="45987"/>
    <cellStyle name="20% - Accent1 2 2 2 7 2 2 3" xfId="36343"/>
    <cellStyle name="20% - Accent1 2 2 2 7 2 3" xfId="21423"/>
    <cellStyle name="20% - Accent1 2 2 2 7 2 3 2" xfId="41178"/>
    <cellStyle name="20% - Accent1 2 2 2 7 2 4" xfId="31534"/>
    <cellStyle name="20% - Accent1 2 2 2 7 3" xfId="16516"/>
    <cellStyle name="20% - Accent1 2 2 2 7 3 2" xfId="26232"/>
    <cellStyle name="20% - Accent1 2 2 2 7 3 2 2" xfId="45986"/>
    <cellStyle name="20% - Accent1 2 2 2 7 3 3" xfId="36342"/>
    <cellStyle name="20% - Accent1 2 2 2 7 4" xfId="21422"/>
    <cellStyle name="20% - Accent1 2 2 2 7 4 2" xfId="41177"/>
    <cellStyle name="20% - Accent1 2 2 2 7 5" xfId="31533"/>
    <cellStyle name="20% - Accent1 2 2 2 8" xfId="1213"/>
    <cellStyle name="20% - Accent1 2 2 2 8 2" xfId="16518"/>
    <cellStyle name="20% - Accent1 2 2 2 8 2 2" xfId="26234"/>
    <cellStyle name="20% - Accent1 2 2 2 8 2 2 2" xfId="45988"/>
    <cellStyle name="20% - Accent1 2 2 2 8 2 3" xfId="36344"/>
    <cellStyle name="20% - Accent1 2 2 2 8 3" xfId="21424"/>
    <cellStyle name="20% - Accent1 2 2 2 8 3 2" xfId="41179"/>
    <cellStyle name="20% - Accent1 2 2 2 8 4" xfId="31535"/>
    <cellStyle name="20% - Accent1 2 2 2 9" xfId="1214"/>
    <cellStyle name="20% - Accent1 2 2 2 9 2" xfId="16519"/>
    <cellStyle name="20% - Accent1 2 2 2 9 2 2" xfId="26235"/>
    <cellStyle name="20% - Accent1 2 2 2 9 2 2 2" xfId="45989"/>
    <cellStyle name="20% - Accent1 2 2 2 9 2 3" xfId="36345"/>
    <cellStyle name="20% - Accent1 2 2 2 9 3" xfId="21425"/>
    <cellStyle name="20% - Accent1 2 2 2 9 3 2" xfId="41180"/>
    <cellStyle name="20% - Accent1 2 2 2 9 4" xfId="31536"/>
    <cellStyle name="20% - Accent1 2 2 3" xfId="1215"/>
    <cellStyle name="20% - Accent1 2 2 3 10" xfId="31537"/>
    <cellStyle name="20% - Accent1 2 2 3 2" xfId="1216"/>
    <cellStyle name="20% - Accent1 2 2 3 2 2" xfId="1217"/>
    <cellStyle name="20% - Accent1 2 2 3 2 2 2" xfId="1218"/>
    <cellStyle name="20% - Accent1 2 2 3 2 2 2 2" xfId="1219"/>
    <cellStyle name="20% - Accent1 2 2 3 2 2 2 2 2" xfId="16524"/>
    <cellStyle name="20% - Accent1 2 2 3 2 2 2 2 2 2" xfId="26240"/>
    <cellStyle name="20% - Accent1 2 2 3 2 2 2 2 2 2 2" xfId="45994"/>
    <cellStyle name="20% - Accent1 2 2 3 2 2 2 2 2 3" xfId="36350"/>
    <cellStyle name="20% - Accent1 2 2 3 2 2 2 2 3" xfId="21430"/>
    <cellStyle name="20% - Accent1 2 2 3 2 2 2 2 3 2" xfId="41185"/>
    <cellStyle name="20% - Accent1 2 2 3 2 2 2 2 4" xfId="31541"/>
    <cellStyle name="20% - Accent1 2 2 3 2 2 2 3" xfId="16523"/>
    <cellStyle name="20% - Accent1 2 2 3 2 2 2 3 2" xfId="26239"/>
    <cellStyle name="20% - Accent1 2 2 3 2 2 2 3 2 2" xfId="45993"/>
    <cellStyle name="20% - Accent1 2 2 3 2 2 2 3 3" xfId="36349"/>
    <cellStyle name="20% - Accent1 2 2 3 2 2 2 4" xfId="21429"/>
    <cellStyle name="20% - Accent1 2 2 3 2 2 2 4 2" xfId="41184"/>
    <cellStyle name="20% - Accent1 2 2 3 2 2 2 5" xfId="31540"/>
    <cellStyle name="20% - Accent1 2 2 3 2 2 3" xfId="1220"/>
    <cellStyle name="20% - Accent1 2 2 3 2 2 3 2" xfId="16525"/>
    <cellStyle name="20% - Accent1 2 2 3 2 2 3 2 2" xfId="26241"/>
    <cellStyle name="20% - Accent1 2 2 3 2 2 3 2 2 2" xfId="45995"/>
    <cellStyle name="20% - Accent1 2 2 3 2 2 3 2 3" xfId="36351"/>
    <cellStyle name="20% - Accent1 2 2 3 2 2 3 3" xfId="21431"/>
    <cellStyle name="20% - Accent1 2 2 3 2 2 3 3 2" xfId="41186"/>
    <cellStyle name="20% - Accent1 2 2 3 2 2 3 4" xfId="31542"/>
    <cellStyle name="20% - Accent1 2 2 3 2 2 4" xfId="16522"/>
    <cellStyle name="20% - Accent1 2 2 3 2 2 4 2" xfId="26238"/>
    <cellStyle name="20% - Accent1 2 2 3 2 2 4 2 2" xfId="45992"/>
    <cellStyle name="20% - Accent1 2 2 3 2 2 4 3" xfId="36348"/>
    <cellStyle name="20% - Accent1 2 2 3 2 2 5" xfId="21428"/>
    <cellStyle name="20% - Accent1 2 2 3 2 2 5 2" xfId="41183"/>
    <cellStyle name="20% - Accent1 2 2 3 2 2 6" xfId="31539"/>
    <cellStyle name="20% - Accent1 2 2 3 2 3" xfId="1221"/>
    <cellStyle name="20% - Accent1 2 2 3 2 3 2" xfId="1222"/>
    <cellStyle name="20% - Accent1 2 2 3 2 3 2 2" xfId="16527"/>
    <cellStyle name="20% - Accent1 2 2 3 2 3 2 2 2" xfId="26243"/>
    <cellStyle name="20% - Accent1 2 2 3 2 3 2 2 2 2" xfId="45997"/>
    <cellStyle name="20% - Accent1 2 2 3 2 3 2 2 3" xfId="36353"/>
    <cellStyle name="20% - Accent1 2 2 3 2 3 2 3" xfId="21433"/>
    <cellStyle name="20% - Accent1 2 2 3 2 3 2 3 2" xfId="41188"/>
    <cellStyle name="20% - Accent1 2 2 3 2 3 2 4" xfId="31544"/>
    <cellStyle name="20% - Accent1 2 2 3 2 3 3" xfId="16526"/>
    <cellStyle name="20% - Accent1 2 2 3 2 3 3 2" xfId="26242"/>
    <cellStyle name="20% - Accent1 2 2 3 2 3 3 2 2" xfId="45996"/>
    <cellStyle name="20% - Accent1 2 2 3 2 3 3 3" xfId="36352"/>
    <cellStyle name="20% - Accent1 2 2 3 2 3 4" xfId="21432"/>
    <cellStyle name="20% - Accent1 2 2 3 2 3 4 2" xfId="41187"/>
    <cellStyle name="20% - Accent1 2 2 3 2 3 5" xfId="31543"/>
    <cellStyle name="20% - Accent1 2 2 3 2 4" xfId="1223"/>
    <cellStyle name="20% - Accent1 2 2 3 2 4 2" xfId="16528"/>
    <cellStyle name="20% - Accent1 2 2 3 2 4 2 2" xfId="26244"/>
    <cellStyle name="20% - Accent1 2 2 3 2 4 2 2 2" xfId="45998"/>
    <cellStyle name="20% - Accent1 2 2 3 2 4 2 3" xfId="36354"/>
    <cellStyle name="20% - Accent1 2 2 3 2 4 3" xfId="21434"/>
    <cellStyle name="20% - Accent1 2 2 3 2 4 3 2" xfId="41189"/>
    <cellStyle name="20% - Accent1 2 2 3 2 4 4" xfId="31545"/>
    <cellStyle name="20% - Accent1 2 2 3 2 5" xfId="16521"/>
    <cellStyle name="20% - Accent1 2 2 3 2 5 2" xfId="26237"/>
    <cellStyle name="20% - Accent1 2 2 3 2 5 2 2" xfId="45991"/>
    <cellStyle name="20% - Accent1 2 2 3 2 5 3" xfId="36347"/>
    <cellStyle name="20% - Accent1 2 2 3 2 6" xfId="21427"/>
    <cellStyle name="20% - Accent1 2 2 3 2 6 2" xfId="41182"/>
    <cellStyle name="20% - Accent1 2 2 3 2 7" xfId="31538"/>
    <cellStyle name="20% - Accent1 2 2 3 3" xfId="1224"/>
    <cellStyle name="20% - Accent1 2 2 3 3 2" xfId="1225"/>
    <cellStyle name="20% - Accent1 2 2 3 3 2 2" xfId="1226"/>
    <cellStyle name="20% - Accent1 2 2 3 3 2 2 2" xfId="16531"/>
    <cellStyle name="20% - Accent1 2 2 3 3 2 2 2 2" xfId="26247"/>
    <cellStyle name="20% - Accent1 2 2 3 3 2 2 2 2 2" xfId="46001"/>
    <cellStyle name="20% - Accent1 2 2 3 3 2 2 2 3" xfId="36357"/>
    <cellStyle name="20% - Accent1 2 2 3 3 2 2 3" xfId="21437"/>
    <cellStyle name="20% - Accent1 2 2 3 3 2 2 3 2" xfId="41192"/>
    <cellStyle name="20% - Accent1 2 2 3 3 2 2 4" xfId="31548"/>
    <cellStyle name="20% - Accent1 2 2 3 3 2 3" xfId="16530"/>
    <cellStyle name="20% - Accent1 2 2 3 3 2 3 2" xfId="26246"/>
    <cellStyle name="20% - Accent1 2 2 3 3 2 3 2 2" xfId="46000"/>
    <cellStyle name="20% - Accent1 2 2 3 3 2 3 3" xfId="36356"/>
    <cellStyle name="20% - Accent1 2 2 3 3 2 4" xfId="21436"/>
    <cellStyle name="20% - Accent1 2 2 3 3 2 4 2" xfId="41191"/>
    <cellStyle name="20% - Accent1 2 2 3 3 2 5" xfId="31547"/>
    <cellStyle name="20% - Accent1 2 2 3 3 3" xfId="1227"/>
    <cellStyle name="20% - Accent1 2 2 3 3 3 2" xfId="16532"/>
    <cellStyle name="20% - Accent1 2 2 3 3 3 2 2" xfId="26248"/>
    <cellStyle name="20% - Accent1 2 2 3 3 3 2 2 2" xfId="46002"/>
    <cellStyle name="20% - Accent1 2 2 3 3 3 2 3" xfId="36358"/>
    <cellStyle name="20% - Accent1 2 2 3 3 3 3" xfId="21438"/>
    <cellStyle name="20% - Accent1 2 2 3 3 3 3 2" xfId="41193"/>
    <cellStyle name="20% - Accent1 2 2 3 3 3 4" xfId="31549"/>
    <cellStyle name="20% - Accent1 2 2 3 3 4" xfId="16529"/>
    <cellStyle name="20% - Accent1 2 2 3 3 4 2" xfId="26245"/>
    <cellStyle name="20% - Accent1 2 2 3 3 4 2 2" xfId="45999"/>
    <cellStyle name="20% - Accent1 2 2 3 3 4 3" xfId="36355"/>
    <cellStyle name="20% - Accent1 2 2 3 3 5" xfId="21435"/>
    <cellStyle name="20% - Accent1 2 2 3 3 5 2" xfId="41190"/>
    <cellStyle name="20% - Accent1 2 2 3 3 6" xfId="31546"/>
    <cellStyle name="20% - Accent1 2 2 3 4" xfId="1228"/>
    <cellStyle name="20% - Accent1 2 2 3 4 2" xfId="1229"/>
    <cellStyle name="20% - Accent1 2 2 3 4 2 2" xfId="16534"/>
    <cellStyle name="20% - Accent1 2 2 3 4 2 2 2" xfId="26250"/>
    <cellStyle name="20% - Accent1 2 2 3 4 2 2 2 2" xfId="46004"/>
    <cellStyle name="20% - Accent1 2 2 3 4 2 2 3" xfId="36360"/>
    <cellStyle name="20% - Accent1 2 2 3 4 2 3" xfId="21440"/>
    <cellStyle name="20% - Accent1 2 2 3 4 2 3 2" xfId="41195"/>
    <cellStyle name="20% - Accent1 2 2 3 4 2 4" xfId="31551"/>
    <cellStyle name="20% - Accent1 2 2 3 4 3" xfId="16533"/>
    <cellStyle name="20% - Accent1 2 2 3 4 3 2" xfId="26249"/>
    <cellStyle name="20% - Accent1 2 2 3 4 3 2 2" xfId="46003"/>
    <cellStyle name="20% - Accent1 2 2 3 4 3 3" xfId="36359"/>
    <cellStyle name="20% - Accent1 2 2 3 4 4" xfId="21439"/>
    <cellStyle name="20% - Accent1 2 2 3 4 4 2" xfId="41194"/>
    <cellStyle name="20% - Accent1 2 2 3 4 5" xfId="31550"/>
    <cellStyle name="20% - Accent1 2 2 3 5" xfId="1230"/>
    <cellStyle name="20% - Accent1 2 2 3 5 2" xfId="16535"/>
    <cellStyle name="20% - Accent1 2 2 3 5 2 2" xfId="26251"/>
    <cellStyle name="20% - Accent1 2 2 3 5 2 2 2" xfId="46005"/>
    <cellStyle name="20% - Accent1 2 2 3 5 2 3" xfId="36361"/>
    <cellStyle name="20% - Accent1 2 2 3 5 3" xfId="21441"/>
    <cellStyle name="20% - Accent1 2 2 3 5 3 2" xfId="41196"/>
    <cellStyle name="20% - Accent1 2 2 3 5 4" xfId="31552"/>
    <cellStyle name="20% - Accent1 2 2 3 6" xfId="1231"/>
    <cellStyle name="20% - Accent1 2 2 3 6 2" xfId="16536"/>
    <cellStyle name="20% - Accent1 2 2 3 6 2 2" xfId="26252"/>
    <cellStyle name="20% - Accent1 2 2 3 6 2 2 2" xfId="46006"/>
    <cellStyle name="20% - Accent1 2 2 3 6 2 3" xfId="36362"/>
    <cellStyle name="20% - Accent1 2 2 3 6 3" xfId="21442"/>
    <cellStyle name="20% - Accent1 2 2 3 6 3 2" xfId="41197"/>
    <cellStyle name="20% - Accent1 2 2 3 6 4" xfId="31553"/>
    <cellStyle name="20% - Accent1 2 2 3 7" xfId="1232"/>
    <cellStyle name="20% - Accent1 2 2 3 7 2" xfId="16537"/>
    <cellStyle name="20% - Accent1 2 2 3 7 2 2" xfId="26253"/>
    <cellStyle name="20% - Accent1 2 2 3 7 2 2 2" xfId="46007"/>
    <cellStyle name="20% - Accent1 2 2 3 7 2 3" xfId="36363"/>
    <cellStyle name="20% - Accent1 2 2 3 7 3" xfId="21443"/>
    <cellStyle name="20% - Accent1 2 2 3 7 3 2" xfId="41198"/>
    <cellStyle name="20% - Accent1 2 2 3 7 4" xfId="31554"/>
    <cellStyle name="20% - Accent1 2 2 3 8" xfId="16520"/>
    <cellStyle name="20% - Accent1 2 2 3 8 2" xfId="26236"/>
    <cellStyle name="20% - Accent1 2 2 3 8 2 2" xfId="45990"/>
    <cellStyle name="20% - Accent1 2 2 3 8 3" xfId="36346"/>
    <cellStyle name="20% - Accent1 2 2 3 9" xfId="21426"/>
    <cellStyle name="20% - Accent1 2 2 3 9 2" xfId="41181"/>
    <cellStyle name="20% - Accent1 2 2 4" xfId="1233"/>
    <cellStyle name="20% - Accent1 2 2 4 2" xfId="1234"/>
    <cellStyle name="20% - Accent1 2 2 4 2 2" xfId="1235"/>
    <cellStyle name="20% - Accent1 2 2 4 2 2 2" xfId="1236"/>
    <cellStyle name="20% - Accent1 2 2 4 2 2 2 2" xfId="16541"/>
    <cellStyle name="20% - Accent1 2 2 4 2 2 2 2 2" xfId="26257"/>
    <cellStyle name="20% - Accent1 2 2 4 2 2 2 2 2 2" xfId="46011"/>
    <cellStyle name="20% - Accent1 2 2 4 2 2 2 2 3" xfId="36367"/>
    <cellStyle name="20% - Accent1 2 2 4 2 2 2 3" xfId="21447"/>
    <cellStyle name="20% - Accent1 2 2 4 2 2 2 3 2" xfId="41202"/>
    <cellStyle name="20% - Accent1 2 2 4 2 2 2 4" xfId="31558"/>
    <cellStyle name="20% - Accent1 2 2 4 2 2 3" xfId="16540"/>
    <cellStyle name="20% - Accent1 2 2 4 2 2 3 2" xfId="26256"/>
    <cellStyle name="20% - Accent1 2 2 4 2 2 3 2 2" xfId="46010"/>
    <cellStyle name="20% - Accent1 2 2 4 2 2 3 3" xfId="36366"/>
    <cellStyle name="20% - Accent1 2 2 4 2 2 4" xfId="21446"/>
    <cellStyle name="20% - Accent1 2 2 4 2 2 4 2" xfId="41201"/>
    <cellStyle name="20% - Accent1 2 2 4 2 2 5" xfId="31557"/>
    <cellStyle name="20% - Accent1 2 2 4 2 3" xfId="1237"/>
    <cellStyle name="20% - Accent1 2 2 4 2 3 2" xfId="16542"/>
    <cellStyle name="20% - Accent1 2 2 4 2 3 2 2" xfId="26258"/>
    <cellStyle name="20% - Accent1 2 2 4 2 3 2 2 2" xfId="46012"/>
    <cellStyle name="20% - Accent1 2 2 4 2 3 2 3" xfId="36368"/>
    <cellStyle name="20% - Accent1 2 2 4 2 3 3" xfId="21448"/>
    <cellStyle name="20% - Accent1 2 2 4 2 3 3 2" xfId="41203"/>
    <cellStyle name="20% - Accent1 2 2 4 2 3 4" xfId="31559"/>
    <cellStyle name="20% - Accent1 2 2 4 2 4" xfId="16539"/>
    <cellStyle name="20% - Accent1 2 2 4 2 4 2" xfId="26255"/>
    <cellStyle name="20% - Accent1 2 2 4 2 4 2 2" xfId="46009"/>
    <cellStyle name="20% - Accent1 2 2 4 2 4 3" xfId="36365"/>
    <cellStyle name="20% - Accent1 2 2 4 2 5" xfId="21445"/>
    <cellStyle name="20% - Accent1 2 2 4 2 5 2" xfId="41200"/>
    <cellStyle name="20% - Accent1 2 2 4 2 6" xfId="31556"/>
    <cellStyle name="20% - Accent1 2 2 4 3" xfId="1238"/>
    <cellStyle name="20% - Accent1 2 2 4 3 2" xfId="1239"/>
    <cellStyle name="20% - Accent1 2 2 4 3 2 2" xfId="16544"/>
    <cellStyle name="20% - Accent1 2 2 4 3 2 2 2" xfId="26260"/>
    <cellStyle name="20% - Accent1 2 2 4 3 2 2 2 2" xfId="46014"/>
    <cellStyle name="20% - Accent1 2 2 4 3 2 2 3" xfId="36370"/>
    <cellStyle name="20% - Accent1 2 2 4 3 2 3" xfId="21450"/>
    <cellStyle name="20% - Accent1 2 2 4 3 2 3 2" xfId="41205"/>
    <cellStyle name="20% - Accent1 2 2 4 3 2 4" xfId="31561"/>
    <cellStyle name="20% - Accent1 2 2 4 3 3" xfId="16543"/>
    <cellStyle name="20% - Accent1 2 2 4 3 3 2" xfId="26259"/>
    <cellStyle name="20% - Accent1 2 2 4 3 3 2 2" xfId="46013"/>
    <cellStyle name="20% - Accent1 2 2 4 3 3 3" xfId="36369"/>
    <cellStyle name="20% - Accent1 2 2 4 3 4" xfId="21449"/>
    <cellStyle name="20% - Accent1 2 2 4 3 4 2" xfId="41204"/>
    <cellStyle name="20% - Accent1 2 2 4 3 5" xfId="31560"/>
    <cellStyle name="20% - Accent1 2 2 4 4" xfId="1240"/>
    <cellStyle name="20% - Accent1 2 2 4 4 2" xfId="16545"/>
    <cellStyle name="20% - Accent1 2 2 4 4 2 2" xfId="26261"/>
    <cellStyle name="20% - Accent1 2 2 4 4 2 2 2" xfId="46015"/>
    <cellStyle name="20% - Accent1 2 2 4 4 2 3" xfId="36371"/>
    <cellStyle name="20% - Accent1 2 2 4 4 3" xfId="21451"/>
    <cellStyle name="20% - Accent1 2 2 4 4 3 2" xfId="41206"/>
    <cellStyle name="20% - Accent1 2 2 4 4 4" xfId="31562"/>
    <cellStyle name="20% - Accent1 2 2 4 5" xfId="16538"/>
    <cellStyle name="20% - Accent1 2 2 4 5 2" xfId="26254"/>
    <cellStyle name="20% - Accent1 2 2 4 5 2 2" xfId="46008"/>
    <cellStyle name="20% - Accent1 2 2 4 5 3" xfId="36364"/>
    <cellStyle name="20% - Accent1 2 2 4 6" xfId="21444"/>
    <cellStyle name="20% - Accent1 2 2 4 6 2" xfId="41199"/>
    <cellStyle name="20% - Accent1 2 2 4 7" xfId="31555"/>
    <cellStyle name="20% - Accent1 2 2 5" xfId="1241"/>
    <cellStyle name="20% - Accent1 2 2 5 2" xfId="1242"/>
    <cellStyle name="20% - Accent1 2 2 5 2 2" xfId="1243"/>
    <cellStyle name="20% - Accent1 2 2 5 2 2 2" xfId="1244"/>
    <cellStyle name="20% - Accent1 2 2 5 2 2 2 2" xfId="16549"/>
    <cellStyle name="20% - Accent1 2 2 5 2 2 2 2 2" xfId="26265"/>
    <cellStyle name="20% - Accent1 2 2 5 2 2 2 2 2 2" xfId="46019"/>
    <cellStyle name="20% - Accent1 2 2 5 2 2 2 2 3" xfId="36375"/>
    <cellStyle name="20% - Accent1 2 2 5 2 2 2 3" xfId="21455"/>
    <cellStyle name="20% - Accent1 2 2 5 2 2 2 3 2" xfId="41210"/>
    <cellStyle name="20% - Accent1 2 2 5 2 2 2 4" xfId="31566"/>
    <cellStyle name="20% - Accent1 2 2 5 2 2 3" xfId="16548"/>
    <cellStyle name="20% - Accent1 2 2 5 2 2 3 2" xfId="26264"/>
    <cellStyle name="20% - Accent1 2 2 5 2 2 3 2 2" xfId="46018"/>
    <cellStyle name="20% - Accent1 2 2 5 2 2 3 3" xfId="36374"/>
    <cellStyle name="20% - Accent1 2 2 5 2 2 4" xfId="21454"/>
    <cellStyle name="20% - Accent1 2 2 5 2 2 4 2" xfId="41209"/>
    <cellStyle name="20% - Accent1 2 2 5 2 2 5" xfId="31565"/>
    <cellStyle name="20% - Accent1 2 2 5 2 3" xfId="1245"/>
    <cellStyle name="20% - Accent1 2 2 5 2 3 2" xfId="16550"/>
    <cellStyle name="20% - Accent1 2 2 5 2 3 2 2" xfId="26266"/>
    <cellStyle name="20% - Accent1 2 2 5 2 3 2 2 2" xfId="46020"/>
    <cellStyle name="20% - Accent1 2 2 5 2 3 2 3" xfId="36376"/>
    <cellStyle name="20% - Accent1 2 2 5 2 3 3" xfId="21456"/>
    <cellStyle name="20% - Accent1 2 2 5 2 3 3 2" xfId="41211"/>
    <cellStyle name="20% - Accent1 2 2 5 2 3 4" xfId="31567"/>
    <cellStyle name="20% - Accent1 2 2 5 2 4" xfId="16547"/>
    <cellStyle name="20% - Accent1 2 2 5 2 4 2" xfId="26263"/>
    <cellStyle name="20% - Accent1 2 2 5 2 4 2 2" xfId="46017"/>
    <cellStyle name="20% - Accent1 2 2 5 2 4 3" xfId="36373"/>
    <cellStyle name="20% - Accent1 2 2 5 2 5" xfId="21453"/>
    <cellStyle name="20% - Accent1 2 2 5 2 5 2" xfId="41208"/>
    <cellStyle name="20% - Accent1 2 2 5 2 6" xfId="31564"/>
    <cellStyle name="20% - Accent1 2 2 5 3" xfId="1246"/>
    <cellStyle name="20% - Accent1 2 2 5 3 2" xfId="1247"/>
    <cellStyle name="20% - Accent1 2 2 5 3 2 2" xfId="16552"/>
    <cellStyle name="20% - Accent1 2 2 5 3 2 2 2" xfId="26268"/>
    <cellStyle name="20% - Accent1 2 2 5 3 2 2 2 2" xfId="46022"/>
    <cellStyle name="20% - Accent1 2 2 5 3 2 2 3" xfId="36378"/>
    <cellStyle name="20% - Accent1 2 2 5 3 2 3" xfId="21458"/>
    <cellStyle name="20% - Accent1 2 2 5 3 2 3 2" xfId="41213"/>
    <cellStyle name="20% - Accent1 2 2 5 3 2 4" xfId="31569"/>
    <cellStyle name="20% - Accent1 2 2 5 3 3" xfId="16551"/>
    <cellStyle name="20% - Accent1 2 2 5 3 3 2" xfId="26267"/>
    <cellStyle name="20% - Accent1 2 2 5 3 3 2 2" xfId="46021"/>
    <cellStyle name="20% - Accent1 2 2 5 3 3 3" xfId="36377"/>
    <cellStyle name="20% - Accent1 2 2 5 3 4" xfId="21457"/>
    <cellStyle name="20% - Accent1 2 2 5 3 4 2" xfId="41212"/>
    <cellStyle name="20% - Accent1 2 2 5 3 5" xfId="31568"/>
    <cellStyle name="20% - Accent1 2 2 5 4" xfId="1248"/>
    <cellStyle name="20% - Accent1 2 2 5 4 2" xfId="16553"/>
    <cellStyle name="20% - Accent1 2 2 5 4 2 2" xfId="26269"/>
    <cellStyle name="20% - Accent1 2 2 5 4 2 2 2" xfId="46023"/>
    <cellStyle name="20% - Accent1 2 2 5 4 2 3" xfId="36379"/>
    <cellStyle name="20% - Accent1 2 2 5 4 3" xfId="21459"/>
    <cellStyle name="20% - Accent1 2 2 5 4 3 2" xfId="41214"/>
    <cellStyle name="20% - Accent1 2 2 5 4 4" xfId="31570"/>
    <cellStyle name="20% - Accent1 2 2 5 5" xfId="16546"/>
    <cellStyle name="20% - Accent1 2 2 5 5 2" xfId="26262"/>
    <cellStyle name="20% - Accent1 2 2 5 5 2 2" xfId="46016"/>
    <cellStyle name="20% - Accent1 2 2 5 5 3" xfId="36372"/>
    <cellStyle name="20% - Accent1 2 2 5 6" xfId="21452"/>
    <cellStyle name="20% - Accent1 2 2 5 6 2" xfId="41207"/>
    <cellStyle name="20% - Accent1 2 2 5 7" xfId="31563"/>
    <cellStyle name="20% - Accent1 2 2 6" xfId="1249"/>
    <cellStyle name="20% - Accent1 2 2 7" xfId="1250"/>
    <cellStyle name="20% - Accent1 2 2 7 2" xfId="1251"/>
    <cellStyle name="20% - Accent1 2 2 7 2 2" xfId="1252"/>
    <cellStyle name="20% - Accent1 2 2 7 2 2 2" xfId="16556"/>
    <cellStyle name="20% - Accent1 2 2 7 2 2 2 2" xfId="26272"/>
    <cellStyle name="20% - Accent1 2 2 7 2 2 2 2 2" xfId="46026"/>
    <cellStyle name="20% - Accent1 2 2 7 2 2 2 3" xfId="36382"/>
    <cellStyle name="20% - Accent1 2 2 7 2 2 3" xfId="21462"/>
    <cellStyle name="20% - Accent1 2 2 7 2 2 3 2" xfId="41217"/>
    <cellStyle name="20% - Accent1 2 2 7 2 2 4" xfId="31573"/>
    <cellStyle name="20% - Accent1 2 2 7 2 3" xfId="16555"/>
    <cellStyle name="20% - Accent1 2 2 7 2 3 2" xfId="26271"/>
    <cellStyle name="20% - Accent1 2 2 7 2 3 2 2" xfId="46025"/>
    <cellStyle name="20% - Accent1 2 2 7 2 3 3" xfId="36381"/>
    <cellStyle name="20% - Accent1 2 2 7 2 4" xfId="21461"/>
    <cellStyle name="20% - Accent1 2 2 7 2 4 2" xfId="41216"/>
    <cellStyle name="20% - Accent1 2 2 7 2 5" xfId="31572"/>
    <cellStyle name="20% - Accent1 2 2 7 3" xfId="1253"/>
    <cellStyle name="20% - Accent1 2 2 7 3 2" xfId="16557"/>
    <cellStyle name="20% - Accent1 2 2 7 3 2 2" xfId="26273"/>
    <cellStyle name="20% - Accent1 2 2 7 3 2 2 2" xfId="46027"/>
    <cellStyle name="20% - Accent1 2 2 7 3 2 3" xfId="36383"/>
    <cellStyle name="20% - Accent1 2 2 7 3 3" xfId="21463"/>
    <cellStyle name="20% - Accent1 2 2 7 3 3 2" xfId="41218"/>
    <cellStyle name="20% - Accent1 2 2 7 3 4" xfId="31574"/>
    <cellStyle name="20% - Accent1 2 2 7 4" xfId="16554"/>
    <cellStyle name="20% - Accent1 2 2 7 4 2" xfId="26270"/>
    <cellStyle name="20% - Accent1 2 2 7 4 2 2" xfId="46024"/>
    <cellStyle name="20% - Accent1 2 2 7 4 3" xfId="36380"/>
    <cellStyle name="20% - Accent1 2 2 7 5" xfId="21460"/>
    <cellStyle name="20% - Accent1 2 2 7 5 2" xfId="41215"/>
    <cellStyle name="20% - Accent1 2 2 7 6" xfId="31571"/>
    <cellStyle name="20% - Accent1 2 2 8" xfId="1254"/>
    <cellStyle name="20% - Accent1 2 2 8 2" xfId="1255"/>
    <cellStyle name="20% - Accent1 2 2 8 2 2" xfId="16559"/>
    <cellStyle name="20% - Accent1 2 2 8 2 2 2" xfId="26275"/>
    <cellStyle name="20% - Accent1 2 2 8 2 2 2 2" xfId="46029"/>
    <cellStyle name="20% - Accent1 2 2 8 2 2 3" xfId="36385"/>
    <cellStyle name="20% - Accent1 2 2 8 2 3" xfId="21465"/>
    <cellStyle name="20% - Accent1 2 2 8 2 3 2" xfId="41220"/>
    <cellStyle name="20% - Accent1 2 2 8 2 4" xfId="31576"/>
    <cellStyle name="20% - Accent1 2 2 8 3" xfId="16558"/>
    <cellStyle name="20% - Accent1 2 2 8 3 2" xfId="26274"/>
    <cellStyle name="20% - Accent1 2 2 8 3 2 2" xfId="46028"/>
    <cellStyle name="20% - Accent1 2 2 8 3 3" xfId="36384"/>
    <cellStyle name="20% - Accent1 2 2 8 4" xfId="21464"/>
    <cellStyle name="20% - Accent1 2 2 8 4 2" xfId="41219"/>
    <cellStyle name="20% - Accent1 2 2 8 5" xfId="31575"/>
    <cellStyle name="20% - Accent1 2 2 9" xfId="1256"/>
    <cellStyle name="20% - Accent1 2 2 9 2" xfId="1257"/>
    <cellStyle name="20% - Accent1 2 2 9 2 2" xfId="16561"/>
    <cellStyle name="20% - Accent1 2 2 9 2 2 2" xfId="26277"/>
    <cellStyle name="20% - Accent1 2 2 9 2 2 2 2" xfId="46031"/>
    <cellStyle name="20% - Accent1 2 2 9 2 2 3" xfId="36387"/>
    <cellStyle name="20% - Accent1 2 2 9 2 3" xfId="21467"/>
    <cellStyle name="20% - Accent1 2 2 9 2 3 2" xfId="41222"/>
    <cellStyle name="20% - Accent1 2 2 9 2 4" xfId="31578"/>
    <cellStyle name="20% - Accent1 2 2 9 3" xfId="16560"/>
    <cellStyle name="20% - Accent1 2 2 9 3 2" xfId="26276"/>
    <cellStyle name="20% - Accent1 2 2 9 3 2 2" xfId="46030"/>
    <cellStyle name="20% - Accent1 2 2 9 3 3" xfId="36386"/>
    <cellStyle name="20% - Accent1 2 2 9 4" xfId="21466"/>
    <cellStyle name="20% - Accent1 2 2 9 4 2" xfId="41221"/>
    <cellStyle name="20% - Accent1 2 2 9 5" xfId="31577"/>
    <cellStyle name="20% - Accent1 2 3" xfId="6"/>
    <cellStyle name="20% - Accent1 2 3 10" xfId="1258"/>
    <cellStyle name="20% - Accent1 2 3 10 2" xfId="16562"/>
    <cellStyle name="20% - Accent1 2 3 10 2 2" xfId="26278"/>
    <cellStyle name="20% - Accent1 2 3 10 2 2 2" xfId="46032"/>
    <cellStyle name="20% - Accent1 2 3 10 2 3" xfId="36388"/>
    <cellStyle name="20% - Accent1 2 3 10 3" xfId="21468"/>
    <cellStyle name="20% - Accent1 2 3 10 3 2" xfId="41223"/>
    <cellStyle name="20% - Accent1 2 3 10 4" xfId="31579"/>
    <cellStyle name="20% - Accent1 2 3 11" xfId="15354"/>
    <cellStyle name="20% - Accent1 2 3 11 2" xfId="20226"/>
    <cellStyle name="20% - Accent1 2 3 11 2 2" xfId="29940"/>
    <cellStyle name="20% - Accent1 2 3 11 2 2 2" xfId="49693"/>
    <cellStyle name="20% - Accent1 2 3 11 2 3" xfId="40049"/>
    <cellStyle name="20% - Accent1 2 3 11 3" xfId="25128"/>
    <cellStyle name="20% - Accent1 2 3 11 3 2" xfId="44882"/>
    <cellStyle name="20% - Accent1 2 3 11 4" xfId="35238"/>
    <cellStyle name="20% - Accent1 2 3 12" xfId="15814"/>
    <cellStyle name="20% - Accent1 2 3 12 2" xfId="25530"/>
    <cellStyle name="20% - Accent1 2 3 12 2 2" xfId="45284"/>
    <cellStyle name="20% - Accent1 2 3 12 3" xfId="35640"/>
    <cellStyle name="20% - Accent1 2 3 13" xfId="20686"/>
    <cellStyle name="20% - Accent1 2 3 13 2" xfId="40466"/>
    <cellStyle name="20% - Accent1 2 3 14" xfId="30372"/>
    <cellStyle name="20% - Accent1 2 3 14 2" xfId="50120"/>
    <cellStyle name="20% - Accent1 2 3 15" xfId="30797"/>
    <cellStyle name="20% - Accent1 2 3 2" xfId="678"/>
    <cellStyle name="20% - Accent1 2 3 2 10" xfId="31042"/>
    <cellStyle name="20% - Accent1 2 3 2 2" xfId="1259"/>
    <cellStyle name="20% - Accent1 2 3 2 2 2" xfId="1260"/>
    <cellStyle name="20% - Accent1 2 3 2 2 2 2" xfId="1261"/>
    <cellStyle name="20% - Accent1 2 3 2 2 2 2 2" xfId="1262"/>
    <cellStyle name="20% - Accent1 2 3 2 2 2 2 2 2" xfId="16566"/>
    <cellStyle name="20% - Accent1 2 3 2 2 2 2 2 2 2" xfId="26282"/>
    <cellStyle name="20% - Accent1 2 3 2 2 2 2 2 2 2 2" xfId="46036"/>
    <cellStyle name="20% - Accent1 2 3 2 2 2 2 2 2 3" xfId="36392"/>
    <cellStyle name="20% - Accent1 2 3 2 2 2 2 2 3" xfId="21472"/>
    <cellStyle name="20% - Accent1 2 3 2 2 2 2 2 3 2" xfId="41227"/>
    <cellStyle name="20% - Accent1 2 3 2 2 2 2 2 4" xfId="31583"/>
    <cellStyle name="20% - Accent1 2 3 2 2 2 2 3" xfId="16565"/>
    <cellStyle name="20% - Accent1 2 3 2 2 2 2 3 2" xfId="26281"/>
    <cellStyle name="20% - Accent1 2 3 2 2 2 2 3 2 2" xfId="46035"/>
    <cellStyle name="20% - Accent1 2 3 2 2 2 2 3 3" xfId="36391"/>
    <cellStyle name="20% - Accent1 2 3 2 2 2 2 4" xfId="21471"/>
    <cellStyle name="20% - Accent1 2 3 2 2 2 2 4 2" xfId="41226"/>
    <cellStyle name="20% - Accent1 2 3 2 2 2 2 5" xfId="31582"/>
    <cellStyle name="20% - Accent1 2 3 2 2 2 3" xfId="1263"/>
    <cellStyle name="20% - Accent1 2 3 2 2 2 3 2" xfId="16567"/>
    <cellStyle name="20% - Accent1 2 3 2 2 2 3 2 2" xfId="26283"/>
    <cellStyle name="20% - Accent1 2 3 2 2 2 3 2 2 2" xfId="46037"/>
    <cellStyle name="20% - Accent1 2 3 2 2 2 3 2 3" xfId="36393"/>
    <cellStyle name="20% - Accent1 2 3 2 2 2 3 3" xfId="21473"/>
    <cellStyle name="20% - Accent1 2 3 2 2 2 3 3 2" xfId="41228"/>
    <cellStyle name="20% - Accent1 2 3 2 2 2 3 4" xfId="31584"/>
    <cellStyle name="20% - Accent1 2 3 2 2 2 4" xfId="16564"/>
    <cellStyle name="20% - Accent1 2 3 2 2 2 4 2" xfId="26280"/>
    <cellStyle name="20% - Accent1 2 3 2 2 2 4 2 2" xfId="46034"/>
    <cellStyle name="20% - Accent1 2 3 2 2 2 4 3" xfId="36390"/>
    <cellStyle name="20% - Accent1 2 3 2 2 2 5" xfId="21470"/>
    <cellStyle name="20% - Accent1 2 3 2 2 2 5 2" xfId="41225"/>
    <cellStyle name="20% - Accent1 2 3 2 2 2 6" xfId="31581"/>
    <cellStyle name="20% - Accent1 2 3 2 2 3" xfId="1264"/>
    <cellStyle name="20% - Accent1 2 3 2 2 3 2" xfId="1265"/>
    <cellStyle name="20% - Accent1 2 3 2 2 3 2 2" xfId="16569"/>
    <cellStyle name="20% - Accent1 2 3 2 2 3 2 2 2" xfId="26285"/>
    <cellStyle name="20% - Accent1 2 3 2 2 3 2 2 2 2" xfId="46039"/>
    <cellStyle name="20% - Accent1 2 3 2 2 3 2 2 3" xfId="36395"/>
    <cellStyle name="20% - Accent1 2 3 2 2 3 2 3" xfId="21475"/>
    <cellStyle name="20% - Accent1 2 3 2 2 3 2 3 2" xfId="41230"/>
    <cellStyle name="20% - Accent1 2 3 2 2 3 2 4" xfId="31586"/>
    <cellStyle name="20% - Accent1 2 3 2 2 3 3" xfId="16568"/>
    <cellStyle name="20% - Accent1 2 3 2 2 3 3 2" xfId="26284"/>
    <cellStyle name="20% - Accent1 2 3 2 2 3 3 2 2" xfId="46038"/>
    <cellStyle name="20% - Accent1 2 3 2 2 3 3 3" xfId="36394"/>
    <cellStyle name="20% - Accent1 2 3 2 2 3 4" xfId="21474"/>
    <cellStyle name="20% - Accent1 2 3 2 2 3 4 2" xfId="41229"/>
    <cellStyle name="20% - Accent1 2 3 2 2 3 5" xfId="31585"/>
    <cellStyle name="20% - Accent1 2 3 2 2 4" xfId="1266"/>
    <cellStyle name="20% - Accent1 2 3 2 2 4 2" xfId="16570"/>
    <cellStyle name="20% - Accent1 2 3 2 2 4 2 2" xfId="26286"/>
    <cellStyle name="20% - Accent1 2 3 2 2 4 2 2 2" xfId="46040"/>
    <cellStyle name="20% - Accent1 2 3 2 2 4 2 3" xfId="36396"/>
    <cellStyle name="20% - Accent1 2 3 2 2 4 3" xfId="21476"/>
    <cellStyle name="20% - Accent1 2 3 2 2 4 3 2" xfId="41231"/>
    <cellStyle name="20% - Accent1 2 3 2 2 4 4" xfId="31587"/>
    <cellStyle name="20% - Accent1 2 3 2 2 5" xfId="16563"/>
    <cellStyle name="20% - Accent1 2 3 2 2 5 2" xfId="26279"/>
    <cellStyle name="20% - Accent1 2 3 2 2 5 2 2" xfId="46033"/>
    <cellStyle name="20% - Accent1 2 3 2 2 5 3" xfId="36389"/>
    <cellStyle name="20% - Accent1 2 3 2 2 6" xfId="21469"/>
    <cellStyle name="20% - Accent1 2 3 2 2 6 2" xfId="41224"/>
    <cellStyle name="20% - Accent1 2 3 2 2 7" xfId="31580"/>
    <cellStyle name="20% - Accent1 2 3 2 3" xfId="1267"/>
    <cellStyle name="20% - Accent1 2 3 2 3 2" xfId="1268"/>
    <cellStyle name="20% - Accent1 2 3 2 3 2 2" xfId="1269"/>
    <cellStyle name="20% - Accent1 2 3 2 3 2 2 2" xfId="16573"/>
    <cellStyle name="20% - Accent1 2 3 2 3 2 2 2 2" xfId="26289"/>
    <cellStyle name="20% - Accent1 2 3 2 3 2 2 2 2 2" xfId="46043"/>
    <cellStyle name="20% - Accent1 2 3 2 3 2 2 2 3" xfId="36399"/>
    <cellStyle name="20% - Accent1 2 3 2 3 2 2 3" xfId="21479"/>
    <cellStyle name="20% - Accent1 2 3 2 3 2 2 3 2" xfId="41234"/>
    <cellStyle name="20% - Accent1 2 3 2 3 2 2 4" xfId="31590"/>
    <cellStyle name="20% - Accent1 2 3 2 3 2 3" xfId="16572"/>
    <cellStyle name="20% - Accent1 2 3 2 3 2 3 2" xfId="26288"/>
    <cellStyle name="20% - Accent1 2 3 2 3 2 3 2 2" xfId="46042"/>
    <cellStyle name="20% - Accent1 2 3 2 3 2 3 3" xfId="36398"/>
    <cellStyle name="20% - Accent1 2 3 2 3 2 4" xfId="21478"/>
    <cellStyle name="20% - Accent1 2 3 2 3 2 4 2" xfId="41233"/>
    <cellStyle name="20% - Accent1 2 3 2 3 2 5" xfId="31589"/>
    <cellStyle name="20% - Accent1 2 3 2 3 3" xfId="1270"/>
    <cellStyle name="20% - Accent1 2 3 2 3 3 2" xfId="16574"/>
    <cellStyle name="20% - Accent1 2 3 2 3 3 2 2" xfId="26290"/>
    <cellStyle name="20% - Accent1 2 3 2 3 3 2 2 2" xfId="46044"/>
    <cellStyle name="20% - Accent1 2 3 2 3 3 2 3" xfId="36400"/>
    <cellStyle name="20% - Accent1 2 3 2 3 3 3" xfId="21480"/>
    <cellStyle name="20% - Accent1 2 3 2 3 3 3 2" xfId="41235"/>
    <cellStyle name="20% - Accent1 2 3 2 3 3 4" xfId="31591"/>
    <cellStyle name="20% - Accent1 2 3 2 3 4" xfId="16571"/>
    <cellStyle name="20% - Accent1 2 3 2 3 4 2" xfId="26287"/>
    <cellStyle name="20% - Accent1 2 3 2 3 4 2 2" xfId="46041"/>
    <cellStyle name="20% - Accent1 2 3 2 3 4 3" xfId="36397"/>
    <cellStyle name="20% - Accent1 2 3 2 3 5" xfId="21477"/>
    <cellStyle name="20% - Accent1 2 3 2 3 5 2" xfId="41232"/>
    <cellStyle name="20% - Accent1 2 3 2 3 6" xfId="31588"/>
    <cellStyle name="20% - Accent1 2 3 2 4" xfId="1271"/>
    <cellStyle name="20% - Accent1 2 3 2 4 2" xfId="1272"/>
    <cellStyle name="20% - Accent1 2 3 2 4 2 2" xfId="16576"/>
    <cellStyle name="20% - Accent1 2 3 2 4 2 2 2" xfId="26292"/>
    <cellStyle name="20% - Accent1 2 3 2 4 2 2 2 2" xfId="46046"/>
    <cellStyle name="20% - Accent1 2 3 2 4 2 2 3" xfId="36402"/>
    <cellStyle name="20% - Accent1 2 3 2 4 2 3" xfId="21482"/>
    <cellStyle name="20% - Accent1 2 3 2 4 2 3 2" xfId="41237"/>
    <cellStyle name="20% - Accent1 2 3 2 4 2 4" xfId="31593"/>
    <cellStyle name="20% - Accent1 2 3 2 4 3" xfId="16575"/>
    <cellStyle name="20% - Accent1 2 3 2 4 3 2" xfId="26291"/>
    <cellStyle name="20% - Accent1 2 3 2 4 3 2 2" xfId="46045"/>
    <cellStyle name="20% - Accent1 2 3 2 4 3 3" xfId="36401"/>
    <cellStyle name="20% - Accent1 2 3 2 4 4" xfId="21481"/>
    <cellStyle name="20% - Accent1 2 3 2 4 4 2" xfId="41236"/>
    <cellStyle name="20% - Accent1 2 3 2 4 5" xfId="31592"/>
    <cellStyle name="20% - Accent1 2 3 2 5" xfId="1273"/>
    <cellStyle name="20% - Accent1 2 3 2 5 2" xfId="16577"/>
    <cellStyle name="20% - Accent1 2 3 2 5 2 2" xfId="26293"/>
    <cellStyle name="20% - Accent1 2 3 2 5 2 2 2" xfId="46047"/>
    <cellStyle name="20% - Accent1 2 3 2 5 2 3" xfId="36403"/>
    <cellStyle name="20% - Accent1 2 3 2 5 3" xfId="21483"/>
    <cellStyle name="20% - Accent1 2 3 2 5 3 2" xfId="41238"/>
    <cellStyle name="20% - Accent1 2 3 2 5 4" xfId="31594"/>
    <cellStyle name="20% - Accent1 2 3 2 6" xfId="1274"/>
    <cellStyle name="20% - Accent1 2 3 2 6 2" xfId="16578"/>
    <cellStyle name="20% - Accent1 2 3 2 6 2 2" xfId="26294"/>
    <cellStyle name="20% - Accent1 2 3 2 6 2 2 2" xfId="46048"/>
    <cellStyle name="20% - Accent1 2 3 2 6 2 3" xfId="36404"/>
    <cellStyle name="20% - Accent1 2 3 2 6 3" xfId="21484"/>
    <cellStyle name="20% - Accent1 2 3 2 6 3 2" xfId="41239"/>
    <cellStyle name="20% - Accent1 2 3 2 6 4" xfId="31595"/>
    <cellStyle name="20% - Accent1 2 3 2 7" xfId="1275"/>
    <cellStyle name="20% - Accent1 2 3 2 7 2" xfId="16579"/>
    <cellStyle name="20% - Accent1 2 3 2 7 2 2" xfId="26295"/>
    <cellStyle name="20% - Accent1 2 3 2 7 2 2 2" xfId="46049"/>
    <cellStyle name="20% - Accent1 2 3 2 7 2 3" xfId="36405"/>
    <cellStyle name="20% - Accent1 2 3 2 7 3" xfId="21485"/>
    <cellStyle name="20% - Accent1 2 3 2 7 3 2" xfId="41240"/>
    <cellStyle name="20% - Accent1 2 3 2 7 4" xfId="31596"/>
    <cellStyle name="20% - Accent1 2 3 2 8" xfId="16025"/>
    <cellStyle name="20% - Accent1 2 3 2 8 2" xfId="25741"/>
    <cellStyle name="20% - Accent1 2 3 2 8 2 2" xfId="45495"/>
    <cellStyle name="20% - Accent1 2 3 2 8 3" xfId="35851"/>
    <cellStyle name="20% - Accent1 2 3 2 9" xfId="20931"/>
    <cellStyle name="20% - Accent1 2 3 2 9 2" xfId="40686"/>
    <cellStyle name="20% - Accent1 2 3 3" xfId="1276"/>
    <cellStyle name="20% - Accent1 2 3 3 2" xfId="1277"/>
    <cellStyle name="20% - Accent1 2 3 3 2 2" xfId="1278"/>
    <cellStyle name="20% - Accent1 2 3 3 2 2 2" xfId="1279"/>
    <cellStyle name="20% - Accent1 2 3 3 2 2 2 2" xfId="16583"/>
    <cellStyle name="20% - Accent1 2 3 3 2 2 2 2 2" xfId="26299"/>
    <cellStyle name="20% - Accent1 2 3 3 2 2 2 2 2 2" xfId="46053"/>
    <cellStyle name="20% - Accent1 2 3 3 2 2 2 2 3" xfId="36409"/>
    <cellStyle name="20% - Accent1 2 3 3 2 2 2 3" xfId="21489"/>
    <cellStyle name="20% - Accent1 2 3 3 2 2 2 3 2" xfId="41244"/>
    <cellStyle name="20% - Accent1 2 3 3 2 2 2 4" xfId="31600"/>
    <cellStyle name="20% - Accent1 2 3 3 2 2 3" xfId="16582"/>
    <cellStyle name="20% - Accent1 2 3 3 2 2 3 2" xfId="26298"/>
    <cellStyle name="20% - Accent1 2 3 3 2 2 3 2 2" xfId="46052"/>
    <cellStyle name="20% - Accent1 2 3 3 2 2 3 3" xfId="36408"/>
    <cellStyle name="20% - Accent1 2 3 3 2 2 4" xfId="21488"/>
    <cellStyle name="20% - Accent1 2 3 3 2 2 4 2" xfId="41243"/>
    <cellStyle name="20% - Accent1 2 3 3 2 2 5" xfId="31599"/>
    <cellStyle name="20% - Accent1 2 3 3 2 3" xfId="1280"/>
    <cellStyle name="20% - Accent1 2 3 3 2 3 2" xfId="16584"/>
    <cellStyle name="20% - Accent1 2 3 3 2 3 2 2" xfId="26300"/>
    <cellStyle name="20% - Accent1 2 3 3 2 3 2 2 2" xfId="46054"/>
    <cellStyle name="20% - Accent1 2 3 3 2 3 2 3" xfId="36410"/>
    <cellStyle name="20% - Accent1 2 3 3 2 3 3" xfId="21490"/>
    <cellStyle name="20% - Accent1 2 3 3 2 3 3 2" xfId="41245"/>
    <cellStyle name="20% - Accent1 2 3 3 2 3 4" xfId="31601"/>
    <cellStyle name="20% - Accent1 2 3 3 2 4" xfId="16581"/>
    <cellStyle name="20% - Accent1 2 3 3 2 4 2" xfId="26297"/>
    <cellStyle name="20% - Accent1 2 3 3 2 4 2 2" xfId="46051"/>
    <cellStyle name="20% - Accent1 2 3 3 2 4 3" xfId="36407"/>
    <cellStyle name="20% - Accent1 2 3 3 2 5" xfId="21487"/>
    <cellStyle name="20% - Accent1 2 3 3 2 5 2" xfId="41242"/>
    <cellStyle name="20% - Accent1 2 3 3 2 6" xfId="31598"/>
    <cellStyle name="20% - Accent1 2 3 3 3" xfId="1281"/>
    <cellStyle name="20% - Accent1 2 3 3 3 2" xfId="1282"/>
    <cellStyle name="20% - Accent1 2 3 3 3 2 2" xfId="16586"/>
    <cellStyle name="20% - Accent1 2 3 3 3 2 2 2" xfId="26302"/>
    <cellStyle name="20% - Accent1 2 3 3 3 2 2 2 2" xfId="46056"/>
    <cellStyle name="20% - Accent1 2 3 3 3 2 2 3" xfId="36412"/>
    <cellStyle name="20% - Accent1 2 3 3 3 2 3" xfId="21492"/>
    <cellStyle name="20% - Accent1 2 3 3 3 2 3 2" xfId="41247"/>
    <cellStyle name="20% - Accent1 2 3 3 3 2 4" xfId="31603"/>
    <cellStyle name="20% - Accent1 2 3 3 3 3" xfId="16585"/>
    <cellStyle name="20% - Accent1 2 3 3 3 3 2" xfId="26301"/>
    <cellStyle name="20% - Accent1 2 3 3 3 3 2 2" xfId="46055"/>
    <cellStyle name="20% - Accent1 2 3 3 3 3 3" xfId="36411"/>
    <cellStyle name="20% - Accent1 2 3 3 3 4" xfId="21491"/>
    <cellStyle name="20% - Accent1 2 3 3 3 4 2" xfId="41246"/>
    <cellStyle name="20% - Accent1 2 3 3 3 5" xfId="31602"/>
    <cellStyle name="20% - Accent1 2 3 3 4" xfId="1283"/>
    <cellStyle name="20% - Accent1 2 3 3 4 2" xfId="16587"/>
    <cellStyle name="20% - Accent1 2 3 3 4 2 2" xfId="26303"/>
    <cellStyle name="20% - Accent1 2 3 3 4 2 2 2" xfId="46057"/>
    <cellStyle name="20% - Accent1 2 3 3 4 2 3" xfId="36413"/>
    <cellStyle name="20% - Accent1 2 3 3 4 3" xfId="21493"/>
    <cellStyle name="20% - Accent1 2 3 3 4 3 2" xfId="41248"/>
    <cellStyle name="20% - Accent1 2 3 3 4 4" xfId="31604"/>
    <cellStyle name="20% - Accent1 2 3 3 5" xfId="16580"/>
    <cellStyle name="20% - Accent1 2 3 3 5 2" xfId="26296"/>
    <cellStyle name="20% - Accent1 2 3 3 5 2 2" xfId="46050"/>
    <cellStyle name="20% - Accent1 2 3 3 5 3" xfId="36406"/>
    <cellStyle name="20% - Accent1 2 3 3 6" xfId="21486"/>
    <cellStyle name="20% - Accent1 2 3 3 6 2" xfId="41241"/>
    <cellStyle name="20% - Accent1 2 3 3 7" xfId="31597"/>
    <cellStyle name="20% - Accent1 2 3 4" xfId="1284"/>
    <cellStyle name="20% - Accent1 2 3 4 2" xfId="1285"/>
    <cellStyle name="20% - Accent1 2 3 4 2 2" xfId="1286"/>
    <cellStyle name="20% - Accent1 2 3 4 2 2 2" xfId="1287"/>
    <cellStyle name="20% - Accent1 2 3 4 2 2 2 2" xfId="16591"/>
    <cellStyle name="20% - Accent1 2 3 4 2 2 2 2 2" xfId="26307"/>
    <cellStyle name="20% - Accent1 2 3 4 2 2 2 2 2 2" xfId="46061"/>
    <cellStyle name="20% - Accent1 2 3 4 2 2 2 2 3" xfId="36417"/>
    <cellStyle name="20% - Accent1 2 3 4 2 2 2 3" xfId="21497"/>
    <cellStyle name="20% - Accent1 2 3 4 2 2 2 3 2" xfId="41252"/>
    <cellStyle name="20% - Accent1 2 3 4 2 2 2 4" xfId="31608"/>
    <cellStyle name="20% - Accent1 2 3 4 2 2 3" xfId="16590"/>
    <cellStyle name="20% - Accent1 2 3 4 2 2 3 2" xfId="26306"/>
    <cellStyle name="20% - Accent1 2 3 4 2 2 3 2 2" xfId="46060"/>
    <cellStyle name="20% - Accent1 2 3 4 2 2 3 3" xfId="36416"/>
    <cellStyle name="20% - Accent1 2 3 4 2 2 4" xfId="21496"/>
    <cellStyle name="20% - Accent1 2 3 4 2 2 4 2" xfId="41251"/>
    <cellStyle name="20% - Accent1 2 3 4 2 2 5" xfId="31607"/>
    <cellStyle name="20% - Accent1 2 3 4 2 3" xfId="1288"/>
    <cellStyle name="20% - Accent1 2 3 4 2 3 2" xfId="16592"/>
    <cellStyle name="20% - Accent1 2 3 4 2 3 2 2" xfId="26308"/>
    <cellStyle name="20% - Accent1 2 3 4 2 3 2 2 2" xfId="46062"/>
    <cellStyle name="20% - Accent1 2 3 4 2 3 2 3" xfId="36418"/>
    <cellStyle name="20% - Accent1 2 3 4 2 3 3" xfId="21498"/>
    <cellStyle name="20% - Accent1 2 3 4 2 3 3 2" xfId="41253"/>
    <cellStyle name="20% - Accent1 2 3 4 2 3 4" xfId="31609"/>
    <cellStyle name="20% - Accent1 2 3 4 2 4" xfId="16589"/>
    <cellStyle name="20% - Accent1 2 3 4 2 4 2" xfId="26305"/>
    <cellStyle name="20% - Accent1 2 3 4 2 4 2 2" xfId="46059"/>
    <cellStyle name="20% - Accent1 2 3 4 2 4 3" xfId="36415"/>
    <cellStyle name="20% - Accent1 2 3 4 2 5" xfId="21495"/>
    <cellStyle name="20% - Accent1 2 3 4 2 5 2" xfId="41250"/>
    <cellStyle name="20% - Accent1 2 3 4 2 6" xfId="31606"/>
    <cellStyle name="20% - Accent1 2 3 4 3" xfId="1289"/>
    <cellStyle name="20% - Accent1 2 3 4 3 2" xfId="1290"/>
    <cellStyle name="20% - Accent1 2 3 4 3 2 2" xfId="16594"/>
    <cellStyle name="20% - Accent1 2 3 4 3 2 2 2" xfId="26310"/>
    <cellStyle name="20% - Accent1 2 3 4 3 2 2 2 2" xfId="46064"/>
    <cellStyle name="20% - Accent1 2 3 4 3 2 2 3" xfId="36420"/>
    <cellStyle name="20% - Accent1 2 3 4 3 2 3" xfId="21500"/>
    <cellStyle name="20% - Accent1 2 3 4 3 2 3 2" xfId="41255"/>
    <cellStyle name="20% - Accent1 2 3 4 3 2 4" xfId="31611"/>
    <cellStyle name="20% - Accent1 2 3 4 3 3" xfId="16593"/>
    <cellStyle name="20% - Accent1 2 3 4 3 3 2" xfId="26309"/>
    <cellStyle name="20% - Accent1 2 3 4 3 3 2 2" xfId="46063"/>
    <cellStyle name="20% - Accent1 2 3 4 3 3 3" xfId="36419"/>
    <cellStyle name="20% - Accent1 2 3 4 3 4" xfId="21499"/>
    <cellStyle name="20% - Accent1 2 3 4 3 4 2" xfId="41254"/>
    <cellStyle name="20% - Accent1 2 3 4 3 5" xfId="31610"/>
    <cellStyle name="20% - Accent1 2 3 4 4" xfId="1291"/>
    <cellStyle name="20% - Accent1 2 3 4 4 2" xfId="16595"/>
    <cellStyle name="20% - Accent1 2 3 4 4 2 2" xfId="26311"/>
    <cellStyle name="20% - Accent1 2 3 4 4 2 2 2" xfId="46065"/>
    <cellStyle name="20% - Accent1 2 3 4 4 2 3" xfId="36421"/>
    <cellStyle name="20% - Accent1 2 3 4 4 3" xfId="21501"/>
    <cellStyle name="20% - Accent1 2 3 4 4 3 2" xfId="41256"/>
    <cellStyle name="20% - Accent1 2 3 4 4 4" xfId="31612"/>
    <cellStyle name="20% - Accent1 2 3 4 5" xfId="16588"/>
    <cellStyle name="20% - Accent1 2 3 4 5 2" xfId="26304"/>
    <cellStyle name="20% - Accent1 2 3 4 5 2 2" xfId="46058"/>
    <cellStyle name="20% - Accent1 2 3 4 5 3" xfId="36414"/>
    <cellStyle name="20% - Accent1 2 3 4 6" xfId="21494"/>
    <cellStyle name="20% - Accent1 2 3 4 6 2" xfId="41249"/>
    <cellStyle name="20% - Accent1 2 3 4 7" xfId="31605"/>
    <cellStyle name="20% - Accent1 2 3 5" xfId="1292"/>
    <cellStyle name="20% - Accent1 2 3 5 2" xfId="1293"/>
    <cellStyle name="20% - Accent1 2 3 5 2 2" xfId="1294"/>
    <cellStyle name="20% - Accent1 2 3 5 2 2 2" xfId="16598"/>
    <cellStyle name="20% - Accent1 2 3 5 2 2 2 2" xfId="26314"/>
    <cellStyle name="20% - Accent1 2 3 5 2 2 2 2 2" xfId="46068"/>
    <cellStyle name="20% - Accent1 2 3 5 2 2 2 3" xfId="36424"/>
    <cellStyle name="20% - Accent1 2 3 5 2 2 3" xfId="21504"/>
    <cellStyle name="20% - Accent1 2 3 5 2 2 3 2" xfId="41259"/>
    <cellStyle name="20% - Accent1 2 3 5 2 2 4" xfId="31615"/>
    <cellStyle name="20% - Accent1 2 3 5 2 3" xfId="16597"/>
    <cellStyle name="20% - Accent1 2 3 5 2 3 2" xfId="26313"/>
    <cellStyle name="20% - Accent1 2 3 5 2 3 2 2" xfId="46067"/>
    <cellStyle name="20% - Accent1 2 3 5 2 3 3" xfId="36423"/>
    <cellStyle name="20% - Accent1 2 3 5 2 4" xfId="21503"/>
    <cellStyle name="20% - Accent1 2 3 5 2 4 2" xfId="41258"/>
    <cellStyle name="20% - Accent1 2 3 5 2 5" xfId="31614"/>
    <cellStyle name="20% - Accent1 2 3 5 3" xfId="1295"/>
    <cellStyle name="20% - Accent1 2 3 5 3 2" xfId="16599"/>
    <cellStyle name="20% - Accent1 2 3 5 3 2 2" xfId="26315"/>
    <cellStyle name="20% - Accent1 2 3 5 3 2 2 2" xfId="46069"/>
    <cellStyle name="20% - Accent1 2 3 5 3 2 3" xfId="36425"/>
    <cellStyle name="20% - Accent1 2 3 5 3 3" xfId="21505"/>
    <cellStyle name="20% - Accent1 2 3 5 3 3 2" xfId="41260"/>
    <cellStyle name="20% - Accent1 2 3 5 3 4" xfId="31616"/>
    <cellStyle name="20% - Accent1 2 3 5 4" xfId="16596"/>
    <cellStyle name="20% - Accent1 2 3 5 4 2" xfId="26312"/>
    <cellStyle name="20% - Accent1 2 3 5 4 2 2" xfId="46066"/>
    <cellStyle name="20% - Accent1 2 3 5 4 3" xfId="36422"/>
    <cellStyle name="20% - Accent1 2 3 5 5" xfId="21502"/>
    <cellStyle name="20% - Accent1 2 3 5 5 2" xfId="41257"/>
    <cellStyle name="20% - Accent1 2 3 5 6" xfId="31613"/>
    <cellStyle name="20% - Accent1 2 3 6" xfId="1296"/>
    <cellStyle name="20% - Accent1 2 3 6 2" xfId="1297"/>
    <cellStyle name="20% - Accent1 2 3 6 2 2" xfId="16601"/>
    <cellStyle name="20% - Accent1 2 3 6 2 2 2" xfId="26317"/>
    <cellStyle name="20% - Accent1 2 3 6 2 2 2 2" xfId="46071"/>
    <cellStyle name="20% - Accent1 2 3 6 2 2 3" xfId="36427"/>
    <cellStyle name="20% - Accent1 2 3 6 2 3" xfId="21507"/>
    <cellStyle name="20% - Accent1 2 3 6 2 3 2" xfId="41262"/>
    <cellStyle name="20% - Accent1 2 3 6 2 4" xfId="31618"/>
    <cellStyle name="20% - Accent1 2 3 6 3" xfId="16600"/>
    <cellStyle name="20% - Accent1 2 3 6 3 2" xfId="26316"/>
    <cellStyle name="20% - Accent1 2 3 6 3 2 2" xfId="46070"/>
    <cellStyle name="20% - Accent1 2 3 6 3 3" xfId="36426"/>
    <cellStyle name="20% - Accent1 2 3 6 4" xfId="21506"/>
    <cellStyle name="20% - Accent1 2 3 6 4 2" xfId="41261"/>
    <cellStyle name="20% - Accent1 2 3 6 5" xfId="31617"/>
    <cellStyle name="20% - Accent1 2 3 7" xfId="1298"/>
    <cellStyle name="20% - Accent1 2 3 7 2" xfId="1299"/>
    <cellStyle name="20% - Accent1 2 3 7 2 2" xfId="16603"/>
    <cellStyle name="20% - Accent1 2 3 7 2 2 2" xfId="26319"/>
    <cellStyle name="20% - Accent1 2 3 7 2 2 2 2" xfId="46073"/>
    <cellStyle name="20% - Accent1 2 3 7 2 2 3" xfId="36429"/>
    <cellStyle name="20% - Accent1 2 3 7 2 3" xfId="21509"/>
    <cellStyle name="20% - Accent1 2 3 7 2 3 2" xfId="41264"/>
    <cellStyle name="20% - Accent1 2 3 7 2 4" xfId="31620"/>
    <cellStyle name="20% - Accent1 2 3 7 3" xfId="16602"/>
    <cellStyle name="20% - Accent1 2 3 7 3 2" xfId="26318"/>
    <cellStyle name="20% - Accent1 2 3 7 3 2 2" xfId="46072"/>
    <cellStyle name="20% - Accent1 2 3 7 3 3" xfId="36428"/>
    <cellStyle name="20% - Accent1 2 3 7 4" xfId="21508"/>
    <cellStyle name="20% - Accent1 2 3 7 4 2" xfId="41263"/>
    <cellStyle name="20% - Accent1 2 3 7 5" xfId="31619"/>
    <cellStyle name="20% - Accent1 2 3 8" xfId="1300"/>
    <cellStyle name="20% - Accent1 2 3 8 2" xfId="16604"/>
    <cellStyle name="20% - Accent1 2 3 8 2 2" xfId="26320"/>
    <cellStyle name="20% - Accent1 2 3 8 2 2 2" xfId="46074"/>
    <cellStyle name="20% - Accent1 2 3 8 2 3" xfId="36430"/>
    <cellStyle name="20% - Accent1 2 3 8 3" xfId="21510"/>
    <cellStyle name="20% - Accent1 2 3 8 3 2" xfId="41265"/>
    <cellStyle name="20% - Accent1 2 3 8 4" xfId="31621"/>
    <cellStyle name="20% - Accent1 2 3 9" xfId="1301"/>
    <cellStyle name="20% - Accent1 2 3 9 2" xfId="16605"/>
    <cellStyle name="20% - Accent1 2 3 9 2 2" xfId="26321"/>
    <cellStyle name="20% - Accent1 2 3 9 2 2 2" xfId="46075"/>
    <cellStyle name="20% - Accent1 2 3 9 2 3" xfId="36431"/>
    <cellStyle name="20% - Accent1 2 3 9 3" xfId="21511"/>
    <cellStyle name="20% - Accent1 2 3 9 3 2" xfId="41266"/>
    <cellStyle name="20% - Accent1 2 3 9 4" xfId="31622"/>
    <cellStyle name="20% - Accent1 2 4" xfId="1302"/>
    <cellStyle name="20% - Accent1 2 4 10" xfId="31623"/>
    <cellStyle name="20% - Accent1 2 4 2" xfId="1303"/>
    <cellStyle name="20% - Accent1 2 4 2 2" xfId="1304"/>
    <cellStyle name="20% - Accent1 2 4 2 2 2" xfId="1305"/>
    <cellStyle name="20% - Accent1 2 4 2 2 2 2" xfId="1306"/>
    <cellStyle name="20% - Accent1 2 4 2 2 2 2 2" xfId="16610"/>
    <cellStyle name="20% - Accent1 2 4 2 2 2 2 2 2" xfId="26326"/>
    <cellStyle name="20% - Accent1 2 4 2 2 2 2 2 2 2" xfId="46080"/>
    <cellStyle name="20% - Accent1 2 4 2 2 2 2 2 3" xfId="36436"/>
    <cellStyle name="20% - Accent1 2 4 2 2 2 2 3" xfId="21516"/>
    <cellStyle name="20% - Accent1 2 4 2 2 2 2 3 2" xfId="41271"/>
    <cellStyle name="20% - Accent1 2 4 2 2 2 2 4" xfId="31627"/>
    <cellStyle name="20% - Accent1 2 4 2 2 2 3" xfId="16609"/>
    <cellStyle name="20% - Accent1 2 4 2 2 2 3 2" xfId="26325"/>
    <cellStyle name="20% - Accent1 2 4 2 2 2 3 2 2" xfId="46079"/>
    <cellStyle name="20% - Accent1 2 4 2 2 2 3 3" xfId="36435"/>
    <cellStyle name="20% - Accent1 2 4 2 2 2 4" xfId="21515"/>
    <cellStyle name="20% - Accent1 2 4 2 2 2 4 2" xfId="41270"/>
    <cellStyle name="20% - Accent1 2 4 2 2 2 5" xfId="31626"/>
    <cellStyle name="20% - Accent1 2 4 2 2 3" xfId="1307"/>
    <cellStyle name="20% - Accent1 2 4 2 2 3 2" xfId="16611"/>
    <cellStyle name="20% - Accent1 2 4 2 2 3 2 2" xfId="26327"/>
    <cellStyle name="20% - Accent1 2 4 2 2 3 2 2 2" xfId="46081"/>
    <cellStyle name="20% - Accent1 2 4 2 2 3 2 3" xfId="36437"/>
    <cellStyle name="20% - Accent1 2 4 2 2 3 3" xfId="21517"/>
    <cellStyle name="20% - Accent1 2 4 2 2 3 3 2" xfId="41272"/>
    <cellStyle name="20% - Accent1 2 4 2 2 3 4" xfId="31628"/>
    <cellStyle name="20% - Accent1 2 4 2 2 4" xfId="16608"/>
    <cellStyle name="20% - Accent1 2 4 2 2 4 2" xfId="26324"/>
    <cellStyle name="20% - Accent1 2 4 2 2 4 2 2" xfId="46078"/>
    <cellStyle name="20% - Accent1 2 4 2 2 4 3" xfId="36434"/>
    <cellStyle name="20% - Accent1 2 4 2 2 5" xfId="21514"/>
    <cellStyle name="20% - Accent1 2 4 2 2 5 2" xfId="41269"/>
    <cellStyle name="20% - Accent1 2 4 2 2 6" xfId="31625"/>
    <cellStyle name="20% - Accent1 2 4 2 3" xfId="1308"/>
    <cellStyle name="20% - Accent1 2 4 2 3 2" xfId="1309"/>
    <cellStyle name="20% - Accent1 2 4 2 3 2 2" xfId="16613"/>
    <cellStyle name="20% - Accent1 2 4 2 3 2 2 2" xfId="26329"/>
    <cellStyle name="20% - Accent1 2 4 2 3 2 2 2 2" xfId="46083"/>
    <cellStyle name="20% - Accent1 2 4 2 3 2 2 3" xfId="36439"/>
    <cellStyle name="20% - Accent1 2 4 2 3 2 3" xfId="21519"/>
    <cellStyle name="20% - Accent1 2 4 2 3 2 3 2" xfId="41274"/>
    <cellStyle name="20% - Accent1 2 4 2 3 2 4" xfId="31630"/>
    <cellStyle name="20% - Accent1 2 4 2 3 3" xfId="16612"/>
    <cellStyle name="20% - Accent1 2 4 2 3 3 2" xfId="26328"/>
    <cellStyle name="20% - Accent1 2 4 2 3 3 2 2" xfId="46082"/>
    <cellStyle name="20% - Accent1 2 4 2 3 3 3" xfId="36438"/>
    <cellStyle name="20% - Accent1 2 4 2 3 4" xfId="21518"/>
    <cellStyle name="20% - Accent1 2 4 2 3 4 2" xfId="41273"/>
    <cellStyle name="20% - Accent1 2 4 2 3 5" xfId="31629"/>
    <cellStyle name="20% - Accent1 2 4 2 4" xfId="1310"/>
    <cellStyle name="20% - Accent1 2 4 2 4 2" xfId="16614"/>
    <cellStyle name="20% - Accent1 2 4 2 4 2 2" xfId="26330"/>
    <cellStyle name="20% - Accent1 2 4 2 4 2 2 2" xfId="46084"/>
    <cellStyle name="20% - Accent1 2 4 2 4 2 3" xfId="36440"/>
    <cellStyle name="20% - Accent1 2 4 2 4 3" xfId="21520"/>
    <cellStyle name="20% - Accent1 2 4 2 4 3 2" xfId="41275"/>
    <cellStyle name="20% - Accent1 2 4 2 4 4" xfId="31631"/>
    <cellStyle name="20% - Accent1 2 4 2 5" xfId="16607"/>
    <cellStyle name="20% - Accent1 2 4 2 5 2" xfId="26323"/>
    <cellStyle name="20% - Accent1 2 4 2 5 2 2" xfId="46077"/>
    <cellStyle name="20% - Accent1 2 4 2 5 3" xfId="36433"/>
    <cellStyle name="20% - Accent1 2 4 2 6" xfId="21513"/>
    <cellStyle name="20% - Accent1 2 4 2 6 2" xfId="41268"/>
    <cellStyle name="20% - Accent1 2 4 2 7" xfId="31624"/>
    <cellStyle name="20% - Accent1 2 4 3" xfId="1311"/>
    <cellStyle name="20% - Accent1 2 4 3 2" xfId="1312"/>
    <cellStyle name="20% - Accent1 2 4 3 2 2" xfId="1313"/>
    <cellStyle name="20% - Accent1 2 4 3 2 2 2" xfId="16617"/>
    <cellStyle name="20% - Accent1 2 4 3 2 2 2 2" xfId="26333"/>
    <cellStyle name="20% - Accent1 2 4 3 2 2 2 2 2" xfId="46087"/>
    <cellStyle name="20% - Accent1 2 4 3 2 2 2 3" xfId="36443"/>
    <cellStyle name="20% - Accent1 2 4 3 2 2 3" xfId="21523"/>
    <cellStyle name="20% - Accent1 2 4 3 2 2 3 2" xfId="41278"/>
    <cellStyle name="20% - Accent1 2 4 3 2 2 4" xfId="31634"/>
    <cellStyle name="20% - Accent1 2 4 3 2 3" xfId="16616"/>
    <cellStyle name="20% - Accent1 2 4 3 2 3 2" xfId="26332"/>
    <cellStyle name="20% - Accent1 2 4 3 2 3 2 2" xfId="46086"/>
    <cellStyle name="20% - Accent1 2 4 3 2 3 3" xfId="36442"/>
    <cellStyle name="20% - Accent1 2 4 3 2 4" xfId="21522"/>
    <cellStyle name="20% - Accent1 2 4 3 2 4 2" xfId="41277"/>
    <cellStyle name="20% - Accent1 2 4 3 2 5" xfId="31633"/>
    <cellStyle name="20% - Accent1 2 4 3 3" xfId="1314"/>
    <cellStyle name="20% - Accent1 2 4 3 3 2" xfId="16618"/>
    <cellStyle name="20% - Accent1 2 4 3 3 2 2" xfId="26334"/>
    <cellStyle name="20% - Accent1 2 4 3 3 2 2 2" xfId="46088"/>
    <cellStyle name="20% - Accent1 2 4 3 3 2 3" xfId="36444"/>
    <cellStyle name="20% - Accent1 2 4 3 3 3" xfId="21524"/>
    <cellStyle name="20% - Accent1 2 4 3 3 3 2" xfId="41279"/>
    <cellStyle name="20% - Accent1 2 4 3 3 4" xfId="31635"/>
    <cellStyle name="20% - Accent1 2 4 3 4" xfId="16615"/>
    <cellStyle name="20% - Accent1 2 4 3 4 2" xfId="26331"/>
    <cellStyle name="20% - Accent1 2 4 3 4 2 2" xfId="46085"/>
    <cellStyle name="20% - Accent1 2 4 3 4 3" xfId="36441"/>
    <cellStyle name="20% - Accent1 2 4 3 5" xfId="21521"/>
    <cellStyle name="20% - Accent1 2 4 3 5 2" xfId="41276"/>
    <cellStyle name="20% - Accent1 2 4 3 6" xfId="31632"/>
    <cellStyle name="20% - Accent1 2 4 4" xfId="1315"/>
    <cellStyle name="20% - Accent1 2 4 4 2" xfId="1316"/>
    <cellStyle name="20% - Accent1 2 4 4 2 2" xfId="16620"/>
    <cellStyle name="20% - Accent1 2 4 4 2 2 2" xfId="26336"/>
    <cellStyle name="20% - Accent1 2 4 4 2 2 2 2" xfId="46090"/>
    <cellStyle name="20% - Accent1 2 4 4 2 2 3" xfId="36446"/>
    <cellStyle name="20% - Accent1 2 4 4 2 3" xfId="21526"/>
    <cellStyle name="20% - Accent1 2 4 4 2 3 2" xfId="41281"/>
    <cellStyle name="20% - Accent1 2 4 4 2 4" xfId="31637"/>
    <cellStyle name="20% - Accent1 2 4 4 3" xfId="16619"/>
    <cellStyle name="20% - Accent1 2 4 4 3 2" xfId="26335"/>
    <cellStyle name="20% - Accent1 2 4 4 3 2 2" xfId="46089"/>
    <cellStyle name="20% - Accent1 2 4 4 3 3" xfId="36445"/>
    <cellStyle name="20% - Accent1 2 4 4 4" xfId="21525"/>
    <cellStyle name="20% - Accent1 2 4 4 4 2" xfId="41280"/>
    <cellStyle name="20% - Accent1 2 4 4 5" xfId="31636"/>
    <cellStyle name="20% - Accent1 2 4 5" xfId="1317"/>
    <cellStyle name="20% - Accent1 2 4 5 2" xfId="16621"/>
    <cellStyle name="20% - Accent1 2 4 5 2 2" xfId="26337"/>
    <cellStyle name="20% - Accent1 2 4 5 2 2 2" xfId="46091"/>
    <cellStyle name="20% - Accent1 2 4 5 2 3" xfId="36447"/>
    <cellStyle name="20% - Accent1 2 4 5 3" xfId="21527"/>
    <cellStyle name="20% - Accent1 2 4 5 3 2" xfId="41282"/>
    <cellStyle name="20% - Accent1 2 4 5 4" xfId="31638"/>
    <cellStyle name="20% - Accent1 2 4 6" xfId="1318"/>
    <cellStyle name="20% - Accent1 2 4 6 2" xfId="16622"/>
    <cellStyle name="20% - Accent1 2 4 6 2 2" xfId="26338"/>
    <cellStyle name="20% - Accent1 2 4 6 2 2 2" xfId="46092"/>
    <cellStyle name="20% - Accent1 2 4 6 2 3" xfId="36448"/>
    <cellStyle name="20% - Accent1 2 4 6 3" xfId="21528"/>
    <cellStyle name="20% - Accent1 2 4 6 3 2" xfId="41283"/>
    <cellStyle name="20% - Accent1 2 4 6 4" xfId="31639"/>
    <cellStyle name="20% - Accent1 2 4 7" xfId="1319"/>
    <cellStyle name="20% - Accent1 2 4 7 2" xfId="16623"/>
    <cellStyle name="20% - Accent1 2 4 7 2 2" xfId="26339"/>
    <cellStyle name="20% - Accent1 2 4 7 2 2 2" xfId="46093"/>
    <cellStyle name="20% - Accent1 2 4 7 2 3" xfId="36449"/>
    <cellStyle name="20% - Accent1 2 4 7 3" xfId="21529"/>
    <cellStyle name="20% - Accent1 2 4 7 3 2" xfId="41284"/>
    <cellStyle name="20% - Accent1 2 4 7 4" xfId="31640"/>
    <cellStyle name="20% - Accent1 2 4 8" xfId="16606"/>
    <cellStyle name="20% - Accent1 2 4 8 2" xfId="26322"/>
    <cellStyle name="20% - Accent1 2 4 8 2 2" xfId="46076"/>
    <cellStyle name="20% - Accent1 2 4 8 3" xfId="36432"/>
    <cellStyle name="20% - Accent1 2 4 9" xfId="21512"/>
    <cellStyle name="20% - Accent1 2 4 9 2" xfId="41267"/>
    <cellStyle name="20% - Accent1 2 5" xfId="1320"/>
    <cellStyle name="20% - Accent1 2 5 2" xfId="1321"/>
    <cellStyle name="20% - Accent1 2 5 2 2" xfId="1322"/>
    <cellStyle name="20% - Accent1 2 5 2 2 2" xfId="1323"/>
    <cellStyle name="20% - Accent1 2 5 2 2 2 2" xfId="16627"/>
    <cellStyle name="20% - Accent1 2 5 2 2 2 2 2" xfId="26343"/>
    <cellStyle name="20% - Accent1 2 5 2 2 2 2 2 2" xfId="46097"/>
    <cellStyle name="20% - Accent1 2 5 2 2 2 2 3" xfId="36453"/>
    <cellStyle name="20% - Accent1 2 5 2 2 2 3" xfId="21533"/>
    <cellStyle name="20% - Accent1 2 5 2 2 2 3 2" xfId="41288"/>
    <cellStyle name="20% - Accent1 2 5 2 2 2 4" xfId="31644"/>
    <cellStyle name="20% - Accent1 2 5 2 2 3" xfId="16626"/>
    <cellStyle name="20% - Accent1 2 5 2 2 3 2" xfId="26342"/>
    <cellStyle name="20% - Accent1 2 5 2 2 3 2 2" xfId="46096"/>
    <cellStyle name="20% - Accent1 2 5 2 2 3 3" xfId="36452"/>
    <cellStyle name="20% - Accent1 2 5 2 2 4" xfId="21532"/>
    <cellStyle name="20% - Accent1 2 5 2 2 4 2" xfId="41287"/>
    <cellStyle name="20% - Accent1 2 5 2 2 5" xfId="31643"/>
    <cellStyle name="20% - Accent1 2 5 2 3" xfId="1324"/>
    <cellStyle name="20% - Accent1 2 5 2 3 2" xfId="16628"/>
    <cellStyle name="20% - Accent1 2 5 2 3 2 2" xfId="26344"/>
    <cellStyle name="20% - Accent1 2 5 2 3 2 2 2" xfId="46098"/>
    <cellStyle name="20% - Accent1 2 5 2 3 2 3" xfId="36454"/>
    <cellStyle name="20% - Accent1 2 5 2 3 3" xfId="21534"/>
    <cellStyle name="20% - Accent1 2 5 2 3 3 2" xfId="41289"/>
    <cellStyle name="20% - Accent1 2 5 2 3 4" xfId="31645"/>
    <cellStyle name="20% - Accent1 2 5 2 4" xfId="16625"/>
    <cellStyle name="20% - Accent1 2 5 2 4 2" xfId="26341"/>
    <cellStyle name="20% - Accent1 2 5 2 4 2 2" xfId="46095"/>
    <cellStyle name="20% - Accent1 2 5 2 4 3" xfId="36451"/>
    <cellStyle name="20% - Accent1 2 5 2 5" xfId="21531"/>
    <cellStyle name="20% - Accent1 2 5 2 5 2" xfId="41286"/>
    <cellStyle name="20% - Accent1 2 5 2 6" xfId="31642"/>
    <cellStyle name="20% - Accent1 2 5 3" xfId="1325"/>
    <cellStyle name="20% - Accent1 2 5 3 2" xfId="1326"/>
    <cellStyle name="20% - Accent1 2 5 3 2 2" xfId="16630"/>
    <cellStyle name="20% - Accent1 2 5 3 2 2 2" xfId="26346"/>
    <cellStyle name="20% - Accent1 2 5 3 2 2 2 2" xfId="46100"/>
    <cellStyle name="20% - Accent1 2 5 3 2 2 3" xfId="36456"/>
    <cellStyle name="20% - Accent1 2 5 3 2 3" xfId="21536"/>
    <cellStyle name="20% - Accent1 2 5 3 2 3 2" xfId="41291"/>
    <cellStyle name="20% - Accent1 2 5 3 2 4" xfId="31647"/>
    <cellStyle name="20% - Accent1 2 5 3 3" xfId="16629"/>
    <cellStyle name="20% - Accent1 2 5 3 3 2" xfId="26345"/>
    <cellStyle name="20% - Accent1 2 5 3 3 2 2" xfId="46099"/>
    <cellStyle name="20% - Accent1 2 5 3 3 3" xfId="36455"/>
    <cellStyle name="20% - Accent1 2 5 3 4" xfId="21535"/>
    <cellStyle name="20% - Accent1 2 5 3 4 2" xfId="41290"/>
    <cellStyle name="20% - Accent1 2 5 3 5" xfId="31646"/>
    <cellStyle name="20% - Accent1 2 5 4" xfId="1327"/>
    <cellStyle name="20% - Accent1 2 5 4 2" xfId="16631"/>
    <cellStyle name="20% - Accent1 2 5 4 2 2" xfId="26347"/>
    <cellStyle name="20% - Accent1 2 5 4 2 2 2" xfId="46101"/>
    <cellStyle name="20% - Accent1 2 5 4 2 3" xfId="36457"/>
    <cellStyle name="20% - Accent1 2 5 4 3" xfId="21537"/>
    <cellStyle name="20% - Accent1 2 5 4 3 2" xfId="41292"/>
    <cellStyle name="20% - Accent1 2 5 4 4" xfId="31648"/>
    <cellStyle name="20% - Accent1 2 5 5" xfId="16624"/>
    <cellStyle name="20% - Accent1 2 5 5 2" xfId="26340"/>
    <cellStyle name="20% - Accent1 2 5 5 2 2" xfId="46094"/>
    <cellStyle name="20% - Accent1 2 5 5 3" xfId="36450"/>
    <cellStyle name="20% - Accent1 2 5 6" xfId="21530"/>
    <cellStyle name="20% - Accent1 2 5 6 2" xfId="41285"/>
    <cellStyle name="20% - Accent1 2 5 7" xfId="31641"/>
    <cellStyle name="20% - Accent1 2 6" xfId="1328"/>
    <cellStyle name="20% - Accent1 2 6 2" xfId="1329"/>
    <cellStyle name="20% - Accent1 2 6 2 2" xfId="1330"/>
    <cellStyle name="20% - Accent1 2 6 2 2 2" xfId="1331"/>
    <cellStyle name="20% - Accent1 2 6 2 2 2 2" xfId="16635"/>
    <cellStyle name="20% - Accent1 2 6 2 2 2 2 2" xfId="26351"/>
    <cellStyle name="20% - Accent1 2 6 2 2 2 2 2 2" xfId="46105"/>
    <cellStyle name="20% - Accent1 2 6 2 2 2 2 3" xfId="36461"/>
    <cellStyle name="20% - Accent1 2 6 2 2 2 3" xfId="21541"/>
    <cellStyle name="20% - Accent1 2 6 2 2 2 3 2" xfId="41296"/>
    <cellStyle name="20% - Accent1 2 6 2 2 2 4" xfId="31652"/>
    <cellStyle name="20% - Accent1 2 6 2 2 3" xfId="16634"/>
    <cellStyle name="20% - Accent1 2 6 2 2 3 2" xfId="26350"/>
    <cellStyle name="20% - Accent1 2 6 2 2 3 2 2" xfId="46104"/>
    <cellStyle name="20% - Accent1 2 6 2 2 3 3" xfId="36460"/>
    <cellStyle name="20% - Accent1 2 6 2 2 4" xfId="21540"/>
    <cellStyle name="20% - Accent1 2 6 2 2 4 2" xfId="41295"/>
    <cellStyle name="20% - Accent1 2 6 2 2 5" xfId="31651"/>
    <cellStyle name="20% - Accent1 2 6 2 3" xfId="1332"/>
    <cellStyle name="20% - Accent1 2 6 2 3 2" xfId="16636"/>
    <cellStyle name="20% - Accent1 2 6 2 3 2 2" xfId="26352"/>
    <cellStyle name="20% - Accent1 2 6 2 3 2 2 2" xfId="46106"/>
    <cellStyle name="20% - Accent1 2 6 2 3 2 3" xfId="36462"/>
    <cellStyle name="20% - Accent1 2 6 2 3 3" xfId="21542"/>
    <cellStyle name="20% - Accent1 2 6 2 3 3 2" xfId="41297"/>
    <cellStyle name="20% - Accent1 2 6 2 3 4" xfId="31653"/>
    <cellStyle name="20% - Accent1 2 6 2 4" xfId="16633"/>
    <cellStyle name="20% - Accent1 2 6 2 4 2" xfId="26349"/>
    <cellStyle name="20% - Accent1 2 6 2 4 2 2" xfId="46103"/>
    <cellStyle name="20% - Accent1 2 6 2 4 3" xfId="36459"/>
    <cellStyle name="20% - Accent1 2 6 2 5" xfId="21539"/>
    <cellStyle name="20% - Accent1 2 6 2 5 2" xfId="41294"/>
    <cellStyle name="20% - Accent1 2 6 2 6" xfId="31650"/>
    <cellStyle name="20% - Accent1 2 6 3" xfId="1333"/>
    <cellStyle name="20% - Accent1 2 6 3 2" xfId="1334"/>
    <cellStyle name="20% - Accent1 2 6 3 2 2" xfId="16638"/>
    <cellStyle name="20% - Accent1 2 6 3 2 2 2" xfId="26354"/>
    <cellStyle name="20% - Accent1 2 6 3 2 2 2 2" xfId="46108"/>
    <cellStyle name="20% - Accent1 2 6 3 2 2 3" xfId="36464"/>
    <cellStyle name="20% - Accent1 2 6 3 2 3" xfId="21544"/>
    <cellStyle name="20% - Accent1 2 6 3 2 3 2" xfId="41299"/>
    <cellStyle name="20% - Accent1 2 6 3 2 4" xfId="31655"/>
    <cellStyle name="20% - Accent1 2 6 3 3" xfId="16637"/>
    <cellStyle name="20% - Accent1 2 6 3 3 2" xfId="26353"/>
    <cellStyle name="20% - Accent1 2 6 3 3 2 2" xfId="46107"/>
    <cellStyle name="20% - Accent1 2 6 3 3 3" xfId="36463"/>
    <cellStyle name="20% - Accent1 2 6 3 4" xfId="21543"/>
    <cellStyle name="20% - Accent1 2 6 3 4 2" xfId="41298"/>
    <cellStyle name="20% - Accent1 2 6 3 5" xfId="31654"/>
    <cellStyle name="20% - Accent1 2 6 4" xfId="1335"/>
    <cellStyle name="20% - Accent1 2 6 4 2" xfId="16639"/>
    <cellStyle name="20% - Accent1 2 6 4 2 2" xfId="26355"/>
    <cellStyle name="20% - Accent1 2 6 4 2 2 2" xfId="46109"/>
    <cellStyle name="20% - Accent1 2 6 4 2 3" xfId="36465"/>
    <cellStyle name="20% - Accent1 2 6 4 3" xfId="21545"/>
    <cellStyle name="20% - Accent1 2 6 4 3 2" xfId="41300"/>
    <cellStyle name="20% - Accent1 2 6 4 4" xfId="31656"/>
    <cellStyle name="20% - Accent1 2 6 5" xfId="16632"/>
    <cellStyle name="20% - Accent1 2 6 5 2" xfId="26348"/>
    <cellStyle name="20% - Accent1 2 6 5 2 2" xfId="46102"/>
    <cellStyle name="20% - Accent1 2 6 5 3" xfId="36458"/>
    <cellStyle name="20% - Accent1 2 6 6" xfId="21538"/>
    <cellStyle name="20% - Accent1 2 6 6 2" xfId="41293"/>
    <cellStyle name="20% - Accent1 2 6 7" xfId="31649"/>
    <cellStyle name="20% - Accent1 2 7" xfId="1336"/>
    <cellStyle name="20% - Accent1 2 8" xfId="1337"/>
    <cellStyle name="20% - Accent1 2 8 2" xfId="1338"/>
    <cellStyle name="20% - Accent1 2 8 2 2" xfId="1339"/>
    <cellStyle name="20% - Accent1 2 8 2 2 2" xfId="16642"/>
    <cellStyle name="20% - Accent1 2 8 2 2 2 2" xfId="26358"/>
    <cellStyle name="20% - Accent1 2 8 2 2 2 2 2" xfId="46112"/>
    <cellStyle name="20% - Accent1 2 8 2 2 2 3" xfId="36468"/>
    <cellStyle name="20% - Accent1 2 8 2 2 3" xfId="21548"/>
    <cellStyle name="20% - Accent1 2 8 2 2 3 2" xfId="41303"/>
    <cellStyle name="20% - Accent1 2 8 2 2 4" xfId="31659"/>
    <cellStyle name="20% - Accent1 2 8 2 3" xfId="16641"/>
    <cellStyle name="20% - Accent1 2 8 2 3 2" xfId="26357"/>
    <cellStyle name="20% - Accent1 2 8 2 3 2 2" xfId="46111"/>
    <cellStyle name="20% - Accent1 2 8 2 3 3" xfId="36467"/>
    <cellStyle name="20% - Accent1 2 8 2 4" xfId="21547"/>
    <cellStyle name="20% - Accent1 2 8 2 4 2" xfId="41302"/>
    <cellStyle name="20% - Accent1 2 8 2 5" xfId="31658"/>
    <cellStyle name="20% - Accent1 2 8 3" xfId="1340"/>
    <cellStyle name="20% - Accent1 2 8 3 2" xfId="16643"/>
    <cellStyle name="20% - Accent1 2 8 3 2 2" xfId="26359"/>
    <cellStyle name="20% - Accent1 2 8 3 2 2 2" xfId="46113"/>
    <cellStyle name="20% - Accent1 2 8 3 2 3" xfId="36469"/>
    <cellStyle name="20% - Accent1 2 8 3 3" xfId="21549"/>
    <cellStyle name="20% - Accent1 2 8 3 3 2" xfId="41304"/>
    <cellStyle name="20% - Accent1 2 8 3 4" xfId="31660"/>
    <cellStyle name="20% - Accent1 2 8 4" xfId="16640"/>
    <cellStyle name="20% - Accent1 2 8 4 2" xfId="26356"/>
    <cellStyle name="20% - Accent1 2 8 4 2 2" xfId="46110"/>
    <cellStyle name="20% - Accent1 2 8 4 3" xfId="36466"/>
    <cellStyle name="20% - Accent1 2 8 5" xfId="21546"/>
    <cellStyle name="20% - Accent1 2 8 5 2" xfId="41301"/>
    <cellStyle name="20% - Accent1 2 8 6" xfId="31657"/>
    <cellStyle name="20% - Accent1 2 9" xfId="1341"/>
    <cellStyle name="20% - Accent1 2 9 2" xfId="1342"/>
    <cellStyle name="20% - Accent1 2 9 2 2" xfId="16645"/>
    <cellStyle name="20% - Accent1 2 9 2 2 2" xfId="26361"/>
    <cellStyle name="20% - Accent1 2 9 2 2 2 2" xfId="46115"/>
    <cellStyle name="20% - Accent1 2 9 2 2 3" xfId="36471"/>
    <cellStyle name="20% - Accent1 2 9 2 3" xfId="21551"/>
    <cellStyle name="20% - Accent1 2 9 2 3 2" xfId="41306"/>
    <cellStyle name="20% - Accent1 2 9 2 4" xfId="31662"/>
    <cellStyle name="20% - Accent1 2 9 3" xfId="16644"/>
    <cellStyle name="20% - Accent1 2 9 3 2" xfId="26360"/>
    <cellStyle name="20% - Accent1 2 9 3 2 2" xfId="46114"/>
    <cellStyle name="20% - Accent1 2 9 3 3" xfId="36470"/>
    <cellStyle name="20% - Accent1 2 9 4" xfId="21550"/>
    <cellStyle name="20% - Accent1 2 9 4 2" xfId="41305"/>
    <cellStyle name="20% - Accent1 2 9 5" xfId="31661"/>
    <cellStyle name="20% - Accent1 20" xfId="20683"/>
    <cellStyle name="20% - Accent1 20 2" xfId="40463"/>
    <cellStyle name="20% - Accent1 21" xfId="30357"/>
    <cellStyle name="20% - Accent1 21 2" xfId="50106"/>
    <cellStyle name="20% - Accent1 22" xfId="30767"/>
    <cellStyle name="20% - Accent1 22 2" xfId="50506"/>
    <cellStyle name="20% - Accent1 23" xfId="30794"/>
    <cellStyle name="20% - Accent1 24" xfId="30781"/>
    <cellStyle name="20% - Accent1 25" xfId="50522"/>
    <cellStyle name="20% - Accent1 3" xfId="7"/>
    <cellStyle name="20% - Accent1 3 10" xfId="1343"/>
    <cellStyle name="20% - Accent1 3 10 2" xfId="1344"/>
    <cellStyle name="20% - Accent1 3 10 2 2" xfId="16647"/>
    <cellStyle name="20% - Accent1 3 10 2 2 2" xfId="26363"/>
    <cellStyle name="20% - Accent1 3 10 2 2 2 2" xfId="46117"/>
    <cellStyle name="20% - Accent1 3 10 2 2 3" xfId="36473"/>
    <cellStyle name="20% - Accent1 3 10 2 3" xfId="21553"/>
    <cellStyle name="20% - Accent1 3 10 2 3 2" xfId="41308"/>
    <cellStyle name="20% - Accent1 3 10 2 4" xfId="31664"/>
    <cellStyle name="20% - Accent1 3 10 3" xfId="16646"/>
    <cellStyle name="20% - Accent1 3 10 3 2" xfId="26362"/>
    <cellStyle name="20% - Accent1 3 10 3 2 2" xfId="46116"/>
    <cellStyle name="20% - Accent1 3 10 3 3" xfId="36472"/>
    <cellStyle name="20% - Accent1 3 10 4" xfId="21552"/>
    <cellStyle name="20% - Accent1 3 10 4 2" xfId="41307"/>
    <cellStyle name="20% - Accent1 3 10 5" xfId="31663"/>
    <cellStyle name="20% - Accent1 3 11" xfId="1345"/>
    <cellStyle name="20% - Accent1 3 11 2" xfId="16648"/>
    <cellStyle name="20% - Accent1 3 11 2 2" xfId="26364"/>
    <cellStyle name="20% - Accent1 3 11 2 2 2" xfId="46118"/>
    <cellStyle name="20% - Accent1 3 11 2 3" xfId="36474"/>
    <cellStyle name="20% - Accent1 3 11 3" xfId="21554"/>
    <cellStyle name="20% - Accent1 3 11 3 2" xfId="41309"/>
    <cellStyle name="20% - Accent1 3 11 4" xfId="31665"/>
    <cellStyle name="20% - Accent1 3 12" xfId="1346"/>
    <cellStyle name="20% - Accent1 3 12 2" xfId="16649"/>
    <cellStyle name="20% - Accent1 3 12 2 2" xfId="26365"/>
    <cellStyle name="20% - Accent1 3 12 2 2 2" xfId="46119"/>
    <cellStyle name="20% - Accent1 3 12 2 3" xfId="36475"/>
    <cellStyle name="20% - Accent1 3 12 3" xfId="21555"/>
    <cellStyle name="20% - Accent1 3 12 3 2" xfId="41310"/>
    <cellStyle name="20% - Accent1 3 12 4" xfId="31666"/>
    <cellStyle name="20% - Accent1 3 13" xfId="1347"/>
    <cellStyle name="20% - Accent1 3 13 2" xfId="16650"/>
    <cellStyle name="20% - Accent1 3 13 2 2" xfId="26366"/>
    <cellStyle name="20% - Accent1 3 13 2 2 2" xfId="46120"/>
    <cellStyle name="20% - Accent1 3 13 2 3" xfId="36476"/>
    <cellStyle name="20% - Accent1 3 13 3" xfId="21556"/>
    <cellStyle name="20% - Accent1 3 13 3 2" xfId="41311"/>
    <cellStyle name="20% - Accent1 3 13 4" xfId="31667"/>
    <cellStyle name="20% - Accent1 3 2" xfId="1348"/>
    <cellStyle name="20% - Accent1 3 2 10" xfId="1349"/>
    <cellStyle name="20% - Accent1 3 2 10 2" xfId="16652"/>
    <cellStyle name="20% - Accent1 3 2 10 2 2" xfId="26368"/>
    <cellStyle name="20% - Accent1 3 2 10 2 2 2" xfId="46122"/>
    <cellStyle name="20% - Accent1 3 2 10 2 3" xfId="36478"/>
    <cellStyle name="20% - Accent1 3 2 10 3" xfId="21558"/>
    <cellStyle name="20% - Accent1 3 2 10 3 2" xfId="41313"/>
    <cellStyle name="20% - Accent1 3 2 10 4" xfId="31669"/>
    <cellStyle name="20% - Accent1 3 2 11" xfId="1350"/>
    <cellStyle name="20% - Accent1 3 2 11 2" xfId="16653"/>
    <cellStyle name="20% - Accent1 3 2 11 2 2" xfId="26369"/>
    <cellStyle name="20% - Accent1 3 2 11 2 2 2" xfId="46123"/>
    <cellStyle name="20% - Accent1 3 2 11 2 3" xfId="36479"/>
    <cellStyle name="20% - Accent1 3 2 11 3" xfId="21559"/>
    <cellStyle name="20% - Accent1 3 2 11 3 2" xfId="41314"/>
    <cellStyle name="20% - Accent1 3 2 11 4" xfId="31670"/>
    <cellStyle name="20% - Accent1 3 2 12" xfId="16651"/>
    <cellStyle name="20% - Accent1 3 2 12 2" xfId="26367"/>
    <cellStyle name="20% - Accent1 3 2 12 2 2" xfId="46121"/>
    <cellStyle name="20% - Accent1 3 2 12 3" xfId="36477"/>
    <cellStyle name="20% - Accent1 3 2 13" xfId="21557"/>
    <cellStyle name="20% - Accent1 3 2 13 2" xfId="41312"/>
    <cellStyle name="20% - Accent1 3 2 14" xfId="31668"/>
    <cellStyle name="20% - Accent1 3 2 2" xfId="1351"/>
    <cellStyle name="20% - Accent1 3 2 2 10" xfId="1352"/>
    <cellStyle name="20% - Accent1 3 2 2 10 2" xfId="16655"/>
    <cellStyle name="20% - Accent1 3 2 2 10 2 2" xfId="26371"/>
    <cellStyle name="20% - Accent1 3 2 2 10 2 2 2" xfId="46125"/>
    <cellStyle name="20% - Accent1 3 2 2 10 2 3" xfId="36481"/>
    <cellStyle name="20% - Accent1 3 2 2 10 3" xfId="21561"/>
    <cellStyle name="20% - Accent1 3 2 2 10 3 2" xfId="41316"/>
    <cellStyle name="20% - Accent1 3 2 2 10 4" xfId="31672"/>
    <cellStyle name="20% - Accent1 3 2 2 11" xfId="16654"/>
    <cellStyle name="20% - Accent1 3 2 2 11 2" xfId="26370"/>
    <cellStyle name="20% - Accent1 3 2 2 11 2 2" xfId="46124"/>
    <cellStyle name="20% - Accent1 3 2 2 11 3" xfId="36480"/>
    <cellStyle name="20% - Accent1 3 2 2 12" xfId="21560"/>
    <cellStyle name="20% - Accent1 3 2 2 12 2" xfId="41315"/>
    <cellStyle name="20% - Accent1 3 2 2 13" xfId="31671"/>
    <cellStyle name="20% - Accent1 3 2 2 2" xfId="1353"/>
    <cellStyle name="20% - Accent1 3 2 2 2 10" xfId="31673"/>
    <cellStyle name="20% - Accent1 3 2 2 2 2" xfId="1354"/>
    <cellStyle name="20% - Accent1 3 2 2 2 2 2" xfId="1355"/>
    <cellStyle name="20% - Accent1 3 2 2 2 2 2 2" xfId="1356"/>
    <cellStyle name="20% - Accent1 3 2 2 2 2 2 2 2" xfId="1357"/>
    <cellStyle name="20% - Accent1 3 2 2 2 2 2 2 2 2" xfId="16660"/>
    <cellStyle name="20% - Accent1 3 2 2 2 2 2 2 2 2 2" xfId="26376"/>
    <cellStyle name="20% - Accent1 3 2 2 2 2 2 2 2 2 2 2" xfId="46130"/>
    <cellStyle name="20% - Accent1 3 2 2 2 2 2 2 2 2 3" xfId="36486"/>
    <cellStyle name="20% - Accent1 3 2 2 2 2 2 2 2 3" xfId="21566"/>
    <cellStyle name="20% - Accent1 3 2 2 2 2 2 2 2 3 2" xfId="41321"/>
    <cellStyle name="20% - Accent1 3 2 2 2 2 2 2 2 4" xfId="31677"/>
    <cellStyle name="20% - Accent1 3 2 2 2 2 2 2 3" xfId="16659"/>
    <cellStyle name="20% - Accent1 3 2 2 2 2 2 2 3 2" xfId="26375"/>
    <cellStyle name="20% - Accent1 3 2 2 2 2 2 2 3 2 2" xfId="46129"/>
    <cellStyle name="20% - Accent1 3 2 2 2 2 2 2 3 3" xfId="36485"/>
    <cellStyle name="20% - Accent1 3 2 2 2 2 2 2 4" xfId="21565"/>
    <cellStyle name="20% - Accent1 3 2 2 2 2 2 2 4 2" xfId="41320"/>
    <cellStyle name="20% - Accent1 3 2 2 2 2 2 2 5" xfId="31676"/>
    <cellStyle name="20% - Accent1 3 2 2 2 2 2 3" xfId="1358"/>
    <cellStyle name="20% - Accent1 3 2 2 2 2 2 3 2" xfId="16661"/>
    <cellStyle name="20% - Accent1 3 2 2 2 2 2 3 2 2" xfId="26377"/>
    <cellStyle name="20% - Accent1 3 2 2 2 2 2 3 2 2 2" xfId="46131"/>
    <cellStyle name="20% - Accent1 3 2 2 2 2 2 3 2 3" xfId="36487"/>
    <cellStyle name="20% - Accent1 3 2 2 2 2 2 3 3" xfId="21567"/>
    <cellStyle name="20% - Accent1 3 2 2 2 2 2 3 3 2" xfId="41322"/>
    <cellStyle name="20% - Accent1 3 2 2 2 2 2 3 4" xfId="31678"/>
    <cellStyle name="20% - Accent1 3 2 2 2 2 2 4" xfId="16658"/>
    <cellStyle name="20% - Accent1 3 2 2 2 2 2 4 2" xfId="26374"/>
    <cellStyle name="20% - Accent1 3 2 2 2 2 2 4 2 2" xfId="46128"/>
    <cellStyle name="20% - Accent1 3 2 2 2 2 2 4 3" xfId="36484"/>
    <cellStyle name="20% - Accent1 3 2 2 2 2 2 5" xfId="21564"/>
    <cellStyle name="20% - Accent1 3 2 2 2 2 2 5 2" xfId="41319"/>
    <cellStyle name="20% - Accent1 3 2 2 2 2 2 6" xfId="31675"/>
    <cellStyle name="20% - Accent1 3 2 2 2 2 3" xfId="1359"/>
    <cellStyle name="20% - Accent1 3 2 2 2 2 3 2" xfId="1360"/>
    <cellStyle name="20% - Accent1 3 2 2 2 2 3 2 2" xfId="16663"/>
    <cellStyle name="20% - Accent1 3 2 2 2 2 3 2 2 2" xfId="26379"/>
    <cellStyle name="20% - Accent1 3 2 2 2 2 3 2 2 2 2" xfId="46133"/>
    <cellStyle name="20% - Accent1 3 2 2 2 2 3 2 2 3" xfId="36489"/>
    <cellStyle name="20% - Accent1 3 2 2 2 2 3 2 3" xfId="21569"/>
    <cellStyle name="20% - Accent1 3 2 2 2 2 3 2 3 2" xfId="41324"/>
    <cellStyle name="20% - Accent1 3 2 2 2 2 3 2 4" xfId="31680"/>
    <cellStyle name="20% - Accent1 3 2 2 2 2 3 3" xfId="16662"/>
    <cellStyle name="20% - Accent1 3 2 2 2 2 3 3 2" xfId="26378"/>
    <cellStyle name="20% - Accent1 3 2 2 2 2 3 3 2 2" xfId="46132"/>
    <cellStyle name="20% - Accent1 3 2 2 2 2 3 3 3" xfId="36488"/>
    <cellStyle name="20% - Accent1 3 2 2 2 2 3 4" xfId="21568"/>
    <cellStyle name="20% - Accent1 3 2 2 2 2 3 4 2" xfId="41323"/>
    <cellStyle name="20% - Accent1 3 2 2 2 2 3 5" xfId="31679"/>
    <cellStyle name="20% - Accent1 3 2 2 2 2 4" xfId="1361"/>
    <cellStyle name="20% - Accent1 3 2 2 2 2 4 2" xfId="16664"/>
    <cellStyle name="20% - Accent1 3 2 2 2 2 4 2 2" xfId="26380"/>
    <cellStyle name="20% - Accent1 3 2 2 2 2 4 2 2 2" xfId="46134"/>
    <cellStyle name="20% - Accent1 3 2 2 2 2 4 2 3" xfId="36490"/>
    <cellStyle name="20% - Accent1 3 2 2 2 2 4 3" xfId="21570"/>
    <cellStyle name="20% - Accent1 3 2 2 2 2 4 3 2" xfId="41325"/>
    <cellStyle name="20% - Accent1 3 2 2 2 2 4 4" xfId="31681"/>
    <cellStyle name="20% - Accent1 3 2 2 2 2 5" xfId="16657"/>
    <cellStyle name="20% - Accent1 3 2 2 2 2 5 2" xfId="26373"/>
    <cellStyle name="20% - Accent1 3 2 2 2 2 5 2 2" xfId="46127"/>
    <cellStyle name="20% - Accent1 3 2 2 2 2 5 3" xfId="36483"/>
    <cellStyle name="20% - Accent1 3 2 2 2 2 6" xfId="21563"/>
    <cellStyle name="20% - Accent1 3 2 2 2 2 6 2" xfId="41318"/>
    <cellStyle name="20% - Accent1 3 2 2 2 2 7" xfId="31674"/>
    <cellStyle name="20% - Accent1 3 2 2 2 3" xfId="1362"/>
    <cellStyle name="20% - Accent1 3 2 2 2 3 2" xfId="1363"/>
    <cellStyle name="20% - Accent1 3 2 2 2 3 2 2" xfId="1364"/>
    <cellStyle name="20% - Accent1 3 2 2 2 3 2 2 2" xfId="16667"/>
    <cellStyle name="20% - Accent1 3 2 2 2 3 2 2 2 2" xfId="26383"/>
    <cellStyle name="20% - Accent1 3 2 2 2 3 2 2 2 2 2" xfId="46137"/>
    <cellStyle name="20% - Accent1 3 2 2 2 3 2 2 2 3" xfId="36493"/>
    <cellStyle name="20% - Accent1 3 2 2 2 3 2 2 3" xfId="21573"/>
    <cellStyle name="20% - Accent1 3 2 2 2 3 2 2 3 2" xfId="41328"/>
    <cellStyle name="20% - Accent1 3 2 2 2 3 2 2 4" xfId="31684"/>
    <cellStyle name="20% - Accent1 3 2 2 2 3 2 3" xfId="16666"/>
    <cellStyle name="20% - Accent1 3 2 2 2 3 2 3 2" xfId="26382"/>
    <cellStyle name="20% - Accent1 3 2 2 2 3 2 3 2 2" xfId="46136"/>
    <cellStyle name="20% - Accent1 3 2 2 2 3 2 3 3" xfId="36492"/>
    <cellStyle name="20% - Accent1 3 2 2 2 3 2 4" xfId="21572"/>
    <cellStyle name="20% - Accent1 3 2 2 2 3 2 4 2" xfId="41327"/>
    <cellStyle name="20% - Accent1 3 2 2 2 3 2 5" xfId="31683"/>
    <cellStyle name="20% - Accent1 3 2 2 2 3 3" xfId="1365"/>
    <cellStyle name="20% - Accent1 3 2 2 2 3 3 2" xfId="16668"/>
    <cellStyle name="20% - Accent1 3 2 2 2 3 3 2 2" xfId="26384"/>
    <cellStyle name="20% - Accent1 3 2 2 2 3 3 2 2 2" xfId="46138"/>
    <cellStyle name="20% - Accent1 3 2 2 2 3 3 2 3" xfId="36494"/>
    <cellStyle name="20% - Accent1 3 2 2 2 3 3 3" xfId="21574"/>
    <cellStyle name="20% - Accent1 3 2 2 2 3 3 3 2" xfId="41329"/>
    <cellStyle name="20% - Accent1 3 2 2 2 3 3 4" xfId="31685"/>
    <cellStyle name="20% - Accent1 3 2 2 2 3 4" xfId="16665"/>
    <cellStyle name="20% - Accent1 3 2 2 2 3 4 2" xfId="26381"/>
    <cellStyle name="20% - Accent1 3 2 2 2 3 4 2 2" xfId="46135"/>
    <cellStyle name="20% - Accent1 3 2 2 2 3 4 3" xfId="36491"/>
    <cellStyle name="20% - Accent1 3 2 2 2 3 5" xfId="21571"/>
    <cellStyle name="20% - Accent1 3 2 2 2 3 5 2" xfId="41326"/>
    <cellStyle name="20% - Accent1 3 2 2 2 3 6" xfId="31682"/>
    <cellStyle name="20% - Accent1 3 2 2 2 4" xfId="1366"/>
    <cellStyle name="20% - Accent1 3 2 2 2 4 2" xfId="1367"/>
    <cellStyle name="20% - Accent1 3 2 2 2 4 2 2" xfId="16670"/>
    <cellStyle name="20% - Accent1 3 2 2 2 4 2 2 2" xfId="26386"/>
    <cellStyle name="20% - Accent1 3 2 2 2 4 2 2 2 2" xfId="46140"/>
    <cellStyle name="20% - Accent1 3 2 2 2 4 2 2 3" xfId="36496"/>
    <cellStyle name="20% - Accent1 3 2 2 2 4 2 3" xfId="21576"/>
    <cellStyle name="20% - Accent1 3 2 2 2 4 2 3 2" xfId="41331"/>
    <cellStyle name="20% - Accent1 3 2 2 2 4 2 4" xfId="31687"/>
    <cellStyle name="20% - Accent1 3 2 2 2 4 3" xfId="16669"/>
    <cellStyle name="20% - Accent1 3 2 2 2 4 3 2" xfId="26385"/>
    <cellStyle name="20% - Accent1 3 2 2 2 4 3 2 2" xfId="46139"/>
    <cellStyle name="20% - Accent1 3 2 2 2 4 3 3" xfId="36495"/>
    <cellStyle name="20% - Accent1 3 2 2 2 4 4" xfId="21575"/>
    <cellStyle name="20% - Accent1 3 2 2 2 4 4 2" xfId="41330"/>
    <cellStyle name="20% - Accent1 3 2 2 2 4 5" xfId="31686"/>
    <cellStyle name="20% - Accent1 3 2 2 2 5" xfId="1368"/>
    <cellStyle name="20% - Accent1 3 2 2 2 5 2" xfId="16671"/>
    <cellStyle name="20% - Accent1 3 2 2 2 5 2 2" xfId="26387"/>
    <cellStyle name="20% - Accent1 3 2 2 2 5 2 2 2" xfId="46141"/>
    <cellStyle name="20% - Accent1 3 2 2 2 5 2 3" xfId="36497"/>
    <cellStyle name="20% - Accent1 3 2 2 2 5 3" xfId="21577"/>
    <cellStyle name="20% - Accent1 3 2 2 2 5 3 2" xfId="41332"/>
    <cellStyle name="20% - Accent1 3 2 2 2 5 4" xfId="31688"/>
    <cellStyle name="20% - Accent1 3 2 2 2 6" xfId="1369"/>
    <cellStyle name="20% - Accent1 3 2 2 2 6 2" xfId="16672"/>
    <cellStyle name="20% - Accent1 3 2 2 2 6 2 2" xfId="26388"/>
    <cellStyle name="20% - Accent1 3 2 2 2 6 2 2 2" xfId="46142"/>
    <cellStyle name="20% - Accent1 3 2 2 2 6 2 3" xfId="36498"/>
    <cellStyle name="20% - Accent1 3 2 2 2 6 3" xfId="21578"/>
    <cellStyle name="20% - Accent1 3 2 2 2 6 3 2" xfId="41333"/>
    <cellStyle name="20% - Accent1 3 2 2 2 6 4" xfId="31689"/>
    <cellStyle name="20% - Accent1 3 2 2 2 7" xfId="1370"/>
    <cellStyle name="20% - Accent1 3 2 2 2 7 2" xfId="16673"/>
    <cellStyle name="20% - Accent1 3 2 2 2 7 2 2" xfId="26389"/>
    <cellStyle name="20% - Accent1 3 2 2 2 7 2 2 2" xfId="46143"/>
    <cellStyle name="20% - Accent1 3 2 2 2 7 2 3" xfId="36499"/>
    <cellStyle name="20% - Accent1 3 2 2 2 7 3" xfId="21579"/>
    <cellStyle name="20% - Accent1 3 2 2 2 7 3 2" xfId="41334"/>
    <cellStyle name="20% - Accent1 3 2 2 2 7 4" xfId="31690"/>
    <cellStyle name="20% - Accent1 3 2 2 2 8" xfId="16656"/>
    <cellStyle name="20% - Accent1 3 2 2 2 8 2" xfId="26372"/>
    <cellStyle name="20% - Accent1 3 2 2 2 8 2 2" xfId="46126"/>
    <cellStyle name="20% - Accent1 3 2 2 2 8 3" xfId="36482"/>
    <cellStyle name="20% - Accent1 3 2 2 2 9" xfId="21562"/>
    <cellStyle name="20% - Accent1 3 2 2 2 9 2" xfId="41317"/>
    <cellStyle name="20% - Accent1 3 2 2 3" xfId="1371"/>
    <cellStyle name="20% - Accent1 3 2 2 3 2" xfId="1372"/>
    <cellStyle name="20% - Accent1 3 2 2 3 2 2" xfId="1373"/>
    <cellStyle name="20% - Accent1 3 2 2 3 2 2 2" xfId="1374"/>
    <cellStyle name="20% - Accent1 3 2 2 3 2 2 2 2" xfId="16677"/>
    <cellStyle name="20% - Accent1 3 2 2 3 2 2 2 2 2" xfId="26393"/>
    <cellStyle name="20% - Accent1 3 2 2 3 2 2 2 2 2 2" xfId="46147"/>
    <cellStyle name="20% - Accent1 3 2 2 3 2 2 2 2 3" xfId="36503"/>
    <cellStyle name="20% - Accent1 3 2 2 3 2 2 2 3" xfId="21583"/>
    <cellStyle name="20% - Accent1 3 2 2 3 2 2 2 3 2" xfId="41338"/>
    <cellStyle name="20% - Accent1 3 2 2 3 2 2 2 4" xfId="31694"/>
    <cellStyle name="20% - Accent1 3 2 2 3 2 2 3" xfId="16676"/>
    <cellStyle name="20% - Accent1 3 2 2 3 2 2 3 2" xfId="26392"/>
    <cellStyle name="20% - Accent1 3 2 2 3 2 2 3 2 2" xfId="46146"/>
    <cellStyle name="20% - Accent1 3 2 2 3 2 2 3 3" xfId="36502"/>
    <cellStyle name="20% - Accent1 3 2 2 3 2 2 4" xfId="21582"/>
    <cellStyle name="20% - Accent1 3 2 2 3 2 2 4 2" xfId="41337"/>
    <cellStyle name="20% - Accent1 3 2 2 3 2 2 5" xfId="31693"/>
    <cellStyle name="20% - Accent1 3 2 2 3 2 3" xfId="1375"/>
    <cellStyle name="20% - Accent1 3 2 2 3 2 3 2" xfId="16678"/>
    <cellStyle name="20% - Accent1 3 2 2 3 2 3 2 2" xfId="26394"/>
    <cellStyle name="20% - Accent1 3 2 2 3 2 3 2 2 2" xfId="46148"/>
    <cellStyle name="20% - Accent1 3 2 2 3 2 3 2 3" xfId="36504"/>
    <cellStyle name="20% - Accent1 3 2 2 3 2 3 3" xfId="21584"/>
    <cellStyle name="20% - Accent1 3 2 2 3 2 3 3 2" xfId="41339"/>
    <cellStyle name="20% - Accent1 3 2 2 3 2 3 4" xfId="31695"/>
    <cellStyle name="20% - Accent1 3 2 2 3 2 4" xfId="16675"/>
    <cellStyle name="20% - Accent1 3 2 2 3 2 4 2" xfId="26391"/>
    <cellStyle name="20% - Accent1 3 2 2 3 2 4 2 2" xfId="46145"/>
    <cellStyle name="20% - Accent1 3 2 2 3 2 4 3" xfId="36501"/>
    <cellStyle name="20% - Accent1 3 2 2 3 2 5" xfId="21581"/>
    <cellStyle name="20% - Accent1 3 2 2 3 2 5 2" xfId="41336"/>
    <cellStyle name="20% - Accent1 3 2 2 3 2 6" xfId="31692"/>
    <cellStyle name="20% - Accent1 3 2 2 3 3" xfId="1376"/>
    <cellStyle name="20% - Accent1 3 2 2 3 3 2" xfId="1377"/>
    <cellStyle name="20% - Accent1 3 2 2 3 3 2 2" xfId="16680"/>
    <cellStyle name="20% - Accent1 3 2 2 3 3 2 2 2" xfId="26396"/>
    <cellStyle name="20% - Accent1 3 2 2 3 3 2 2 2 2" xfId="46150"/>
    <cellStyle name="20% - Accent1 3 2 2 3 3 2 2 3" xfId="36506"/>
    <cellStyle name="20% - Accent1 3 2 2 3 3 2 3" xfId="21586"/>
    <cellStyle name="20% - Accent1 3 2 2 3 3 2 3 2" xfId="41341"/>
    <cellStyle name="20% - Accent1 3 2 2 3 3 2 4" xfId="31697"/>
    <cellStyle name="20% - Accent1 3 2 2 3 3 3" xfId="16679"/>
    <cellStyle name="20% - Accent1 3 2 2 3 3 3 2" xfId="26395"/>
    <cellStyle name="20% - Accent1 3 2 2 3 3 3 2 2" xfId="46149"/>
    <cellStyle name="20% - Accent1 3 2 2 3 3 3 3" xfId="36505"/>
    <cellStyle name="20% - Accent1 3 2 2 3 3 4" xfId="21585"/>
    <cellStyle name="20% - Accent1 3 2 2 3 3 4 2" xfId="41340"/>
    <cellStyle name="20% - Accent1 3 2 2 3 3 5" xfId="31696"/>
    <cellStyle name="20% - Accent1 3 2 2 3 4" xfId="1378"/>
    <cellStyle name="20% - Accent1 3 2 2 3 4 2" xfId="16681"/>
    <cellStyle name="20% - Accent1 3 2 2 3 4 2 2" xfId="26397"/>
    <cellStyle name="20% - Accent1 3 2 2 3 4 2 2 2" xfId="46151"/>
    <cellStyle name="20% - Accent1 3 2 2 3 4 2 3" xfId="36507"/>
    <cellStyle name="20% - Accent1 3 2 2 3 4 3" xfId="21587"/>
    <cellStyle name="20% - Accent1 3 2 2 3 4 3 2" xfId="41342"/>
    <cellStyle name="20% - Accent1 3 2 2 3 4 4" xfId="31698"/>
    <cellStyle name="20% - Accent1 3 2 2 3 5" xfId="16674"/>
    <cellStyle name="20% - Accent1 3 2 2 3 5 2" xfId="26390"/>
    <cellStyle name="20% - Accent1 3 2 2 3 5 2 2" xfId="46144"/>
    <cellStyle name="20% - Accent1 3 2 2 3 5 3" xfId="36500"/>
    <cellStyle name="20% - Accent1 3 2 2 3 6" xfId="21580"/>
    <cellStyle name="20% - Accent1 3 2 2 3 6 2" xfId="41335"/>
    <cellStyle name="20% - Accent1 3 2 2 3 7" xfId="31691"/>
    <cellStyle name="20% - Accent1 3 2 2 4" xfId="1379"/>
    <cellStyle name="20% - Accent1 3 2 2 4 2" xfId="1380"/>
    <cellStyle name="20% - Accent1 3 2 2 4 2 2" xfId="1381"/>
    <cellStyle name="20% - Accent1 3 2 2 4 2 2 2" xfId="1382"/>
    <cellStyle name="20% - Accent1 3 2 2 4 2 2 2 2" xfId="16685"/>
    <cellStyle name="20% - Accent1 3 2 2 4 2 2 2 2 2" xfId="26401"/>
    <cellStyle name="20% - Accent1 3 2 2 4 2 2 2 2 2 2" xfId="46155"/>
    <cellStyle name="20% - Accent1 3 2 2 4 2 2 2 2 3" xfId="36511"/>
    <cellStyle name="20% - Accent1 3 2 2 4 2 2 2 3" xfId="21591"/>
    <cellStyle name="20% - Accent1 3 2 2 4 2 2 2 3 2" xfId="41346"/>
    <cellStyle name="20% - Accent1 3 2 2 4 2 2 2 4" xfId="31702"/>
    <cellStyle name="20% - Accent1 3 2 2 4 2 2 3" xfId="16684"/>
    <cellStyle name="20% - Accent1 3 2 2 4 2 2 3 2" xfId="26400"/>
    <cellStyle name="20% - Accent1 3 2 2 4 2 2 3 2 2" xfId="46154"/>
    <cellStyle name="20% - Accent1 3 2 2 4 2 2 3 3" xfId="36510"/>
    <cellStyle name="20% - Accent1 3 2 2 4 2 2 4" xfId="21590"/>
    <cellStyle name="20% - Accent1 3 2 2 4 2 2 4 2" xfId="41345"/>
    <cellStyle name="20% - Accent1 3 2 2 4 2 2 5" xfId="31701"/>
    <cellStyle name="20% - Accent1 3 2 2 4 2 3" xfId="1383"/>
    <cellStyle name="20% - Accent1 3 2 2 4 2 3 2" xfId="16686"/>
    <cellStyle name="20% - Accent1 3 2 2 4 2 3 2 2" xfId="26402"/>
    <cellStyle name="20% - Accent1 3 2 2 4 2 3 2 2 2" xfId="46156"/>
    <cellStyle name="20% - Accent1 3 2 2 4 2 3 2 3" xfId="36512"/>
    <cellStyle name="20% - Accent1 3 2 2 4 2 3 3" xfId="21592"/>
    <cellStyle name="20% - Accent1 3 2 2 4 2 3 3 2" xfId="41347"/>
    <cellStyle name="20% - Accent1 3 2 2 4 2 3 4" xfId="31703"/>
    <cellStyle name="20% - Accent1 3 2 2 4 2 4" xfId="16683"/>
    <cellStyle name="20% - Accent1 3 2 2 4 2 4 2" xfId="26399"/>
    <cellStyle name="20% - Accent1 3 2 2 4 2 4 2 2" xfId="46153"/>
    <cellStyle name="20% - Accent1 3 2 2 4 2 4 3" xfId="36509"/>
    <cellStyle name="20% - Accent1 3 2 2 4 2 5" xfId="21589"/>
    <cellStyle name="20% - Accent1 3 2 2 4 2 5 2" xfId="41344"/>
    <cellStyle name="20% - Accent1 3 2 2 4 2 6" xfId="31700"/>
    <cellStyle name="20% - Accent1 3 2 2 4 3" xfId="1384"/>
    <cellStyle name="20% - Accent1 3 2 2 4 3 2" xfId="1385"/>
    <cellStyle name="20% - Accent1 3 2 2 4 3 2 2" xfId="16688"/>
    <cellStyle name="20% - Accent1 3 2 2 4 3 2 2 2" xfId="26404"/>
    <cellStyle name="20% - Accent1 3 2 2 4 3 2 2 2 2" xfId="46158"/>
    <cellStyle name="20% - Accent1 3 2 2 4 3 2 2 3" xfId="36514"/>
    <cellStyle name="20% - Accent1 3 2 2 4 3 2 3" xfId="21594"/>
    <cellStyle name="20% - Accent1 3 2 2 4 3 2 3 2" xfId="41349"/>
    <cellStyle name="20% - Accent1 3 2 2 4 3 2 4" xfId="31705"/>
    <cellStyle name="20% - Accent1 3 2 2 4 3 3" xfId="16687"/>
    <cellStyle name="20% - Accent1 3 2 2 4 3 3 2" xfId="26403"/>
    <cellStyle name="20% - Accent1 3 2 2 4 3 3 2 2" xfId="46157"/>
    <cellStyle name="20% - Accent1 3 2 2 4 3 3 3" xfId="36513"/>
    <cellStyle name="20% - Accent1 3 2 2 4 3 4" xfId="21593"/>
    <cellStyle name="20% - Accent1 3 2 2 4 3 4 2" xfId="41348"/>
    <cellStyle name="20% - Accent1 3 2 2 4 3 5" xfId="31704"/>
    <cellStyle name="20% - Accent1 3 2 2 4 4" xfId="1386"/>
    <cellStyle name="20% - Accent1 3 2 2 4 4 2" xfId="16689"/>
    <cellStyle name="20% - Accent1 3 2 2 4 4 2 2" xfId="26405"/>
    <cellStyle name="20% - Accent1 3 2 2 4 4 2 2 2" xfId="46159"/>
    <cellStyle name="20% - Accent1 3 2 2 4 4 2 3" xfId="36515"/>
    <cellStyle name="20% - Accent1 3 2 2 4 4 3" xfId="21595"/>
    <cellStyle name="20% - Accent1 3 2 2 4 4 3 2" xfId="41350"/>
    <cellStyle name="20% - Accent1 3 2 2 4 4 4" xfId="31706"/>
    <cellStyle name="20% - Accent1 3 2 2 4 5" xfId="16682"/>
    <cellStyle name="20% - Accent1 3 2 2 4 5 2" xfId="26398"/>
    <cellStyle name="20% - Accent1 3 2 2 4 5 2 2" xfId="46152"/>
    <cellStyle name="20% - Accent1 3 2 2 4 5 3" xfId="36508"/>
    <cellStyle name="20% - Accent1 3 2 2 4 6" xfId="21588"/>
    <cellStyle name="20% - Accent1 3 2 2 4 6 2" xfId="41343"/>
    <cellStyle name="20% - Accent1 3 2 2 4 7" xfId="31699"/>
    <cellStyle name="20% - Accent1 3 2 2 5" xfId="1387"/>
    <cellStyle name="20% - Accent1 3 2 2 5 2" xfId="1388"/>
    <cellStyle name="20% - Accent1 3 2 2 5 2 2" xfId="1389"/>
    <cellStyle name="20% - Accent1 3 2 2 5 2 2 2" xfId="16692"/>
    <cellStyle name="20% - Accent1 3 2 2 5 2 2 2 2" xfId="26408"/>
    <cellStyle name="20% - Accent1 3 2 2 5 2 2 2 2 2" xfId="46162"/>
    <cellStyle name="20% - Accent1 3 2 2 5 2 2 2 3" xfId="36518"/>
    <cellStyle name="20% - Accent1 3 2 2 5 2 2 3" xfId="21598"/>
    <cellStyle name="20% - Accent1 3 2 2 5 2 2 3 2" xfId="41353"/>
    <cellStyle name="20% - Accent1 3 2 2 5 2 2 4" xfId="31709"/>
    <cellStyle name="20% - Accent1 3 2 2 5 2 3" xfId="16691"/>
    <cellStyle name="20% - Accent1 3 2 2 5 2 3 2" xfId="26407"/>
    <cellStyle name="20% - Accent1 3 2 2 5 2 3 2 2" xfId="46161"/>
    <cellStyle name="20% - Accent1 3 2 2 5 2 3 3" xfId="36517"/>
    <cellStyle name="20% - Accent1 3 2 2 5 2 4" xfId="21597"/>
    <cellStyle name="20% - Accent1 3 2 2 5 2 4 2" xfId="41352"/>
    <cellStyle name="20% - Accent1 3 2 2 5 2 5" xfId="31708"/>
    <cellStyle name="20% - Accent1 3 2 2 5 3" xfId="1390"/>
    <cellStyle name="20% - Accent1 3 2 2 5 3 2" xfId="16693"/>
    <cellStyle name="20% - Accent1 3 2 2 5 3 2 2" xfId="26409"/>
    <cellStyle name="20% - Accent1 3 2 2 5 3 2 2 2" xfId="46163"/>
    <cellStyle name="20% - Accent1 3 2 2 5 3 2 3" xfId="36519"/>
    <cellStyle name="20% - Accent1 3 2 2 5 3 3" xfId="21599"/>
    <cellStyle name="20% - Accent1 3 2 2 5 3 3 2" xfId="41354"/>
    <cellStyle name="20% - Accent1 3 2 2 5 3 4" xfId="31710"/>
    <cellStyle name="20% - Accent1 3 2 2 5 4" xfId="16690"/>
    <cellStyle name="20% - Accent1 3 2 2 5 4 2" xfId="26406"/>
    <cellStyle name="20% - Accent1 3 2 2 5 4 2 2" xfId="46160"/>
    <cellStyle name="20% - Accent1 3 2 2 5 4 3" xfId="36516"/>
    <cellStyle name="20% - Accent1 3 2 2 5 5" xfId="21596"/>
    <cellStyle name="20% - Accent1 3 2 2 5 5 2" xfId="41351"/>
    <cellStyle name="20% - Accent1 3 2 2 5 6" xfId="31707"/>
    <cellStyle name="20% - Accent1 3 2 2 6" xfId="1391"/>
    <cellStyle name="20% - Accent1 3 2 2 6 2" xfId="1392"/>
    <cellStyle name="20% - Accent1 3 2 2 6 2 2" xfId="16695"/>
    <cellStyle name="20% - Accent1 3 2 2 6 2 2 2" xfId="26411"/>
    <cellStyle name="20% - Accent1 3 2 2 6 2 2 2 2" xfId="46165"/>
    <cellStyle name="20% - Accent1 3 2 2 6 2 2 3" xfId="36521"/>
    <cellStyle name="20% - Accent1 3 2 2 6 2 3" xfId="21601"/>
    <cellStyle name="20% - Accent1 3 2 2 6 2 3 2" xfId="41356"/>
    <cellStyle name="20% - Accent1 3 2 2 6 2 4" xfId="31712"/>
    <cellStyle name="20% - Accent1 3 2 2 6 3" xfId="16694"/>
    <cellStyle name="20% - Accent1 3 2 2 6 3 2" xfId="26410"/>
    <cellStyle name="20% - Accent1 3 2 2 6 3 2 2" xfId="46164"/>
    <cellStyle name="20% - Accent1 3 2 2 6 3 3" xfId="36520"/>
    <cellStyle name="20% - Accent1 3 2 2 6 4" xfId="21600"/>
    <cellStyle name="20% - Accent1 3 2 2 6 4 2" xfId="41355"/>
    <cellStyle name="20% - Accent1 3 2 2 6 5" xfId="31711"/>
    <cellStyle name="20% - Accent1 3 2 2 7" xfId="1393"/>
    <cellStyle name="20% - Accent1 3 2 2 7 2" xfId="1394"/>
    <cellStyle name="20% - Accent1 3 2 2 7 2 2" xfId="16697"/>
    <cellStyle name="20% - Accent1 3 2 2 7 2 2 2" xfId="26413"/>
    <cellStyle name="20% - Accent1 3 2 2 7 2 2 2 2" xfId="46167"/>
    <cellStyle name="20% - Accent1 3 2 2 7 2 2 3" xfId="36523"/>
    <cellStyle name="20% - Accent1 3 2 2 7 2 3" xfId="21603"/>
    <cellStyle name="20% - Accent1 3 2 2 7 2 3 2" xfId="41358"/>
    <cellStyle name="20% - Accent1 3 2 2 7 2 4" xfId="31714"/>
    <cellStyle name="20% - Accent1 3 2 2 7 3" xfId="16696"/>
    <cellStyle name="20% - Accent1 3 2 2 7 3 2" xfId="26412"/>
    <cellStyle name="20% - Accent1 3 2 2 7 3 2 2" xfId="46166"/>
    <cellStyle name="20% - Accent1 3 2 2 7 3 3" xfId="36522"/>
    <cellStyle name="20% - Accent1 3 2 2 7 4" xfId="21602"/>
    <cellStyle name="20% - Accent1 3 2 2 7 4 2" xfId="41357"/>
    <cellStyle name="20% - Accent1 3 2 2 7 5" xfId="31713"/>
    <cellStyle name="20% - Accent1 3 2 2 8" xfId="1395"/>
    <cellStyle name="20% - Accent1 3 2 2 8 2" xfId="16698"/>
    <cellStyle name="20% - Accent1 3 2 2 8 2 2" xfId="26414"/>
    <cellStyle name="20% - Accent1 3 2 2 8 2 2 2" xfId="46168"/>
    <cellStyle name="20% - Accent1 3 2 2 8 2 3" xfId="36524"/>
    <cellStyle name="20% - Accent1 3 2 2 8 3" xfId="21604"/>
    <cellStyle name="20% - Accent1 3 2 2 8 3 2" xfId="41359"/>
    <cellStyle name="20% - Accent1 3 2 2 8 4" xfId="31715"/>
    <cellStyle name="20% - Accent1 3 2 2 9" xfId="1396"/>
    <cellStyle name="20% - Accent1 3 2 2 9 2" xfId="16699"/>
    <cellStyle name="20% - Accent1 3 2 2 9 2 2" xfId="26415"/>
    <cellStyle name="20% - Accent1 3 2 2 9 2 2 2" xfId="46169"/>
    <cellStyle name="20% - Accent1 3 2 2 9 2 3" xfId="36525"/>
    <cellStyle name="20% - Accent1 3 2 2 9 3" xfId="21605"/>
    <cellStyle name="20% - Accent1 3 2 2 9 3 2" xfId="41360"/>
    <cellStyle name="20% - Accent1 3 2 2 9 4" xfId="31716"/>
    <cellStyle name="20% - Accent1 3 2 3" xfId="1397"/>
    <cellStyle name="20% - Accent1 3 2 3 10" xfId="31717"/>
    <cellStyle name="20% - Accent1 3 2 3 2" xfId="1398"/>
    <cellStyle name="20% - Accent1 3 2 3 2 2" xfId="1399"/>
    <cellStyle name="20% - Accent1 3 2 3 2 2 2" xfId="1400"/>
    <cellStyle name="20% - Accent1 3 2 3 2 2 2 2" xfId="1401"/>
    <cellStyle name="20% - Accent1 3 2 3 2 2 2 2 2" xfId="16704"/>
    <cellStyle name="20% - Accent1 3 2 3 2 2 2 2 2 2" xfId="26420"/>
    <cellStyle name="20% - Accent1 3 2 3 2 2 2 2 2 2 2" xfId="46174"/>
    <cellStyle name="20% - Accent1 3 2 3 2 2 2 2 2 3" xfId="36530"/>
    <cellStyle name="20% - Accent1 3 2 3 2 2 2 2 3" xfId="21610"/>
    <cellStyle name="20% - Accent1 3 2 3 2 2 2 2 3 2" xfId="41365"/>
    <cellStyle name="20% - Accent1 3 2 3 2 2 2 2 4" xfId="31721"/>
    <cellStyle name="20% - Accent1 3 2 3 2 2 2 3" xfId="16703"/>
    <cellStyle name="20% - Accent1 3 2 3 2 2 2 3 2" xfId="26419"/>
    <cellStyle name="20% - Accent1 3 2 3 2 2 2 3 2 2" xfId="46173"/>
    <cellStyle name="20% - Accent1 3 2 3 2 2 2 3 3" xfId="36529"/>
    <cellStyle name="20% - Accent1 3 2 3 2 2 2 4" xfId="21609"/>
    <cellStyle name="20% - Accent1 3 2 3 2 2 2 4 2" xfId="41364"/>
    <cellStyle name="20% - Accent1 3 2 3 2 2 2 5" xfId="31720"/>
    <cellStyle name="20% - Accent1 3 2 3 2 2 3" xfId="1402"/>
    <cellStyle name="20% - Accent1 3 2 3 2 2 3 2" xfId="16705"/>
    <cellStyle name="20% - Accent1 3 2 3 2 2 3 2 2" xfId="26421"/>
    <cellStyle name="20% - Accent1 3 2 3 2 2 3 2 2 2" xfId="46175"/>
    <cellStyle name="20% - Accent1 3 2 3 2 2 3 2 3" xfId="36531"/>
    <cellStyle name="20% - Accent1 3 2 3 2 2 3 3" xfId="21611"/>
    <cellStyle name="20% - Accent1 3 2 3 2 2 3 3 2" xfId="41366"/>
    <cellStyle name="20% - Accent1 3 2 3 2 2 3 4" xfId="31722"/>
    <cellStyle name="20% - Accent1 3 2 3 2 2 4" xfId="16702"/>
    <cellStyle name="20% - Accent1 3 2 3 2 2 4 2" xfId="26418"/>
    <cellStyle name="20% - Accent1 3 2 3 2 2 4 2 2" xfId="46172"/>
    <cellStyle name="20% - Accent1 3 2 3 2 2 4 3" xfId="36528"/>
    <cellStyle name="20% - Accent1 3 2 3 2 2 5" xfId="21608"/>
    <cellStyle name="20% - Accent1 3 2 3 2 2 5 2" xfId="41363"/>
    <cellStyle name="20% - Accent1 3 2 3 2 2 6" xfId="31719"/>
    <cellStyle name="20% - Accent1 3 2 3 2 3" xfId="1403"/>
    <cellStyle name="20% - Accent1 3 2 3 2 3 2" xfId="1404"/>
    <cellStyle name="20% - Accent1 3 2 3 2 3 2 2" xfId="16707"/>
    <cellStyle name="20% - Accent1 3 2 3 2 3 2 2 2" xfId="26423"/>
    <cellStyle name="20% - Accent1 3 2 3 2 3 2 2 2 2" xfId="46177"/>
    <cellStyle name="20% - Accent1 3 2 3 2 3 2 2 3" xfId="36533"/>
    <cellStyle name="20% - Accent1 3 2 3 2 3 2 3" xfId="21613"/>
    <cellStyle name="20% - Accent1 3 2 3 2 3 2 3 2" xfId="41368"/>
    <cellStyle name="20% - Accent1 3 2 3 2 3 2 4" xfId="31724"/>
    <cellStyle name="20% - Accent1 3 2 3 2 3 3" xfId="16706"/>
    <cellStyle name="20% - Accent1 3 2 3 2 3 3 2" xfId="26422"/>
    <cellStyle name="20% - Accent1 3 2 3 2 3 3 2 2" xfId="46176"/>
    <cellStyle name="20% - Accent1 3 2 3 2 3 3 3" xfId="36532"/>
    <cellStyle name="20% - Accent1 3 2 3 2 3 4" xfId="21612"/>
    <cellStyle name="20% - Accent1 3 2 3 2 3 4 2" xfId="41367"/>
    <cellStyle name="20% - Accent1 3 2 3 2 3 5" xfId="31723"/>
    <cellStyle name="20% - Accent1 3 2 3 2 4" xfId="1405"/>
    <cellStyle name="20% - Accent1 3 2 3 2 4 2" xfId="16708"/>
    <cellStyle name="20% - Accent1 3 2 3 2 4 2 2" xfId="26424"/>
    <cellStyle name="20% - Accent1 3 2 3 2 4 2 2 2" xfId="46178"/>
    <cellStyle name="20% - Accent1 3 2 3 2 4 2 3" xfId="36534"/>
    <cellStyle name="20% - Accent1 3 2 3 2 4 3" xfId="21614"/>
    <cellStyle name="20% - Accent1 3 2 3 2 4 3 2" xfId="41369"/>
    <cellStyle name="20% - Accent1 3 2 3 2 4 4" xfId="31725"/>
    <cellStyle name="20% - Accent1 3 2 3 2 5" xfId="16701"/>
    <cellStyle name="20% - Accent1 3 2 3 2 5 2" xfId="26417"/>
    <cellStyle name="20% - Accent1 3 2 3 2 5 2 2" xfId="46171"/>
    <cellStyle name="20% - Accent1 3 2 3 2 5 3" xfId="36527"/>
    <cellStyle name="20% - Accent1 3 2 3 2 6" xfId="21607"/>
    <cellStyle name="20% - Accent1 3 2 3 2 6 2" xfId="41362"/>
    <cellStyle name="20% - Accent1 3 2 3 2 7" xfId="31718"/>
    <cellStyle name="20% - Accent1 3 2 3 3" xfId="1406"/>
    <cellStyle name="20% - Accent1 3 2 3 3 2" xfId="1407"/>
    <cellStyle name="20% - Accent1 3 2 3 3 2 2" xfId="1408"/>
    <cellStyle name="20% - Accent1 3 2 3 3 2 2 2" xfId="16711"/>
    <cellStyle name="20% - Accent1 3 2 3 3 2 2 2 2" xfId="26427"/>
    <cellStyle name="20% - Accent1 3 2 3 3 2 2 2 2 2" xfId="46181"/>
    <cellStyle name="20% - Accent1 3 2 3 3 2 2 2 3" xfId="36537"/>
    <cellStyle name="20% - Accent1 3 2 3 3 2 2 3" xfId="21617"/>
    <cellStyle name="20% - Accent1 3 2 3 3 2 2 3 2" xfId="41372"/>
    <cellStyle name="20% - Accent1 3 2 3 3 2 2 4" xfId="31728"/>
    <cellStyle name="20% - Accent1 3 2 3 3 2 3" xfId="16710"/>
    <cellStyle name="20% - Accent1 3 2 3 3 2 3 2" xfId="26426"/>
    <cellStyle name="20% - Accent1 3 2 3 3 2 3 2 2" xfId="46180"/>
    <cellStyle name="20% - Accent1 3 2 3 3 2 3 3" xfId="36536"/>
    <cellStyle name="20% - Accent1 3 2 3 3 2 4" xfId="21616"/>
    <cellStyle name="20% - Accent1 3 2 3 3 2 4 2" xfId="41371"/>
    <cellStyle name="20% - Accent1 3 2 3 3 2 5" xfId="31727"/>
    <cellStyle name="20% - Accent1 3 2 3 3 3" xfId="1409"/>
    <cellStyle name="20% - Accent1 3 2 3 3 3 2" xfId="16712"/>
    <cellStyle name="20% - Accent1 3 2 3 3 3 2 2" xfId="26428"/>
    <cellStyle name="20% - Accent1 3 2 3 3 3 2 2 2" xfId="46182"/>
    <cellStyle name="20% - Accent1 3 2 3 3 3 2 3" xfId="36538"/>
    <cellStyle name="20% - Accent1 3 2 3 3 3 3" xfId="21618"/>
    <cellStyle name="20% - Accent1 3 2 3 3 3 3 2" xfId="41373"/>
    <cellStyle name="20% - Accent1 3 2 3 3 3 4" xfId="31729"/>
    <cellStyle name="20% - Accent1 3 2 3 3 4" xfId="16709"/>
    <cellStyle name="20% - Accent1 3 2 3 3 4 2" xfId="26425"/>
    <cellStyle name="20% - Accent1 3 2 3 3 4 2 2" xfId="46179"/>
    <cellStyle name="20% - Accent1 3 2 3 3 4 3" xfId="36535"/>
    <cellStyle name="20% - Accent1 3 2 3 3 5" xfId="21615"/>
    <cellStyle name="20% - Accent1 3 2 3 3 5 2" xfId="41370"/>
    <cellStyle name="20% - Accent1 3 2 3 3 6" xfId="31726"/>
    <cellStyle name="20% - Accent1 3 2 3 4" xfId="1410"/>
    <cellStyle name="20% - Accent1 3 2 3 4 2" xfId="1411"/>
    <cellStyle name="20% - Accent1 3 2 3 4 2 2" xfId="16714"/>
    <cellStyle name="20% - Accent1 3 2 3 4 2 2 2" xfId="26430"/>
    <cellStyle name="20% - Accent1 3 2 3 4 2 2 2 2" xfId="46184"/>
    <cellStyle name="20% - Accent1 3 2 3 4 2 2 3" xfId="36540"/>
    <cellStyle name="20% - Accent1 3 2 3 4 2 3" xfId="21620"/>
    <cellStyle name="20% - Accent1 3 2 3 4 2 3 2" xfId="41375"/>
    <cellStyle name="20% - Accent1 3 2 3 4 2 4" xfId="31731"/>
    <cellStyle name="20% - Accent1 3 2 3 4 3" xfId="16713"/>
    <cellStyle name="20% - Accent1 3 2 3 4 3 2" xfId="26429"/>
    <cellStyle name="20% - Accent1 3 2 3 4 3 2 2" xfId="46183"/>
    <cellStyle name="20% - Accent1 3 2 3 4 3 3" xfId="36539"/>
    <cellStyle name="20% - Accent1 3 2 3 4 4" xfId="21619"/>
    <cellStyle name="20% - Accent1 3 2 3 4 4 2" xfId="41374"/>
    <cellStyle name="20% - Accent1 3 2 3 4 5" xfId="31730"/>
    <cellStyle name="20% - Accent1 3 2 3 5" xfId="1412"/>
    <cellStyle name="20% - Accent1 3 2 3 5 2" xfId="16715"/>
    <cellStyle name="20% - Accent1 3 2 3 5 2 2" xfId="26431"/>
    <cellStyle name="20% - Accent1 3 2 3 5 2 2 2" xfId="46185"/>
    <cellStyle name="20% - Accent1 3 2 3 5 2 3" xfId="36541"/>
    <cellStyle name="20% - Accent1 3 2 3 5 3" xfId="21621"/>
    <cellStyle name="20% - Accent1 3 2 3 5 3 2" xfId="41376"/>
    <cellStyle name="20% - Accent1 3 2 3 5 4" xfId="31732"/>
    <cellStyle name="20% - Accent1 3 2 3 6" xfId="1413"/>
    <cellStyle name="20% - Accent1 3 2 3 6 2" xfId="16716"/>
    <cellStyle name="20% - Accent1 3 2 3 6 2 2" xfId="26432"/>
    <cellStyle name="20% - Accent1 3 2 3 6 2 2 2" xfId="46186"/>
    <cellStyle name="20% - Accent1 3 2 3 6 2 3" xfId="36542"/>
    <cellStyle name="20% - Accent1 3 2 3 6 3" xfId="21622"/>
    <cellStyle name="20% - Accent1 3 2 3 6 3 2" xfId="41377"/>
    <cellStyle name="20% - Accent1 3 2 3 6 4" xfId="31733"/>
    <cellStyle name="20% - Accent1 3 2 3 7" xfId="1414"/>
    <cellStyle name="20% - Accent1 3 2 3 7 2" xfId="16717"/>
    <cellStyle name="20% - Accent1 3 2 3 7 2 2" xfId="26433"/>
    <cellStyle name="20% - Accent1 3 2 3 7 2 2 2" xfId="46187"/>
    <cellStyle name="20% - Accent1 3 2 3 7 2 3" xfId="36543"/>
    <cellStyle name="20% - Accent1 3 2 3 7 3" xfId="21623"/>
    <cellStyle name="20% - Accent1 3 2 3 7 3 2" xfId="41378"/>
    <cellStyle name="20% - Accent1 3 2 3 7 4" xfId="31734"/>
    <cellStyle name="20% - Accent1 3 2 3 8" xfId="16700"/>
    <cellStyle name="20% - Accent1 3 2 3 8 2" xfId="26416"/>
    <cellStyle name="20% - Accent1 3 2 3 8 2 2" xfId="46170"/>
    <cellStyle name="20% - Accent1 3 2 3 8 3" xfId="36526"/>
    <cellStyle name="20% - Accent1 3 2 3 9" xfId="21606"/>
    <cellStyle name="20% - Accent1 3 2 3 9 2" xfId="41361"/>
    <cellStyle name="20% - Accent1 3 2 4" xfId="1415"/>
    <cellStyle name="20% - Accent1 3 2 4 2" xfId="1416"/>
    <cellStyle name="20% - Accent1 3 2 4 2 2" xfId="1417"/>
    <cellStyle name="20% - Accent1 3 2 4 2 2 2" xfId="1418"/>
    <cellStyle name="20% - Accent1 3 2 4 2 2 2 2" xfId="16721"/>
    <cellStyle name="20% - Accent1 3 2 4 2 2 2 2 2" xfId="26437"/>
    <cellStyle name="20% - Accent1 3 2 4 2 2 2 2 2 2" xfId="46191"/>
    <cellStyle name="20% - Accent1 3 2 4 2 2 2 2 3" xfId="36547"/>
    <cellStyle name="20% - Accent1 3 2 4 2 2 2 3" xfId="21627"/>
    <cellStyle name="20% - Accent1 3 2 4 2 2 2 3 2" xfId="41382"/>
    <cellStyle name="20% - Accent1 3 2 4 2 2 2 4" xfId="31738"/>
    <cellStyle name="20% - Accent1 3 2 4 2 2 3" xfId="16720"/>
    <cellStyle name="20% - Accent1 3 2 4 2 2 3 2" xfId="26436"/>
    <cellStyle name="20% - Accent1 3 2 4 2 2 3 2 2" xfId="46190"/>
    <cellStyle name="20% - Accent1 3 2 4 2 2 3 3" xfId="36546"/>
    <cellStyle name="20% - Accent1 3 2 4 2 2 4" xfId="21626"/>
    <cellStyle name="20% - Accent1 3 2 4 2 2 4 2" xfId="41381"/>
    <cellStyle name="20% - Accent1 3 2 4 2 2 5" xfId="31737"/>
    <cellStyle name="20% - Accent1 3 2 4 2 3" xfId="1419"/>
    <cellStyle name="20% - Accent1 3 2 4 2 3 2" xfId="16722"/>
    <cellStyle name="20% - Accent1 3 2 4 2 3 2 2" xfId="26438"/>
    <cellStyle name="20% - Accent1 3 2 4 2 3 2 2 2" xfId="46192"/>
    <cellStyle name="20% - Accent1 3 2 4 2 3 2 3" xfId="36548"/>
    <cellStyle name="20% - Accent1 3 2 4 2 3 3" xfId="21628"/>
    <cellStyle name="20% - Accent1 3 2 4 2 3 3 2" xfId="41383"/>
    <cellStyle name="20% - Accent1 3 2 4 2 3 4" xfId="31739"/>
    <cellStyle name="20% - Accent1 3 2 4 2 4" xfId="16719"/>
    <cellStyle name="20% - Accent1 3 2 4 2 4 2" xfId="26435"/>
    <cellStyle name="20% - Accent1 3 2 4 2 4 2 2" xfId="46189"/>
    <cellStyle name="20% - Accent1 3 2 4 2 4 3" xfId="36545"/>
    <cellStyle name="20% - Accent1 3 2 4 2 5" xfId="21625"/>
    <cellStyle name="20% - Accent1 3 2 4 2 5 2" xfId="41380"/>
    <cellStyle name="20% - Accent1 3 2 4 2 6" xfId="31736"/>
    <cellStyle name="20% - Accent1 3 2 4 3" xfId="1420"/>
    <cellStyle name="20% - Accent1 3 2 4 3 2" xfId="1421"/>
    <cellStyle name="20% - Accent1 3 2 4 3 2 2" xfId="16724"/>
    <cellStyle name="20% - Accent1 3 2 4 3 2 2 2" xfId="26440"/>
    <cellStyle name="20% - Accent1 3 2 4 3 2 2 2 2" xfId="46194"/>
    <cellStyle name="20% - Accent1 3 2 4 3 2 2 3" xfId="36550"/>
    <cellStyle name="20% - Accent1 3 2 4 3 2 3" xfId="21630"/>
    <cellStyle name="20% - Accent1 3 2 4 3 2 3 2" xfId="41385"/>
    <cellStyle name="20% - Accent1 3 2 4 3 2 4" xfId="31741"/>
    <cellStyle name="20% - Accent1 3 2 4 3 3" xfId="16723"/>
    <cellStyle name="20% - Accent1 3 2 4 3 3 2" xfId="26439"/>
    <cellStyle name="20% - Accent1 3 2 4 3 3 2 2" xfId="46193"/>
    <cellStyle name="20% - Accent1 3 2 4 3 3 3" xfId="36549"/>
    <cellStyle name="20% - Accent1 3 2 4 3 4" xfId="21629"/>
    <cellStyle name="20% - Accent1 3 2 4 3 4 2" xfId="41384"/>
    <cellStyle name="20% - Accent1 3 2 4 3 5" xfId="31740"/>
    <cellStyle name="20% - Accent1 3 2 4 4" xfId="1422"/>
    <cellStyle name="20% - Accent1 3 2 4 4 2" xfId="16725"/>
    <cellStyle name="20% - Accent1 3 2 4 4 2 2" xfId="26441"/>
    <cellStyle name="20% - Accent1 3 2 4 4 2 2 2" xfId="46195"/>
    <cellStyle name="20% - Accent1 3 2 4 4 2 3" xfId="36551"/>
    <cellStyle name="20% - Accent1 3 2 4 4 3" xfId="21631"/>
    <cellStyle name="20% - Accent1 3 2 4 4 3 2" xfId="41386"/>
    <cellStyle name="20% - Accent1 3 2 4 4 4" xfId="31742"/>
    <cellStyle name="20% - Accent1 3 2 4 5" xfId="16718"/>
    <cellStyle name="20% - Accent1 3 2 4 5 2" xfId="26434"/>
    <cellStyle name="20% - Accent1 3 2 4 5 2 2" xfId="46188"/>
    <cellStyle name="20% - Accent1 3 2 4 5 3" xfId="36544"/>
    <cellStyle name="20% - Accent1 3 2 4 6" xfId="21624"/>
    <cellStyle name="20% - Accent1 3 2 4 6 2" xfId="41379"/>
    <cellStyle name="20% - Accent1 3 2 4 7" xfId="31735"/>
    <cellStyle name="20% - Accent1 3 2 5" xfId="1423"/>
    <cellStyle name="20% - Accent1 3 2 5 2" xfId="1424"/>
    <cellStyle name="20% - Accent1 3 2 5 2 2" xfId="1425"/>
    <cellStyle name="20% - Accent1 3 2 5 2 2 2" xfId="1426"/>
    <cellStyle name="20% - Accent1 3 2 5 2 2 2 2" xfId="16729"/>
    <cellStyle name="20% - Accent1 3 2 5 2 2 2 2 2" xfId="26445"/>
    <cellStyle name="20% - Accent1 3 2 5 2 2 2 2 2 2" xfId="46199"/>
    <cellStyle name="20% - Accent1 3 2 5 2 2 2 2 3" xfId="36555"/>
    <cellStyle name="20% - Accent1 3 2 5 2 2 2 3" xfId="21635"/>
    <cellStyle name="20% - Accent1 3 2 5 2 2 2 3 2" xfId="41390"/>
    <cellStyle name="20% - Accent1 3 2 5 2 2 2 4" xfId="31746"/>
    <cellStyle name="20% - Accent1 3 2 5 2 2 3" xfId="16728"/>
    <cellStyle name="20% - Accent1 3 2 5 2 2 3 2" xfId="26444"/>
    <cellStyle name="20% - Accent1 3 2 5 2 2 3 2 2" xfId="46198"/>
    <cellStyle name="20% - Accent1 3 2 5 2 2 3 3" xfId="36554"/>
    <cellStyle name="20% - Accent1 3 2 5 2 2 4" xfId="21634"/>
    <cellStyle name="20% - Accent1 3 2 5 2 2 4 2" xfId="41389"/>
    <cellStyle name="20% - Accent1 3 2 5 2 2 5" xfId="31745"/>
    <cellStyle name="20% - Accent1 3 2 5 2 3" xfId="1427"/>
    <cellStyle name="20% - Accent1 3 2 5 2 3 2" xfId="16730"/>
    <cellStyle name="20% - Accent1 3 2 5 2 3 2 2" xfId="26446"/>
    <cellStyle name="20% - Accent1 3 2 5 2 3 2 2 2" xfId="46200"/>
    <cellStyle name="20% - Accent1 3 2 5 2 3 2 3" xfId="36556"/>
    <cellStyle name="20% - Accent1 3 2 5 2 3 3" xfId="21636"/>
    <cellStyle name="20% - Accent1 3 2 5 2 3 3 2" xfId="41391"/>
    <cellStyle name="20% - Accent1 3 2 5 2 3 4" xfId="31747"/>
    <cellStyle name="20% - Accent1 3 2 5 2 4" xfId="16727"/>
    <cellStyle name="20% - Accent1 3 2 5 2 4 2" xfId="26443"/>
    <cellStyle name="20% - Accent1 3 2 5 2 4 2 2" xfId="46197"/>
    <cellStyle name="20% - Accent1 3 2 5 2 4 3" xfId="36553"/>
    <cellStyle name="20% - Accent1 3 2 5 2 5" xfId="21633"/>
    <cellStyle name="20% - Accent1 3 2 5 2 5 2" xfId="41388"/>
    <cellStyle name="20% - Accent1 3 2 5 2 6" xfId="31744"/>
    <cellStyle name="20% - Accent1 3 2 5 3" xfId="1428"/>
    <cellStyle name="20% - Accent1 3 2 5 3 2" xfId="1429"/>
    <cellStyle name="20% - Accent1 3 2 5 3 2 2" xfId="16732"/>
    <cellStyle name="20% - Accent1 3 2 5 3 2 2 2" xfId="26448"/>
    <cellStyle name="20% - Accent1 3 2 5 3 2 2 2 2" xfId="46202"/>
    <cellStyle name="20% - Accent1 3 2 5 3 2 2 3" xfId="36558"/>
    <cellStyle name="20% - Accent1 3 2 5 3 2 3" xfId="21638"/>
    <cellStyle name="20% - Accent1 3 2 5 3 2 3 2" xfId="41393"/>
    <cellStyle name="20% - Accent1 3 2 5 3 2 4" xfId="31749"/>
    <cellStyle name="20% - Accent1 3 2 5 3 3" xfId="16731"/>
    <cellStyle name="20% - Accent1 3 2 5 3 3 2" xfId="26447"/>
    <cellStyle name="20% - Accent1 3 2 5 3 3 2 2" xfId="46201"/>
    <cellStyle name="20% - Accent1 3 2 5 3 3 3" xfId="36557"/>
    <cellStyle name="20% - Accent1 3 2 5 3 4" xfId="21637"/>
    <cellStyle name="20% - Accent1 3 2 5 3 4 2" xfId="41392"/>
    <cellStyle name="20% - Accent1 3 2 5 3 5" xfId="31748"/>
    <cellStyle name="20% - Accent1 3 2 5 4" xfId="1430"/>
    <cellStyle name="20% - Accent1 3 2 5 4 2" xfId="16733"/>
    <cellStyle name="20% - Accent1 3 2 5 4 2 2" xfId="26449"/>
    <cellStyle name="20% - Accent1 3 2 5 4 2 2 2" xfId="46203"/>
    <cellStyle name="20% - Accent1 3 2 5 4 2 3" xfId="36559"/>
    <cellStyle name="20% - Accent1 3 2 5 4 3" xfId="21639"/>
    <cellStyle name="20% - Accent1 3 2 5 4 3 2" xfId="41394"/>
    <cellStyle name="20% - Accent1 3 2 5 4 4" xfId="31750"/>
    <cellStyle name="20% - Accent1 3 2 5 5" xfId="16726"/>
    <cellStyle name="20% - Accent1 3 2 5 5 2" xfId="26442"/>
    <cellStyle name="20% - Accent1 3 2 5 5 2 2" xfId="46196"/>
    <cellStyle name="20% - Accent1 3 2 5 5 3" xfId="36552"/>
    <cellStyle name="20% - Accent1 3 2 5 6" xfId="21632"/>
    <cellStyle name="20% - Accent1 3 2 5 6 2" xfId="41387"/>
    <cellStyle name="20% - Accent1 3 2 5 7" xfId="31743"/>
    <cellStyle name="20% - Accent1 3 2 6" xfId="1431"/>
    <cellStyle name="20% - Accent1 3 2 6 2" xfId="1432"/>
    <cellStyle name="20% - Accent1 3 2 6 2 2" xfId="1433"/>
    <cellStyle name="20% - Accent1 3 2 6 2 2 2" xfId="16736"/>
    <cellStyle name="20% - Accent1 3 2 6 2 2 2 2" xfId="26452"/>
    <cellStyle name="20% - Accent1 3 2 6 2 2 2 2 2" xfId="46206"/>
    <cellStyle name="20% - Accent1 3 2 6 2 2 2 3" xfId="36562"/>
    <cellStyle name="20% - Accent1 3 2 6 2 2 3" xfId="21642"/>
    <cellStyle name="20% - Accent1 3 2 6 2 2 3 2" xfId="41397"/>
    <cellStyle name="20% - Accent1 3 2 6 2 2 4" xfId="31753"/>
    <cellStyle name="20% - Accent1 3 2 6 2 3" xfId="16735"/>
    <cellStyle name="20% - Accent1 3 2 6 2 3 2" xfId="26451"/>
    <cellStyle name="20% - Accent1 3 2 6 2 3 2 2" xfId="46205"/>
    <cellStyle name="20% - Accent1 3 2 6 2 3 3" xfId="36561"/>
    <cellStyle name="20% - Accent1 3 2 6 2 4" xfId="21641"/>
    <cellStyle name="20% - Accent1 3 2 6 2 4 2" xfId="41396"/>
    <cellStyle name="20% - Accent1 3 2 6 2 5" xfId="31752"/>
    <cellStyle name="20% - Accent1 3 2 6 3" xfId="1434"/>
    <cellStyle name="20% - Accent1 3 2 6 3 2" xfId="16737"/>
    <cellStyle name="20% - Accent1 3 2 6 3 2 2" xfId="26453"/>
    <cellStyle name="20% - Accent1 3 2 6 3 2 2 2" xfId="46207"/>
    <cellStyle name="20% - Accent1 3 2 6 3 2 3" xfId="36563"/>
    <cellStyle name="20% - Accent1 3 2 6 3 3" xfId="21643"/>
    <cellStyle name="20% - Accent1 3 2 6 3 3 2" xfId="41398"/>
    <cellStyle name="20% - Accent1 3 2 6 3 4" xfId="31754"/>
    <cellStyle name="20% - Accent1 3 2 6 4" xfId="16734"/>
    <cellStyle name="20% - Accent1 3 2 6 4 2" xfId="26450"/>
    <cellStyle name="20% - Accent1 3 2 6 4 2 2" xfId="46204"/>
    <cellStyle name="20% - Accent1 3 2 6 4 3" xfId="36560"/>
    <cellStyle name="20% - Accent1 3 2 6 5" xfId="21640"/>
    <cellStyle name="20% - Accent1 3 2 6 5 2" xfId="41395"/>
    <cellStyle name="20% - Accent1 3 2 6 6" xfId="31751"/>
    <cellStyle name="20% - Accent1 3 2 7" xfId="1435"/>
    <cellStyle name="20% - Accent1 3 2 7 2" xfId="1436"/>
    <cellStyle name="20% - Accent1 3 2 7 2 2" xfId="16739"/>
    <cellStyle name="20% - Accent1 3 2 7 2 2 2" xfId="26455"/>
    <cellStyle name="20% - Accent1 3 2 7 2 2 2 2" xfId="46209"/>
    <cellStyle name="20% - Accent1 3 2 7 2 2 3" xfId="36565"/>
    <cellStyle name="20% - Accent1 3 2 7 2 3" xfId="21645"/>
    <cellStyle name="20% - Accent1 3 2 7 2 3 2" xfId="41400"/>
    <cellStyle name="20% - Accent1 3 2 7 2 4" xfId="31756"/>
    <cellStyle name="20% - Accent1 3 2 7 3" xfId="16738"/>
    <cellStyle name="20% - Accent1 3 2 7 3 2" xfId="26454"/>
    <cellStyle name="20% - Accent1 3 2 7 3 2 2" xfId="46208"/>
    <cellStyle name="20% - Accent1 3 2 7 3 3" xfId="36564"/>
    <cellStyle name="20% - Accent1 3 2 7 4" xfId="21644"/>
    <cellStyle name="20% - Accent1 3 2 7 4 2" xfId="41399"/>
    <cellStyle name="20% - Accent1 3 2 7 5" xfId="31755"/>
    <cellStyle name="20% - Accent1 3 2 8" xfId="1437"/>
    <cellStyle name="20% - Accent1 3 2 8 2" xfId="1438"/>
    <cellStyle name="20% - Accent1 3 2 8 2 2" xfId="16741"/>
    <cellStyle name="20% - Accent1 3 2 8 2 2 2" xfId="26457"/>
    <cellStyle name="20% - Accent1 3 2 8 2 2 2 2" xfId="46211"/>
    <cellStyle name="20% - Accent1 3 2 8 2 2 3" xfId="36567"/>
    <cellStyle name="20% - Accent1 3 2 8 2 3" xfId="21647"/>
    <cellStyle name="20% - Accent1 3 2 8 2 3 2" xfId="41402"/>
    <cellStyle name="20% - Accent1 3 2 8 2 4" xfId="31758"/>
    <cellStyle name="20% - Accent1 3 2 8 3" xfId="16740"/>
    <cellStyle name="20% - Accent1 3 2 8 3 2" xfId="26456"/>
    <cellStyle name="20% - Accent1 3 2 8 3 2 2" xfId="46210"/>
    <cellStyle name="20% - Accent1 3 2 8 3 3" xfId="36566"/>
    <cellStyle name="20% - Accent1 3 2 8 4" xfId="21646"/>
    <cellStyle name="20% - Accent1 3 2 8 4 2" xfId="41401"/>
    <cellStyle name="20% - Accent1 3 2 8 5" xfId="31757"/>
    <cellStyle name="20% - Accent1 3 2 9" xfId="1439"/>
    <cellStyle name="20% - Accent1 3 2 9 2" xfId="16742"/>
    <cellStyle name="20% - Accent1 3 2 9 2 2" xfId="26458"/>
    <cellStyle name="20% - Accent1 3 2 9 2 2 2" xfId="46212"/>
    <cellStyle name="20% - Accent1 3 2 9 2 3" xfId="36568"/>
    <cellStyle name="20% - Accent1 3 2 9 3" xfId="21648"/>
    <cellStyle name="20% - Accent1 3 2 9 3 2" xfId="41403"/>
    <cellStyle name="20% - Accent1 3 2 9 4" xfId="31759"/>
    <cellStyle name="20% - Accent1 3 3" xfId="1440"/>
    <cellStyle name="20% - Accent1 3 3 10" xfId="1441"/>
    <cellStyle name="20% - Accent1 3 3 10 2" xfId="16744"/>
    <cellStyle name="20% - Accent1 3 3 10 2 2" xfId="26460"/>
    <cellStyle name="20% - Accent1 3 3 10 2 2 2" xfId="46214"/>
    <cellStyle name="20% - Accent1 3 3 10 2 3" xfId="36570"/>
    <cellStyle name="20% - Accent1 3 3 10 3" xfId="21650"/>
    <cellStyle name="20% - Accent1 3 3 10 3 2" xfId="41405"/>
    <cellStyle name="20% - Accent1 3 3 10 4" xfId="31761"/>
    <cellStyle name="20% - Accent1 3 3 11" xfId="16743"/>
    <cellStyle name="20% - Accent1 3 3 11 2" xfId="26459"/>
    <cellStyle name="20% - Accent1 3 3 11 2 2" xfId="46213"/>
    <cellStyle name="20% - Accent1 3 3 11 3" xfId="36569"/>
    <cellStyle name="20% - Accent1 3 3 12" xfId="21649"/>
    <cellStyle name="20% - Accent1 3 3 12 2" xfId="41404"/>
    <cellStyle name="20% - Accent1 3 3 13" xfId="31760"/>
    <cellStyle name="20% - Accent1 3 3 2" xfId="1442"/>
    <cellStyle name="20% - Accent1 3 3 2 10" xfId="31762"/>
    <cellStyle name="20% - Accent1 3 3 2 2" xfId="1443"/>
    <cellStyle name="20% - Accent1 3 3 2 2 2" xfId="1444"/>
    <cellStyle name="20% - Accent1 3 3 2 2 2 2" xfId="1445"/>
    <cellStyle name="20% - Accent1 3 3 2 2 2 2 2" xfId="1446"/>
    <cellStyle name="20% - Accent1 3 3 2 2 2 2 2 2" xfId="16749"/>
    <cellStyle name="20% - Accent1 3 3 2 2 2 2 2 2 2" xfId="26465"/>
    <cellStyle name="20% - Accent1 3 3 2 2 2 2 2 2 2 2" xfId="46219"/>
    <cellStyle name="20% - Accent1 3 3 2 2 2 2 2 2 3" xfId="36575"/>
    <cellStyle name="20% - Accent1 3 3 2 2 2 2 2 3" xfId="21655"/>
    <cellStyle name="20% - Accent1 3 3 2 2 2 2 2 3 2" xfId="41410"/>
    <cellStyle name="20% - Accent1 3 3 2 2 2 2 2 4" xfId="31766"/>
    <cellStyle name="20% - Accent1 3 3 2 2 2 2 3" xfId="16748"/>
    <cellStyle name="20% - Accent1 3 3 2 2 2 2 3 2" xfId="26464"/>
    <cellStyle name="20% - Accent1 3 3 2 2 2 2 3 2 2" xfId="46218"/>
    <cellStyle name="20% - Accent1 3 3 2 2 2 2 3 3" xfId="36574"/>
    <cellStyle name="20% - Accent1 3 3 2 2 2 2 4" xfId="21654"/>
    <cellStyle name="20% - Accent1 3 3 2 2 2 2 4 2" xfId="41409"/>
    <cellStyle name="20% - Accent1 3 3 2 2 2 2 5" xfId="31765"/>
    <cellStyle name="20% - Accent1 3 3 2 2 2 3" xfId="1447"/>
    <cellStyle name="20% - Accent1 3 3 2 2 2 3 2" xfId="16750"/>
    <cellStyle name="20% - Accent1 3 3 2 2 2 3 2 2" xfId="26466"/>
    <cellStyle name="20% - Accent1 3 3 2 2 2 3 2 2 2" xfId="46220"/>
    <cellStyle name="20% - Accent1 3 3 2 2 2 3 2 3" xfId="36576"/>
    <cellStyle name="20% - Accent1 3 3 2 2 2 3 3" xfId="21656"/>
    <cellStyle name="20% - Accent1 3 3 2 2 2 3 3 2" xfId="41411"/>
    <cellStyle name="20% - Accent1 3 3 2 2 2 3 4" xfId="31767"/>
    <cellStyle name="20% - Accent1 3 3 2 2 2 4" xfId="16747"/>
    <cellStyle name="20% - Accent1 3 3 2 2 2 4 2" xfId="26463"/>
    <cellStyle name="20% - Accent1 3 3 2 2 2 4 2 2" xfId="46217"/>
    <cellStyle name="20% - Accent1 3 3 2 2 2 4 3" xfId="36573"/>
    <cellStyle name="20% - Accent1 3 3 2 2 2 5" xfId="21653"/>
    <cellStyle name="20% - Accent1 3 3 2 2 2 5 2" xfId="41408"/>
    <cellStyle name="20% - Accent1 3 3 2 2 2 6" xfId="31764"/>
    <cellStyle name="20% - Accent1 3 3 2 2 3" xfId="1448"/>
    <cellStyle name="20% - Accent1 3 3 2 2 3 2" xfId="1449"/>
    <cellStyle name="20% - Accent1 3 3 2 2 3 2 2" xfId="16752"/>
    <cellStyle name="20% - Accent1 3 3 2 2 3 2 2 2" xfId="26468"/>
    <cellStyle name="20% - Accent1 3 3 2 2 3 2 2 2 2" xfId="46222"/>
    <cellStyle name="20% - Accent1 3 3 2 2 3 2 2 3" xfId="36578"/>
    <cellStyle name="20% - Accent1 3 3 2 2 3 2 3" xfId="21658"/>
    <cellStyle name="20% - Accent1 3 3 2 2 3 2 3 2" xfId="41413"/>
    <cellStyle name="20% - Accent1 3 3 2 2 3 2 4" xfId="31769"/>
    <cellStyle name="20% - Accent1 3 3 2 2 3 3" xfId="16751"/>
    <cellStyle name="20% - Accent1 3 3 2 2 3 3 2" xfId="26467"/>
    <cellStyle name="20% - Accent1 3 3 2 2 3 3 2 2" xfId="46221"/>
    <cellStyle name="20% - Accent1 3 3 2 2 3 3 3" xfId="36577"/>
    <cellStyle name="20% - Accent1 3 3 2 2 3 4" xfId="21657"/>
    <cellStyle name="20% - Accent1 3 3 2 2 3 4 2" xfId="41412"/>
    <cellStyle name="20% - Accent1 3 3 2 2 3 5" xfId="31768"/>
    <cellStyle name="20% - Accent1 3 3 2 2 4" xfId="1450"/>
    <cellStyle name="20% - Accent1 3 3 2 2 4 2" xfId="16753"/>
    <cellStyle name="20% - Accent1 3 3 2 2 4 2 2" xfId="26469"/>
    <cellStyle name="20% - Accent1 3 3 2 2 4 2 2 2" xfId="46223"/>
    <cellStyle name="20% - Accent1 3 3 2 2 4 2 3" xfId="36579"/>
    <cellStyle name="20% - Accent1 3 3 2 2 4 3" xfId="21659"/>
    <cellStyle name="20% - Accent1 3 3 2 2 4 3 2" xfId="41414"/>
    <cellStyle name="20% - Accent1 3 3 2 2 4 4" xfId="31770"/>
    <cellStyle name="20% - Accent1 3 3 2 2 5" xfId="16746"/>
    <cellStyle name="20% - Accent1 3 3 2 2 5 2" xfId="26462"/>
    <cellStyle name="20% - Accent1 3 3 2 2 5 2 2" xfId="46216"/>
    <cellStyle name="20% - Accent1 3 3 2 2 5 3" xfId="36572"/>
    <cellStyle name="20% - Accent1 3 3 2 2 6" xfId="21652"/>
    <cellStyle name="20% - Accent1 3 3 2 2 6 2" xfId="41407"/>
    <cellStyle name="20% - Accent1 3 3 2 2 7" xfId="31763"/>
    <cellStyle name="20% - Accent1 3 3 2 3" xfId="1451"/>
    <cellStyle name="20% - Accent1 3 3 2 3 2" xfId="1452"/>
    <cellStyle name="20% - Accent1 3 3 2 3 2 2" xfId="1453"/>
    <cellStyle name="20% - Accent1 3 3 2 3 2 2 2" xfId="16756"/>
    <cellStyle name="20% - Accent1 3 3 2 3 2 2 2 2" xfId="26472"/>
    <cellStyle name="20% - Accent1 3 3 2 3 2 2 2 2 2" xfId="46226"/>
    <cellStyle name="20% - Accent1 3 3 2 3 2 2 2 3" xfId="36582"/>
    <cellStyle name="20% - Accent1 3 3 2 3 2 2 3" xfId="21662"/>
    <cellStyle name="20% - Accent1 3 3 2 3 2 2 3 2" xfId="41417"/>
    <cellStyle name="20% - Accent1 3 3 2 3 2 2 4" xfId="31773"/>
    <cellStyle name="20% - Accent1 3 3 2 3 2 3" xfId="16755"/>
    <cellStyle name="20% - Accent1 3 3 2 3 2 3 2" xfId="26471"/>
    <cellStyle name="20% - Accent1 3 3 2 3 2 3 2 2" xfId="46225"/>
    <cellStyle name="20% - Accent1 3 3 2 3 2 3 3" xfId="36581"/>
    <cellStyle name="20% - Accent1 3 3 2 3 2 4" xfId="21661"/>
    <cellStyle name="20% - Accent1 3 3 2 3 2 4 2" xfId="41416"/>
    <cellStyle name="20% - Accent1 3 3 2 3 2 5" xfId="31772"/>
    <cellStyle name="20% - Accent1 3 3 2 3 3" xfId="1454"/>
    <cellStyle name="20% - Accent1 3 3 2 3 3 2" xfId="16757"/>
    <cellStyle name="20% - Accent1 3 3 2 3 3 2 2" xfId="26473"/>
    <cellStyle name="20% - Accent1 3 3 2 3 3 2 2 2" xfId="46227"/>
    <cellStyle name="20% - Accent1 3 3 2 3 3 2 3" xfId="36583"/>
    <cellStyle name="20% - Accent1 3 3 2 3 3 3" xfId="21663"/>
    <cellStyle name="20% - Accent1 3 3 2 3 3 3 2" xfId="41418"/>
    <cellStyle name="20% - Accent1 3 3 2 3 3 4" xfId="31774"/>
    <cellStyle name="20% - Accent1 3 3 2 3 4" xfId="16754"/>
    <cellStyle name="20% - Accent1 3 3 2 3 4 2" xfId="26470"/>
    <cellStyle name="20% - Accent1 3 3 2 3 4 2 2" xfId="46224"/>
    <cellStyle name="20% - Accent1 3 3 2 3 4 3" xfId="36580"/>
    <cellStyle name="20% - Accent1 3 3 2 3 5" xfId="21660"/>
    <cellStyle name="20% - Accent1 3 3 2 3 5 2" xfId="41415"/>
    <cellStyle name="20% - Accent1 3 3 2 3 6" xfId="31771"/>
    <cellStyle name="20% - Accent1 3 3 2 4" xfId="1455"/>
    <cellStyle name="20% - Accent1 3 3 2 4 2" xfId="1456"/>
    <cellStyle name="20% - Accent1 3 3 2 4 2 2" xfId="16759"/>
    <cellStyle name="20% - Accent1 3 3 2 4 2 2 2" xfId="26475"/>
    <cellStyle name="20% - Accent1 3 3 2 4 2 2 2 2" xfId="46229"/>
    <cellStyle name="20% - Accent1 3 3 2 4 2 2 3" xfId="36585"/>
    <cellStyle name="20% - Accent1 3 3 2 4 2 3" xfId="21665"/>
    <cellStyle name="20% - Accent1 3 3 2 4 2 3 2" xfId="41420"/>
    <cellStyle name="20% - Accent1 3 3 2 4 2 4" xfId="31776"/>
    <cellStyle name="20% - Accent1 3 3 2 4 3" xfId="16758"/>
    <cellStyle name="20% - Accent1 3 3 2 4 3 2" xfId="26474"/>
    <cellStyle name="20% - Accent1 3 3 2 4 3 2 2" xfId="46228"/>
    <cellStyle name="20% - Accent1 3 3 2 4 3 3" xfId="36584"/>
    <cellStyle name="20% - Accent1 3 3 2 4 4" xfId="21664"/>
    <cellStyle name="20% - Accent1 3 3 2 4 4 2" xfId="41419"/>
    <cellStyle name="20% - Accent1 3 3 2 4 5" xfId="31775"/>
    <cellStyle name="20% - Accent1 3 3 2 5" xfId="1457"/>
    <cellStyle name="20% - Accent1 3 3 2 5 2" xfId="16760"/>
    <cellStyle name="20% - Accent1 3 3 2 5 2 2" xfId="26476"/>
    <cellStyle name="20% - Accent1 3 3 2 5 2 2 2" xfId="46230"/>
    <cellStyle name="20% - Accent1 3 3 2 5 2 3" xfId="36586"/>
    <cellStyle name="20% - Accent1 3 3 2 5 3" xfId="21666"/>
    <cellStyle name="20% - Accent1 3 3 2 5 3 2" xfId="41421"/>
    <cellStyle name="20% - Accent1 3 3 2 5 4" xfId="31777"/>
    <cellStyle name="20% - Accent1 3 3 2 6" xfId="1458"/>
    <cellStyle name="20% - Accent1 3 3 2 6 2" xfId="16761"/>
    <cellStyle name="20% - Accent1 3 3 2 6 2 2" xfId="26477"/>
    <cellStyle name="20% - Accent1 3 3 2 6 2 2 2" xfId="46231"/>
    <cellStyle name="20% - Accent1 3 3 2 6 2 3" xfId="36587"/>
    <cellStyle name="20% - Accent1 3 3 2 6 3" xfId="21667"/>
    <cellStyle name="20% - Accent1 3 3 2 6 3 2" xfId="41422"/>
    <cellStyle name="20% - Accent1 3 3 2 6 4" xfId="31778"/>
    <cellStyle name="20% - Accent1 3 3 2 7" xfId="1459"/>
    <cellStyle name="20% - Accent1 3 3 2 7 2" xfId="16762"/>
    <cellStyle name="20% - Accent1 3 3 2 7 2 2" xfId="26478"/>
    <cellStyle name="20% - Accent1 3 3 2 7 2 2 2" xfId="46232"/>
    <cellStyle name="20% - Accent1 3 3 2 7 2 3" xfId="36588"/>
    <cellStyle name="20% - Accent1 3 3 2 7 3" xfId="21668"/>
    <cellStyle name="20% - Accent1 3 3 2 7 3 2" xfId="41423"/>
    <cellStyle name="20% - Accent1 3 3 2 7 4" xfId="31779"/>
    <cellStyle name="20% - Accent1 3 3 2 8" xfId="16745"/>
    <cellStyle name="20% - Accent1 3 3 2 8 2" xfId="26461"/>
    <cellStyle name="20% - Accent1 3 3 2 8 2 2" xfId="46215"/>
    <cellStyle name="20% - Accent1 3 3 2 8 3" xfId="36571"/>
    <cellStyle name="20% - Accent1 3 3 2 9" xfId="21651"/>
    <cellStyle name="20% - Accent1 3 3 2 9 2" xfId="41406"/>
    <cellStyle name="20% - Accent1 3 3 3" xfId="1460"/>
    <cellStyle name="20% - Accent1 3 3 3 2" xfId="1461"/>
    <cellStyle name="20% - Accent1 3 3 3 2 2" xfId="1462"/>
    <cellStyle name="20% - Accent1 3 3 3 2 2 2" xfId="1463"/>
    <cellStyle name="20% - Accent1 3 3 3 2 2 2 2" xfId="16766"/>
    <cellStyle name="20% - Accent1 3 3 3 2 2 2 2 2" xfId="26482"/>
    <cellStyle name="20% - Accent1 3 3 3 2 2 2 2 2 2" xfId="46236"/>
    <cellStyle name="20% - Accent1 3 3 3 2 2 2 2 3" xfId="36592"/>
    <cellStyle name="20% - Accent1 3 3 3 2 2 2 3" xfId="21672"/>
    <cellStyle name="20% - Accent1 3 3 3 2 2 2 3 2" xfId="41427"/>
    <cellStyle name="20% - Accent1 3 3 3 2 2 2 4" xfId="31783"/>
    <cellStyle name="20% - Accent1 3 3 3 2 2 3" xfId="16765"/>
    <cellStyle name="20% - Accent1 3 3 3 2 2 3 2" xfId="26481"/>
    <cellStyle name="20% - Accent1 3 3 3 2 2 3 2 2" xfId="46235"/>
    <cellStyle name="20% - Accent1 3 3 3 2 2 3 3" xfId="36591"/>
    <cellStyle name="20% - Accent1 3 3 3 2 2 4" xfId="21671"/>
    <cellStyle name="20% - Accent1 3 3 3 2 2 4 2" xfId="41426"/>
    <cellStyle name="20% - Accent1 3 3 3 2 2 5" xfId="31782"/>
    <cellStyle name="20% - Accent1 3 3 3 2 3" xfId="1464"/>
    <cellStyle name="20% - Accent1 3 3 3 2 3 2" xfId="16767"/>
    <cellStyle name="20% - Accent1 3 3 3 2 3 2 2" xfId="26483"/>
    <cellStyle name="20% - Accent1 3 3 3 2 3 2 2 2" xfId="46237"/>
    <cellStyle name="20% - Accent1 3 3 3 2 3 2 3" xfId="36593"/>
    <cellStyle name="20% - Accent1 3 3 3 2 3 3" xfId="21673"/>
    <cellStyle name="20% - Accent1 3 3 3 2 3 3 2" xfId="41428"/>
    <cellStyle name="20% - Accent1 3 3 3 2 3 4" xfId="31784"/>
    <cellStyle name="20% - Accent1 3 3 3 2 4" xfId="16764"/>
    <cellStyle name="20% - Accent1 3 3 3 2 4 2" xfId="26480"/>
    <cellStyle name="20% - Accent1 3 3 3 2 4 2 2" xfId="46234"/>
    <cellStyle name="20% - Accent1 3 3 3 2 4 3" xfId="36590"/>
    <cellStyle name="20% - Accent1 3 3 3 2 5" xfId="21670"/>
    <cellStyle name="20% - Accent1 3 3 3 2 5 2" xfId="41425"/>
    <cellStyle name="20% - Accent1 3 3 3 2 6" xfId="31781"/>
    <cellStyle name="20% - Accent1 3 3 3 3" xfId="1465"/>
    <cellStyle name="20% - Accent1 3 3 3 3 2" xfId="1466"/>
    <cellStyle name="20% - Accent1 3 3 3 3 2 2" xfId="16769"/>
    <cellStyle name="20% - Accent1 3 3 3 3 2 2 2" xfId="26485"/>
    <cellStyle name="20% - Accent1 3 3 3 3 2 2 2 2" xfId="46239"/>
    <cellStyle name="20% - Accent1 3 3 3 3 2 2 3" xfId="36595"/>
    <cellStyle name="20% - Accent1 3 3 3 3 2 3" xfId="21675"/>
    <cellStyle name="20% - Accent1 3 3 3 3 2 3 2" xfId="41430"/>
    <cellStyle name="20% - Accent1 3 3 3 3 2 4" xfId="31786"/>
    <cellStyle name="20% - Accent1 3 3 3 3 3" xfId="16768"/>
    <cellStyle name="20% - Accent1 3 3 3 3 3 2" xfId="26484"/>
    <cellStyle name="20% - Accent1 3 3 3 3 3 2 2" xfId="46238"/>
    <cellStyle name="20% - Accent1 3 3 3 3 3 3" xfId="36594"/>
    <cellStyle name="20% - Accent1 3 3 3 3 4" xfId="21674"/>
    <cellStyle name="20% - Accent1 3 3 3 3 4 2" xfId="41429"/>
    <cellStyle name="20% - Accent1 3 3 3 3 5" xfId="31785"/>
    <cellStyle name="20% - Accent1 3 3 3 4" xfId="1467"/>
    <cellStyle name="20% - Accent1 3 3 3 4 2" xfId="16770"/>
    <cellStyle name="20% - Accent1 3 3 3 4 2 2" xfId="26486"/>
    <cellStyle name="20% - Accent1 3 3 3 4 2 2 2" xfId="46240"/>
    <cellStyle name="20% - Accent1 3 3 3 4 2 3" xfId="36596"/>
    <cellStyle name="20% - Accent1 3 3 3 4 3" xfId="21676"/>
    <cellStyle name="20% - Accent1 3 3 3 4 3 2" xfId="41431"/>
    <cellStyle name="20% - Accent1 3 3 3 4 4" xfId="31787"/>
    <cellStyle name="20% - Accent1 3 3 3 5" xfId="16763"/>
    <cellStyle name="20% - Accent1 3 3 3 5 2" xfId="26479"/>
    <cellStyle name="20% - Accent1 3 3 3 5 2 2" xfId="46233"/>
    <cellStyle name="20% - Accent1 3 3 3 5 3" xfId="36589"/>
    <cellStyle name="20% - Accent1 3 3 3 6" xfId="21669"/>
    <cellStyle name="20% - Accent1 3 3 3 6 2" xfId="41424"/>
    <cellStyle name="20% - Accent1 3 3 3 7" xfId="31780"/>
    <cellStyle name="20% - Accent1 3 3 4" xfId="1468"/>
    <cellStyle name="20% - Accent1 3 3 4 2" xfId="1469"/>
    <cellStyle name="20% - Accent1 3 3 4 2 2" xfId="1470"/>
    <cellStyle name="20% - Accent1 3 3 4 2 2 2" xfId="1471"/>
    <cellStyle name="20% - Accent1 3 3 4 2 2 2 2" xfId="16774"/>
    <cellStyle name="20% - Accent1 3 3 4 2 2 2 2 2" xfId="26490"/>
    <cellStyle name="20% - Accent1 3 3 4 2 2 2 2 2 2" xfId="46244"/>
    <cellStyle name="20% - Accent1 3 3 4 2 2 2 2 3" xfId="36600"/>
    <cellStyle name="20% - Accent1 3 3 4 2 2 2 3" xfId="21680"/>
    <cellStyle name="20% - Accent1 3 3 4 2 2 2 3 2" xfId="41435"/>
    <cellStyle name="20% - Accent1 3 3 4 2 2 2 4" xfId="31791"/>
    <cellStyle name="20% - Accent1 3 3 4 2 2 3" xfId="16773"/>
    <cellStyle name="20% - Accent1 3 3 4 2 2 3 2" xfId="26489"/>
    <cellStyle name="20% - Accent1 3 3 4 2 2 3 2 2" xfId="46243"/>
    <cellStyle name="20% - Accent1 3 3 4 2 2 3 3" xfId="36599"/>
    <cellStyle name="20% - Accent1 3 3 4 2 2 4" xfId="21679"/>
    <cellStyle name="20% - Accent1 3 3 4 2 2 4 2" xfId="41434"/>
    <cellStyle name="20% - Accent1 3 3 4 2 2 5" xfId="31790"/>
    <cellStyle name="20% - Accent1 3 3 4 2 3" xfId="1472"/>
    <cellStyle name="20% - Accent1 3 3 4 2 3 2" xfId="16775"/>
    <cellStyle name="20% - Accent1 3 3 4 2 3 2 2" xfId="26491"/>
    <cellStyle name="20% - Accent1 3 3 4 2 3 2 2 2" xfId="46245"/>
    <cellStyle name="20% - Accent1 3 3 4 2 3 2 3" xfId="36601"/>
    <cellStyle name="20% - Accent1 3 3 4 2 3 3" xfId="21681"/>
    <cellStyle name="20% - Accent1 3 3 4 2 3 3 2" xfId="41436"/>
    <cellStyle name="20% - Accent1 3 3 4 2 3 4" xfId="31792"/>
    <cellStyle name="20% - Accent1 3 3 4 2 4" xfId="16772"/>
    <cellStyle name="20% - Accent1 3 3 4 2 4 2" xfId="26488"/>
    <cellStyle name="20% - Accent1 3 3 4 2 4 2 2" xfId="46242"/>
    <cellStyle name="20% - Accent1 3 3 4 2 4 3" xfId="36598"/>
    <cellStyle name="20% - Accent1 3 3 4 2 5" xfId="21678"/>
    <cellStyle name="20% - Accent1 3 3 4 2 5 2" xfId="41433"/>
    <cellStyle name="20% - Accent1 3 3 4 2 6" xfId="31789"/>
    <cellStyle name="20% - Accent1 3 3 4 3" xfId="1473"/>
    <cellStyle name="20% - Accent1 3 3 4 3 2" xfId="1474"/>
    <cellStyle name="20% - Accent1 3 3 4 3 2 2" xfId="16777"/>
    <cellStyle name="20% - Accent1 3 3 4 3 2 2 2" xfId="26493"/>
    <cellStyle name="20% - Accent1 3 3 4 3 2 2 2 2" xfId="46247"/>
    <cellStyle name="20% - Accent1 3 3 4 3 2 2 3" xfId="36603"/>
    <cellStyle name="20% - Accent1 3 3 4 3 2 3" xfId="21683"/>
    <cellStyle name="20% - Accent1 3 3 4 3 2 3 2" xfId="41438"/>
    <cellStyle name="20% - Accent1 3 3 4 3 2 4" xfId="31794"/>
    <cellStyle name="20% - Accent1 3 3 4 3 3" xfId="16776"/>
    <cellStyle name="20% - Accent1 3 3 4 3 3 2" xfId="26492"/>
    <cellStyle name="20% - Accent1 3 3 4 3 3 2 2" xfId="46246"/>
    <cellStyle name="20% - Accent1 3 3 4 3 3 3" xfId="36602"/>
    <cellStyle name="20% - Accent1 3 3 4 3 4" xfId="21682"/>
    <cellStyle name="20% - Accent1 3 3 4 3 4 2" xfId="41437"/>
    <cellStyle name="20% - Accent1 3 3 4 3 5" xfId="31793"/>
    <cellStyle name="20% - Accent1 3 3 4 4" xfId="1475"/>
    <cellStyle name="20% - Accent1 3 3 4 4 2" xfId="16778"/>
    <cellStyle name="20% - Accent1 3 3 4 4 2 2" xfId="26494"/>
    <cellStyle name="20% - Accent1 3 3 4 4 2 2 2" xfId="46248"/>
    <cellStyle name="20% - Accent1 3 3 4 4 2 3" xfId="36604"/>
    <cellStyle name="20% - Accent1 3 3 4 4 3" xfId="21684"/>
    <cellStyle name="20% - Accent1 3 3 4 4 3 2" xfId="41439"/>
    <cellStyle name="20% - Accent1 3 3 4 4 4" xfId="31795"/>
    <cellStyle name="20% - Accent1 3 3 4 5" xfId="16771"/>
    <cellStyle name="20% - Accent1 3 3 4 5 2" xfId="26487"/>
    <cellStyle name="20% - Accent1 3 3 4 5 2 2" xfId="46241"/>
    <cellStyle name="20% - Accent1 3 3 4 5 3" xfId="36597"/>
    <cellStyle name="20% - Accent1 3 3 4 6" xfId="21677"/>
    <cellStyle name="20% - Accent1 3 3 4 6 2" xfId="41432"/>
    <cellStyle name="20% - Accent1 3 3 4 7" xfId="31788"/>
    <cellStyle name="20% - Accent1 3 3 5" xfId="1476"/>
    <cellStyle name="20% - Accent1 3 3 5 2" xfId="1477"/>
    <cellStyle name="20% - Accent1 3 3 5 2 2" xfId="1478"/>
    <cellStyle name="20% - Accent1 3 3 5 2 2 2" xfId="16781"/>
    <cellStyle name="20% - Accent1 3 3 5 2 2 2 2" xfId="26497"/>
    <cellStyle name="20% - Accent1 3 3 5 2 2 2 2 2" xfId="46251"/>
    <cellStyle name="20% - Accent1 3 3 5 2 2 2 3" xfId="36607"/>
    <cellStyle name="20% - Accent1 3 3 5 2 2 3" xfId="21687"/>
    <cellStyle name="20% - Accent1 3 3 5 2 2 3 2" xfId="41442"/>
    <cellStyle name="20% - Accent1 3 3 5 2 2 4" xfId="31798"/>
    <cellStyle name="20% - Accent1 3 3 5 2 3" xfId="16780"/>
    <cellStyle name="20% - Accent1 3 3 5 2 3 2" xfId="26496"/>
    <cellStyle name="20% - Accent1 3 3 5 2 3 2 2" xfId="46250"/>
    <cellStyle name="20% - Accent1 3 3 5 2 3 3" xfId="36606"/>
    <cellStyle name="20% - Accent1 3 3 5 2 4" xfId="21686"/>
    <cellStyle name="20% - Accent1 3 3 5 2 4 2" xfId="41441"/>
    <cellStyle name="20% - Accent1 3 3 5 2 5" xfId="31797"/>
    <cellStyle name="20% - Accent1 3 3 5 3" xfId="1479"/>
    <cellStyle name="20% - Accent1 3 3 5 3 2" xfId="16782"/>
    <cellStyle name="20% - Accent1 3 3 5 3 2 2" xfId="26498"/>
    <cellStyle name="20% - Accent1 3 3 5 3 2 2 2" xfId="46252"/>
    <cellStyle name="20% - Accent1 3 3 5 3 2 3" xfId="36608"/>
    <cellStyle name="20% - Accent1 3 3 5 3 3" xfId="21688"/>
    <cellStyle name="20% - Accent1 3 3 5 3 3 2" xfId="41443"/>
    <cellStyle name="20% - Accent1 3 3 5 3 4" xfId="31799"/>
    <cellStyle name="20% - Accent1 3 3 5 4" xfId="16779"/>
    <cellStyle name="20% - Accent1 3 3 5 4 2" xfId="26495"/>
    <cellStyle name="20% - Accent1 3 3 5 4 2 2" xfId="46249"/>
    <cellStyle name="20% - Accent1 3 3 5 4 3" xfId="36605"/>
    <cellStyle name="20% - Accent1 3 3 5 5" xfId="21685"/>
    <cellStyle name="20% - Accent1 3 3 5 5 2" xfId="41440"/>
    <cellStyle name="20% - Accent1 3 3 5 6" xfId="31796"/>
    <cellStyle name="20% - Accent1 3 3 6" xfId="1480"/>
    <cellStyle name="20% - Accent1 3 3 6 2" xfId="1481"/>
    <cellStyle name="20% - Accent1 3 3 6 2 2" xfId="16784"/>
    <cellStyle name="20% - Accent1 3 3 6 2 2 2" xfId="26500"/>
    <cellStyle name="20% - Accent1 3 3 6 2 2 2 2" xfId="46254"/>
    <cellStyle name="20% - Accent1 3 3 6 2 2 3" xfId="36610"/>
    <cellStyle name="20% - Accent1 3 3 6 2 3" xfId="21690"/>
    <cellStyle name="20% - Accent1 3 3 6 2 3 2" xfId="41445"/>
    <cellStyle name="20% - Accent1 3 3 6 2 4" xfId="31801"/>
    <cellStyle name="20% - Accent1 3 3 6 3" xfId="16783"/>
    <cellStyle name="20% - Accent1 3 3 6 3 2" xfId="26499"/>
    <cellStyle name="20% - Accent1 3 3 6 3 2 2" xfId="46253"/>
    <cellStyle name="20% - Accent1 3 3 6 3 3" xfId="36609"/>
    <cellStyle name="20% - Accent1 3 3 6 4" xfId="21689"/>
    <cellStyle name="20% - Accent1 3 3 6 4 2" xfId="41444"/>
    <cellStyle name="20% - Accent1 3 3 6 5" xfId="31800"/>
    <cellStyle name="20% - Accent1 3 3 7" xfId="1482"/>
    <cellStyle name="20% - Accent1 3 3 7 2" xfId="1483"/>
    <cellStyle name="20% - Accent1 3 3 7 2 2" xfId="16786"/>
    <cellStyle name="20% - Accent1 3 3 7 2 2 2" xfId="26502"/>
    <cellStyle name="20% - Accent1 3 3 7 2 2 2 2" xfId="46256"/>
    <cellStyle name="20% - Accent1 3 3 7 2 2 3" xfId="36612"/>
    <cellStyle name="20% - Accent1 3 3 7 2 3" xfId="21692"/>
    <cellStyle name="20% - Accent1 3 3 7 2 3 2" xfId="41447"/>
    <cellStyle name="20% - Accent1 3 3 7 2 4" xfId="31803"/>
    <cellStyle name="20% - Accent1 3 3 7 3" xfId="16785"/>
    <cellStyle name="20% - Accent1 3 3 7 3 2" xfId="26501"/>
    <cellStyle name="20% - Accent1 3 3 7 3 2 2" xfId="46255"/>
    <cellStyle name="20% - Accent1 3 3 7 3 3" xfId="36611"/>
    <cellStyle name="20% - Accent1 3 3 7 4" xfId="21691"/>
    <cellStyle name="20% - Accent1 3 3 7 4 2" xfId="41446"/>
    <cellStyle name="20% - Accent1 3 3 7 5" xfId="31802"/>
    <cellStyle name="20% - Accent1 3 3 8" xfId="1484"/>
    <cellStyle name="20% - Accent1 3 3 8 2" xfId="16787"/>
    <cellStyle name="20% - Accent1 3 3 8 2 2" xfId="26503"/>
    <cellStyle name="20% - Accent1 3 3 8 2 2 2" xfId="46257"/>
    <cellStyle name="20% - Accent1 3 3 8 2 3" xfId="36613"/>
    <cellStyle name="20% - Accent1 3 3 8 3" xfId="21693"/>
    <cellStyle name="20% - Accent1 3 3 8 3 2" xfId="41448"/>
    <cellStyle name="20% - Accent1 3 3 8 4" xfId="31804"/>
    <cellStyle name="20% - Accent1 3 3 9" xfId="1485"/>
    <cellStyle name="20% - Accent1 3 3 9 2" xfId="16788"/>
    <cellStyle name="20% - Accent1 3 3 9 2 2" xfId="26504"/>
    <cellStyle name="20% - Accent1 3 3 9 2 2 2" xfId="46258"/>
    <cellStyle name="20% - Accent1 3 3 9 2 3" xfId="36614"/>
    <cellStyle name="20% - Accent1 3 3 9 3" xfId="21694"/>
    <cellStyle name="20% - Accent1 3 3 9 3 2" xfId="41449"/>
    <cellStyle name="20% - Accent1 3 3 9 4" xfId="31805"/>
    <cellStyle name="20% - Accent1 3 4" xfId="1486"/>
    <cellStyle name="20% - Accent1 3 4 10" xfId="31806"/>
    <cellStyle name="20% - Accent1 3 4 2" xfId="1487"/>
    <cellStyle name="20% - Accent1 3 4 2 2" xfId="1488"/>
    <cellStyle name="20% - Accent1 3 4 2 2 2" xfId="1489"/>
    <cellStyle name="20% - Accent1 3 4 2 2 2 2" xfId="1490"/>
    <cellStyle name="20% - Accent1 3 4 2 2 2 2 2" xfId="16793"/>
    <cellStyle name="20% - Accent1 3 4 2 2 2 2 2 2" xfId="26509"/>
    <cellStyle name="20% - Accent1 3 4 2 2 2 2 2 2 2" xfId="46263"/>
    <cellStyle name="20% - Accent1 3 4 2 2 2 2 2 3" xfId="36619"/>
    <cellStyle name="20% - Accent1 3 4 2 2 2 2 3" xfId="21699"/>
    <cellStyle name="20% - Accent1 3 4 2 2 2 2 3 2" xfId="41454"/>
    <cellStyle name="20% - Accent1 3 4 2 2 2 2 4" xfId="31810"/>
    <cellStyle name="20% - Accent1 3 4 2 2 2 3" xfId="16792"/>
    <cellStyle name="20% - Accent1 3 4 2 2 2 3 2" xfId="26508"/>
    <cellStyle name="20% - Accent1 3 4 2 2 2 3 2 2" xfId="46262"/>
    <cellStyle name="20% - Accent1 3 4 2 2 2 3 3" xfId="36618"/>
    <cellStyle name="20% - Accent1 3 4 2 2 2 4" xfId="21698"/>
    <cellStyle name="20% - Accent1 3 4 2 2 2 4 2" xfId="41453"/>
    <cellStyle name="20% - Accent1 3 4 2 2 2 5" xfId="31809"/>
    <cellStyle name="20% - Accent1 3 4 2 2 3" xfId="1491"/>
    <cellStyle name="20% - Accent1 3 4 2 2 3 2" xfId="16794"/>
    <cellStyle name="20% - Accent1 3 4 2 2 3 2 2" xfId="26510"/>
    <cellStyle name="20% - Accent1 3 4 2 2 3 2 2 2" xfId="46264"/>
    <cellStyle name="20% - Accent1 3 4 2 2 3 2 3" xfId="36620"/>
    <cellStyle name="20% - Accent1 3 4 2 2 3 3" xfId="21700"/>
    <cellStyle name="20% - Accent1 3 4 2 2 3 3 2" xfId="41455"/>
    <cellStyle name="20% - Accent1 3 4 2 2 3 4" xfId="31811"/>
    <cellStyle name="20% - Accent1 3 4 2 2 4" xfId="16791"/>
    <cellStyle name="20% - Accent1 3 4 2 2 4 2" xfId="26507"/>
    <cellStyle name="20% - Accent1 3 4 2 2 4 2 2" xfId="46261"/>
    <cellStyle name="20% - Accent1 3 4 2 2 4 3" xfId="36617"/>
    <cellStyle name="20% - Accent1 3 4 2 2 5" xfId="21697"/>
    <cellStyle name="20% - Accent1 3 4 2 2 5 2" xfId="41452"/>
    <cellStyle name="20% - Accent1 3 4 2 2 6" xfId="31808"/>
    <cellStyle name="20% - Accent1 3 4 2 3" xfId="1492"/>
    <cellStyle name="20% - Accent1 3 4 2 3 2" xfId="1493"/>
    <cellStyle name="20% - Accent1 3 4 2 3 2 2" xfId="16796"/>
    <cellStyle name="20% - Accent1 3 4 2 3 2 2 2" xfId="26512"/>
    <cellStyle name="20% - Accent1 3 4 2 3 2 2 2 2" xfId="46266"/>
    <cellStyle name="20% - Accent1 3 4 2 3 2 2 3" xfId="36622"/>
    <cellStyle name="20% - Accent1 3 4 2 3 2 3" xfId="21702"/>
    <cellStyle name="20% - Accent1 3 4 2 3 2 3 2" xfId="41457"/>
    <cellStyle name="20% - Accent1 3 4 2 3 2 4" xfId="31813"/>
    <cellStyle name="20% - Accent1 3 4 2 3 3" xfId="16795"/>
    <cellStyle name="20% - Accent1 3 4 2 3 3 2" xfId="26511"/>
    <cellStyle name="20% - Accent1 3 4 2 3 3 2 2" xfId="46265"/>
    <cellStyle name="20% - Accent1 3 4 2 3 3 3" xfId="36621"/>
    <cellStyle name="20% - Accent1 3 4 2 3 4" xfId="21701"/>
    <cellStyle name="20% - Accent1 3 4 2 3 4 2" xfId="41456"/>
    <cellStyle name="20% - Accent1 3 4 2 3 5" xfId="31812"/>
    <cellStyle name="20% - Accent1 3 4 2 4" xfId="1494"/>
    <cellStyle name="20% - Accent1 3 4 2 4 2" xfId="16797"/>
    <cellStyle name="20% - Accent1 3 4 2 4 2 2" xfId="26513"/>
    <cellStyle name="20% - Accent1 3 4 2 4 2 2 2" xfId="46267"/>
    <cellStyle name="20% - Accent1 3 4 2 4 2 3" xfId="36623"/>
    <cellStyle name="20% - Accent1 3 4 2 4 3" xfId="21703"/>
    <cellStyle name="20% - Accent1 3 4 2 4 3 2" xfId="41458"/>
    <cellStyle name="20% - Accent1 3 4 2 4 4" xfId="31814"/>
    <cellStyle name="20% - Accent1 3 4 2 5" xfId="16790"/>
    <cellStyle name="20% - Accent1 3 4 2 5 2" xfId="26506"/>
    <cellStyle name="20% - Accent1 3 4 2 5 2 2" xfId="46260"/>
    <cellStyle name="20% - Accent1 3 4 2 5 3" xfId="36616"/>
    <cellStyle name="20% - Accent1 3 4 2 6" xfId="21696"/>
    <cellStyle name="20% - Accent1 3 4 2 6 2" xfId="41451"/>
    <cellStyle name="20% - Accent1 3 4 2 7" xfId="31807"/>
    <cellStyle name="20% - Accent1 3 4 3" xfId="1495"/>
    <cellStyle name="20% - Accent1 3 4 3 2" xfId="1496"/>
    <cellStyle name="20% - Accent1 3 4 3 2 2" xfId="1497"/>
    <cellStyle name="20% - Accent1 3 4 3 2 2 2" xfId="16800"/>
    <cellStyle name="20% - Accent1 3 4 3 2 2 2 2" xfId="26516"/>
    <cellStyle name="20% - Accent1 3 4 3 2 2 2 2 2" xfId="46270"/>
    <cellStyle name="20% - Accent1 3 4 3 2 2 2 3" xfId="36626"/>
    <cellStyle name="20% - Accent1 3 4 3 2 2 3" xfId="21706"/>
    <cellStyle name="20% - Accent1 3 4 3 2 2 3 2" xfId="41461"/>
    <cellStyle name="20% - Accent1 3 4 3 2 2 4" xfId="31817"/>
    <cellStyle name="20% - Accent1 3 4 3 2 3" xfId="16799"/>
    <cellStyle name="20% - Accent1 3 4 3 2 3 2" xfId="26515"/>
    <cellStyle name="20% - Accent1 3 4 3 2 3 2 2" xfId="46269"/>
    <cellStyle name="20% - Accent1 3 4 3 2 3 3" xfId="36625"/>
    <cellStyle name="20% - Accent1 3 4 3 2 4" xfId="21705"/>
    <cellStyle name="20% - Accent1 3 4 3 2 4 2" xfId="41460"/>
    <cellStyle name="20% - Accent1 3 4 3 2 5" xfId="31816"/>
    <cellStyle name="20% - Accent1 3 4 3 3" xfId="1498"/>
    <cellStyle name="20% - Accent1 3 4 3 3 2" xfId="16801"/>
    <cellStyle name="20% - Accent1 3 4 3 3 2 2" xfId="26517"/>
    <cellStyle name="20% - Accent1 3 4 3 3 2 2 2" xfId="46271"/>
    <cellStyle name="20% - Accent1 3 4 3 3 2 3" xfId="36627"/>
    <cellStyle name="20% - Accent1 3 4 3 3 3" xfId="21707"/>
    <cellStyle name="20% - Accent1 3 4 3 3 3 2" xfId="41462"/>
    <cellStyle name="20% - Accent1 3 4 3 3 4" xfId="31818"/>
    <cellStyle name="20% - Accent1 3 4 3 4" xfId="16798"/>
    <cellStyle name="20% - Accent1 3 4 3 4 2" xfId="26514"/>
    <cellStyle name="20% - Accent1 3 4 3 4 2 2" xfId="46268"/>
    <cellStyle name="20% - Accent1 3 4 3 4 3" xfId="36624"/>
    <cellStyle name="20% - Accent1 3 4 3 5" xfId="21704"/>
    <cellStyle name="20% - Accent1 3 4 3 5 2" xfId="41459"/>
    <cellStyle name="20% - Accent1 3 4 3 6" xfId="31815"/>
    <cellStyle name="20% - Accent1 3 4 4" xfId="1499"/>
    <cellStyle name="20% - Accent1 3 4 4 2" xfId="1500"/>
    <cellStyle name="20% - Accent1 3 4 4 2 2" xfId="16803"/>
    <cellStyle name="20% - Accent1 3 4 4 2 2 2" xfId="26519"/>
    <cellStyle name="20% - Accent1 3 4 4 2 2 2 2" xfId="46273"/>
    <cellStyle name="20% - Accent1 3 4 4 2 2 3" xfId="36629"/>
    <cellStyle name="20% - Accent1 3 4 4 2 3" xfId="21709"/>
    <cellStyle name="20% - Accent1 3 4 4 2 3 2" xfId="41464"/>
    <cellStyle name="20% - Accent1 3 4 4 2 4" xfId="31820"/>
    <cellStyle name="20% - Accent1 3 4 4 3" xfId="16802"/>
    <cellStyle name="20% - Accent1 3 4 4 3 2" xfId="26518"/>
    <cellStyle name="20% - Accent1 3 4 4 3 2 2" xfId="46272"/>
    <cellStyle name="20% - Accent1 3 4 4 3 3" xfId="36628"/>
    <cellStyle name="20% - Accent1 3 4 4 4" xfId="21708"/>
    <cellStyle name="20% - Accent1 3 4 4 4 2" xfId="41463"/>
    <cellStyle name="20% - Accent1 3 4 4 5" xfId="31819"/>
    <cellStyle name="20% - Accent1 3 4 5" xfId="1501"/>
    <cellStyle name="20% - Accent1 3 4 5 2" xfId="16804"/>
    <cellStyle name="20% - Accent1 3 4 5 2 2" xfId="26520"/>
    <cellStyle name="20% - Accent1 3 4 5 2 2 2" xfId="46274"/>
    <cellStyle name="20% - Accent1 3 4 5 2 3" xfId="36630"/>
    <cellStyle name="20% - Accent1 3 4 5 3" xfId="21710"/>
    <cellStyle name="20% - Accent1 3 4 5 3 2" xfId="41465"/>
    <cellStyle name="20% - Accent1 3 4 5 4" xfId="31821"/>
    <cellStyle name="20% - Accent1 3 4 6" xfId="1502"/>
    <cellStyle name="20% - Accent1 3 4 6 2" xfId="16805"/>
    <cellStyle name="20% - Accent1 3 4 6 2 2" xfId="26521"/>
    <cellStyle name="20% - Accent1 3 4 6 2 2 2" xfId="46275"/>
    <cellStyle name="20% - Accent1 3 4 6 2 3" xfId="36631"/>
    <cellStyle name="20% - Accent1 3 4 6 3" xfId="21711"/>
    <cellStyle name="20% - Accent1 3 4 6 3 2" xfId="41466"/>
    <cellStyle name="20% - Accent1 3 4 6 4" xfId="31822"/>
    <cellStyle name="20% - Accent1 3 4 7" xfId="1503"/>
    <cellStyle name="20% - Accent1 3 4 7 2" xfId="16806"/>
    <cellStyle name="20% - Accent1 3 4 7 2 2" xfId="26522"/>
    <cellStyle name="20% - Accent1 3 4 7 2 2 2" xfId="46276"/>
    <cellStyle name="20% - Accent1 3 4 7 2 3" xfId="36632"/>
    <cellStyle name="20% - Accent1 3 4 7 3" xfId="21712"/>
    <cellStyle name="20% - Accent1 3 4 7 3 2" xfId="41467"/>
    <cellStyle name="20% - Accent1 3 4 7 4" xfId="31823"/>
    <cellStyle name="20% - Accent1 3 4 8" xfId="16789"/>
    <cellStyle name="20% - Accent1 3 4 8 2" xfId="26505"/>
    <cellStyle name="20% - Accent1 3 4 8 2 2" xfId="46259"/>
    <cellStyle name="20% - Accent1 3 4 8 3" xfId="36615"/>
    <cellStyle name="20% - Accent1 3 4 9" xfId="21695"/>
    <cellStyle name="20% - Accent1 3 4 9 2" xfId="41450"/>
    <cellStyle name="20% - Accent1 3 5" xfId="1504"/>
    <cellStyle name="20% - Accent1 3 5 2" xfId="1505"/>
    <cellStyle name="20% - Accent1 3 5 2 2" xfId="1506"/>
    <cellStyle name="20% - Accent1 3 5 2 2 2" xfId="1507"/>
    <cellStyle name="20% - Accent1 3 5 2 2 2 2" xfId="16810"/>
    <cellStyle name="20% - Accent1 3 5 2 2 2 2 2" xfId="26526"/>
    <cellStyle name="20% - Accent1 3 5 2 2 2 2 2 2" xfId="46280"/>
    <cellStyle name="20% - Accent1 3 5 2 2 2 2 3" xfId="36636"/>
    <cellStyle name="20% - Accent1 3 5 2 2 2 3" xfId="21716"/>
    <cellStyle name="20% - Accent1 3 5 2 2 2 3 2" xfId="41471"/>
    <cellStyle name="20% - Accent1 3 5 2 2 2 4" xfId="31827"/>
    <cellStyle name="20% - Accent1 3 5 2 2 3" xfId="16809"/>
    <cellStyle name="20% - Accent1 3 5 2 2 3 2" xfId="26525"/>
    <cellStyle name="20% - Accent1 3 5 2 2 3 2 2" xfId="46279"/>
    <cellStyle name="20% - Accent1 3 5 2 2 3 3" xfId="36635"/>
    <cellStyle name="20% - Accent1 3 5 2 2 4" xfId="21715"/>
    <cellStyle name="20% - Accent1 3 5 2 2 4 2" xfId="41470"/>
    <cellStyle name="20% - Accent1 3 5 2 2 5" xfId="31826"/>
    <cellStyle name="20% - Accent1 3 5 2 3" xfId="1508"/>
    <cellStyle name="20% - Accent1 3 5 2 3 2" xfId="16811"/>
    <cellStyle name="20% - Accent1 3 5 2 3 2 2" xfId="26527"/>
    <cellStyle name="20% - Accent1 3 5 2 3 2 2 2" xfId="46281"/>
    <cellStyle name="20% - Accent1 3 5 2 3 2 3" xfId="36637"/>
    <cellStyle name="20% - Accent1 3 5 2 3 3" xfId="21717"/>
    <cellStyle name="20% - Accent1 3 5 2 3 3 2" xfId="41472"/>
    <cellStyle name="20% - Accent1 3 5 2 3 4" xfId="31828"/>
    <cellStyle name="20% - Accent1 3 5 2 4" xfId="16808"/>
    <cellStyle name="20% - Accent1 3 5 2 4 2" xfId="26524"/>
    <cellStyle name="20% - Accent1 3 5 2 4 2 2" xfId="46278"/>
    <cellStyle name="20% - Accent1 3 5 2 4 3" xfId="36634"/>
    <cellStyle name="20% - Accent1 3 5 2 5" xfId="21714"/>
    <cellStyle name="20% - Accent1 3 5 2 5 2" xfId="41469"/>
    <cellStyle name="20% - Accent1 3 5 2 6" xfId="31825"/>
    <cellStyle name="20% - Accent1 3 5 3" xfId="1509"/>
    <cellStyle name="20% - Accent1 3 5 3 2" xfId="1510"/>
    <cellStyle name="20% - Accent1 3 5 3 2 2" xfId="16813"/>
    <cellStyle name="20% - Accent1 3 5 3 2 2 2" xfId="26529"/>
    <cellStyle name="20% - Accent1 3 5 3 2 2 2 2" xfId="46283"/>
    <cellStyle name="20% - Accent1 3 5 3 2 2 3" xfId="36639"/>
    <cellStyle name="20% - Accent1 3 5 3 2 3" xfId="21719"/>
    <cellStyle name="20% - Accent1 3 5 3 2 3 2" xfId="41474"/>
    <cellStyle name="20% - Accent1 3 5 3 2 4" xfId="31830"/>
    <cellStyle name="20% - Accent1 3 5 3 3" xfId="16812"/>
    <cellStyle name="20% - Accent1 3 5 3 3 2" xfId="26528"/>
    <cellStyle name="20% - Accent1 3 5 3 3 2 2" xfId="46282"/>
    <cellStyle name="20% - Accent1 3 5 3 3 3" xfId="36638"/>
    <cellStyle name="20% - Accent1 3 5 3 4" xfId="21718"/>
    <cellStyle name="20% - Accent1 3 5 3 4 2" xfId="41473"/>
    <cellStyle name="20% - Accent1 3 5 3 5" xfId="31829"/>
    <cellStyle name="20% - Accent1 3 5 4" xfId="1511"/>
    <cellStyle name="20% - Accent1 3 5 4 2" xfId="16814"/>
    <cellStyle name="20% - Accent1 3 5 4 2 2" xfId="26530"/>
    <cellStyle name="20% - Accent1 3 5 4 2 2 2" xfId="46284"/>
    <cellStyle name="20% - Accent1 3 5 4 2 3" xfId="36640"/>
    <cellStyle name="20% - Accent1 3 5 4 3" xfId="21720"/>
    <cellStyle name="20% - Accent1 3 5 4 3 2" xfId="41475"/>
    <cellStyle name="20% - Accent1 3 5 4 4" xfId="31831"/>
    <cellStyle name="20% - Accent1 3 5 5" xfId="16807"/>
    <cellStyle name="20% - Accent1 3 5 5 2" xfId="26523"/>
    <cellStyle name="20% - Accent1 3 5 5 2 2" xfId="46277"/>
    <cellStyle name="20% - Accent1 3 5 5 3" xfId="36633"/>
    <cellStyle name="20% - Accent1 3 5 6" xfId="21713"/>
    <cellStyle name="20% - Accent1 3 5 6 2" xfId="41468"/>
    <cellStyle name="20% - Accent1 3 5 7" xfId="31824"/>
    <cellStyle name="20% - Accent1 3 6" xfId="1512"/>
    <cellStyle name="20% - Accent1 3 6 2" xfId="1513"/>
    <cellStyle name="20% - Accent1 3 6 2 2" xfId="1514"/>
    <cellStyle name="20% - Accent1 3 6 2 2 2" xfId="1515"/>
    <cellStyle name="20% - Accent1 3 6 2 2 2 2" xfId="16818"/>
    <cellStyle name="20% - Accent1 3 6 2 2 2 2 2" xfId="26534"/>
    <cellStyle name="20% - Accent1 3 6 2 2 2 2 2 2" xfId="46288"/>
    <cellStyle name="20% - Accent1 3 6 2 2 2 2 3" xfId="36644"/>
    <cellStyle name="20% - Accent1 3 6 2 2 2 3" xfId="21724"/>
    <cellStyle name="20% - Accent1 3 6 2 2 2 3 2" xfId="41479"/>
    <cellStyle name="20% - Accent1 3 6 2 2 2 4" xfId="31835"/>
    <cellStyle name="20% - Accent1 3 6 2 2 3" xfId="16817"/>
    <cellStyle name="20% - Accent1 3 6 2 2 3 2" xfId="26533"/>
    <cellStyle name="20% - Accent1 3 6 2 2 3 2 2" xfId="46287"/>
    <cellStyle name="20% - Accent1 3 6 2 2 3 3" xfId="36643"/>
    <cellStyle name="20% - Accent1 3 6 2 2 4" xfId="21723"/>
    <cellStyle name="20% - Accent1 3 6 2 2 4 2" xfId="41478"/>
    <cellStyle name="20% - Accent1 3 6 2 2 5" xfId="31834"/>
    <cellStyle name="20% - Accent1 3 6 2 3" xfId="1516"/>
    <cellStyle name="20% - Accent1 3 6 2 3 2" xfId="16819"/>
    <cellStyle name="20% - Accent1 3 6 2 3 2 2" xfId="26535"/>
    <cellStyle name="20% - Accent1 3 6 2 3 2 2 2" xfId="46289"/>
    <cellStyle name="20% - Accent1 3 6 2 3 2 3" xfId="36645"/>
    <cellStyle name="20% - Accent1 3 6 2 3 3" xfId="21725"/>
    <cellStyle name="20% - Accent1 3 6 2 3 3 2" xfId="41480"/>
    <cellStyle name="20% - Accent1 3 6 2 3 4" xfId="31836"/>
    <cellStyle name="20% - Accent1 3 6 2 4" xfId="16816"/>
    <cellStyle name="20% - Accent1 3 6 2 4 2" xfId="26532"/>
    <cellStyle name="20% - Accent1 3 6 2 4 2 2" xfId="46286"/>
    <cellStyle name="20% - Accent1 3 6 2 4 3" xfId="36642"/>
    <cellStyle name="20% - Accent1 3 6 2 5" xfId="21722"/>
    <cellStyle name="20% - Accent1 3 6 2 5 2" xfId="41477"/>
    <cellStyle name="20% - Accent1 3 6 2 6" xfId="31833"/>
    <cellStyle name="20% - Accent1 3 6 3" xfId="1517"/>
    <cellStyle name="20% - Accent1 3 6 3 2" xfId="1518"/>
    <cellStyle name="20% - Accent1 3 6 3 2 2" xfId="16821"/>
    <cellStyle name="20% - Accent1 3 6 3 2 2 2" xfId="26537"/>
    <cellStyle name="20% - Accent1 3 6 3 2 2 2 2" xfId="46291"/>
    <cellStyle name="20% - Accent1 3 6 3 2 2 3" xfId="36647"/>
    <cellStyle name="20% - Accent1 3 6 3 2 3" xfId="21727"/>
    <cellStyle name="20% - Accent1 3 6 3 2 3 2" xfId="41482"/>
    <cellStyle name="20% - Accent1 3 6 3 2 4" xfId="31838"/>
    <cellStyle name="20% - Accent1 3 6 3 3" xfId="16820"/>
    <cellStyle name="20% - Accent1 3 6 3 3 2" xfId="26536"/>
    <cellStyle name="20% - Accent1 3 6 3 3 2 2" xfId="46290"/>
    <cellStyle name="20% - Accent1 3 6 3 3 3" xfId="36646"/>
    <cellStyle name="20% - Accent1 3 6 3 4" xfId="21726"/>
    <cellStyle name="20% - Accent1 3 6 3 4 2" xfId="41481"/>
    <cellStyle name="20% - Accent1 3 6 3 5" xfId="31837"/>
    <cellStyle name="20% - Accent1 3 6 4" xfId="1519"/>
    <cellStyle name="20% - Accent1 3 6 4 2" xfId="16822"/>
    <cellStyle name="20% - Accent1 3 6 4 2 2" xfId="26538"/>
    <cellStyle name="20% - Accent1 3 6 4 2 2 2" xfId="46292"/>
    <cellStyle name="20% - Accent1 3 6 4 2 3" xfId="36648"/>
    <cellStyle name="20% - Accent1 3 6 4 3" xfId="21728"/>
    <cellStyle name="20% - Accent1 3 6 4 3 2" xfId="41483"/>
    <cellStyle name="20% - Accent1 3 6 4 4" xfId="31839"/>
    <cellStyle name="20% - Accent1 3 6 5" xfId="16815"/>
    <cellStyle name="20% - Accent1 3 6 5 2" xfId="26531"/>
    <cellStyle name="20% - Accent1 3 6 5 2 2" xfId="46285"/>
    <cellStyle name="20% - Accent1 3 6 5 3" xfId="36641"/>
    <cellStyle name="20% - Accent1 3 6 6" xfId="21721"/>
    <cellStyle name="20% - Accent1 3 6 6 2" xfId="41476"/>
    <cellStyle name="20% - Accent1 3 6 7" xfId="31832"/>
    <cellStyle name="20% - Accent1 3 7" xfId="1520"/>
    <cellStyle name="20% - Accent1 3 8" xfId="1521"/>
    <cellStyle name="20% - Accent1 3 8 2" xfId="1522"/>
    <cellStyle name="20% - Accent1 3 8 2 2" xfId="1523"/>
    <cellStyle name="20% - Accent1 3 8 2 2 2" xfId="16825"/>
    <cellStyle name="20% - Accent1 3 8 2 2 2 2" xfId="26541"/>
    <cellStyle name="20% - Accent1 3 8 2 2 2 2 2" xfId="46295"/>
    <cellStyle name="20% - Accent1 3 8 2 2 2 3" xfId="36651"/>
    <cellStyle name="20% - Accent1 3 8 2 2 3" xfId="21731"/>
    <cellStyle name="20% - Accent1 3 8 2 2 3 2" xfId="41486"/>
    <cellStyle name="20% - Accent1 3 8 2 2 4" xfId="31842"/>
    <cellStyle name="20% - Accent1 3 8 2 3" xfId="16824"/>
    <cellStyle name="20% - Accent1 3 8 2 3 2" xfId="26540"/>
    <cellStyle name="20% - Accent1 3 8 2 3 2 2" xfId="46294"/>
    <cellStyle name="20% - Accent1 3 8 2 3 3" xfId="36650"/>
    <cellStyle name="20% - Accent1 3 8 2 4" xfId="21730"/>
    <cellStyle name="20% - Accent1 3 8 2 4 2" xfId="41485"/>
    <cellStyle name="20% - Accent1 3 8 2 5" xfId="31841"/>
    <cellStyle name="20% - Accent1 3 8 3" xfId="1524"/>
    <cellStyle name="20% - Accent1 3 8 3 2" xfId="16826"/>
    <cellStyle name="20% - Accent1 3 8 3 2 2" xfId="26542"/>
    <cellStyle name="20% - Accent1 3 8 3 2 2 2" xfId="46296"/>
    <cellStyle name="20% - Accent1 3 8 3 2 3" xfId="36652"/>
    <cellStyle name="20% - Accent1 3 8 3 3" xfId="21732"/>
    <cellStyle name="20% - Accent1 3 8 3 3 2" xfId="41487"/>
    <cellStyle name="20% - Accent1 3 8 3 4" xfId="31843"/>
    <cellStyle name="20% - Accent1 3 8 4" xfId="16823"/>
    <cellStyle name="20% - Accent1 3 8 4 2" xfId="26539"/>
    <cellStyle name="20% - Accent1 3 8 4 2 2" xfId="46293"/>
    <cellStyle name="20% - Accent1 3 8 4 3" xfId="36649"/>
    <cellStyle name="20% - Accent1 3 8 5" xfId="21729"/>
    <cellStyle name="20% - Accent1 3 8 5 2" xfId="41484"/>
    <cellStyle name="20% - Accent1 3 8 6" xfId="31840"/>
    <cellStyle name="20% - Accent1 3 9" xfId="1525"/>
    <cellStyle name="20% - Accent1 3 9 2" xfId="1526"/>
    <cellStyle name="20% - Accent1 3 9 2 2" xfId="16828"/>
    <cellStyle name="20% - Accent1 3 9 2 2 2" xfId="26544"/>
    <cellStyle name="20% - Accent1 3 9 2 2 2 2" xfId="46298"/>
    <cellStyle name="20% - Accent1 3 9 2 2 3" xfId="36654"/>
    <cellStyle name="20% - Accent1 3 9 2 3" xfId="21734"/>
    <cellStyle name="20% - Accent1 3 9 2 3 2" xfId="41489"/>
    <cellStyle name="20% - Accent1 3 9 2 4" xfId="31845"/>
    <cellStyle name="20% - Accent1 3 9 3" xfId="16827"/>
    <cellStyle name="20% - Accent1 3 9 3 2" xfId="26543"/>
    <cellStyle name="20% - Accent1 3 9 3 2 2" xfId="46297"/>
    <cellStyle name="20% - Accent1 3 9 3 3" xfId="36653"/>
    <cellStyle name="20% - Accent1 3 9 4" xfId="21733"/>
    <cellStyle name="20% - Accent1 3 9 4 2" xfId="41488"/>
    <cellStyle name="20% - Accent1 3 9 5" xfId="31844"/>
    <cellStyle name="20% - Accent1 4" xfId="8"/>
    <cellStyle name="20% - Accent1 4 10" xfId="1527"/>
    <cellStyle name="20% - Accent1 4 10 2" xfId="16829"/>
    <cellStyle name="20% - Accent1 4 10 2 2" xfId="26545"/>
    <cellStyle name="20% - Accent1 4 10 2 2 2" xfId="46299"/>
    <cellStyle name="20% - Accent1 4 10 2 3" xfId="36655"/>
    <cellStyle name="20% - Accent1 4 10 3" xfId="21735"/>
    <cellStyle name="20% - Accent1 4 10 3 2" xfId="41490"/>
    <cellStyle name="20% - Accent1 4 10 4" xfId="31846"/>
    <cellStyle name="20% - Accent1 4 11" xfId="1528"/>
    <cellStyle name="20% - Accent1 4 11 2" xfId="16830"/>
    <cellStyle name="20% - Accent1 4 11 2 2" xfId="26546"/>
    <cellStyle name="20% - Accent1 4 11 2 2 2" xfId="46300"/>
    <cellStyle name="20% - Accent1 4 11 2 3" xfId="36656"/>
    <cellStyle name="20% - Accent1 4 11 3" xfId="21736"/>
    <cellStyle name="20% - Accent1 4 11 3 2" xfId="41491"/>
    <cellStyle name="20% - Accent1 4 11 4" xfId="31847"/>
    <cellStyle name="20% - Accent1 4 12" xfId="1529"/>
    <cellStyle name="20% - Accent1 4 12 2" xfId="16831"/>
    <cellStyle name="20% - Accent1 4 12 2 2" xfId="26547"/>
    <cellStyle name="20% - Accent1 4 12 2 2 2" xfId="46301"/>
    <cellStyle name="20% - Accent1 4 12 2 3" xfId="36657"/>
    <cellStyle name="20% - Accent1 4 12 3" xfId="21737"/>
    <cellStyle name="20% - Accent1 4 12 3 2" xfId="41492"/>
    <cellStyle name="20% - Accent1 4 12 4" xfId="31848"/>
    <cellStyle name="20% - Accent1 4 13" xfId="15355"/>
    <cellStyle name="20% - Accent1 4 13 2" xfId="20227"/>
    <cellStyle name="20% - Accent1 4 13 2 2" xfId="29941"/>
    <cellStyle name="20% - Accent1 4 13 2 2 2" xfId="49694"/>
    <cellStyle name="20% - Accent1 4 13 2 3" xfId="40050"/>
    <cellStyle name="20% - Accent1 4 13 3" xfId="25129"/>
    <cellStyle name="20% - Accent1 4 13 3 2" xfId="44883"/>
    <cellStyle name="20% - Accent1 4 13 4" xfId="35239"/>
    <cellStyle name="20% - Accent1 4 14" xfId="15815"/>
    <cellStyle name="20% - Accent1 4 14 2" xfId="25531"/>
    <cellStyle name="20% - Accent1 4 14 2 2" xfId="45285"/>
    <cellStyle name="20% - Accent1 4 14 3" xfId="35641"/>
    <cellStyle name="20% - Accent1 4 15" xfId="20687"/>
    <cellStyle name="20% - Accent1 4 15 2" xfId="40467"/>
    <cellStyle name="20% - Accent1 4 16" xfId="30373"/>
    <cellStyle name="20% - Accent1 4 16 2" xfId="50121"/>
    <cellStyle name="20% - Accent1 4 17" xfId="30798"/>
    <cellStyle name="20% - Accent1 4 2" xfId="9"/>
    <cellStyle name="20% - Accent1 4 2 10" xfId="1530"/>
    <cellStyle name="20% - Accent1 4 2 10 2" xfId="16832"/>
    <cellStyle name="20% - Accent1 4 2 10 2 2" xfId="26548"/>
    <cellStyle name="20% - Accent1 4 2 10 2 2 2" xfId="46302"/>
    <cellStyle name="20% - Accent1 4 2 10 2 3" xfId="36658"/>
    <cellStyle name="20% - Accent1 4 2 10 3" xfId="21738"/>
    <cellStyle name="20% - Accent1 4 2 10 3 2" xfId="41493"/>
    <cellStyle name="20% - Accent1 4 2 10 4" xfId="31849"/>
    <cellStyle name="20% - Accent1 4 2 11" xfId="1531"/>
    <cellStyle name="20% - Accent1 4 2 11 2" xfId="16833"/>
    <cellStyle name="20% - Accent1 4 2 11 2 2" xfId="26549"/>
    <cellStyle name="20% - Accent1 4 2 11 2 2 2" xfId="46303"/>
    <cellStyle name="20% - Accent1 4 2 11 2 3" xfId="36659"/>
    <cellStyle name="20% - Accent1 4 2 11 3" xfId="21739"/>
    <cellStyle name="20% - Accent1 4 2 11 3 2" xfId="41494"/>
    <cellStyle name="20% - Accent1 4 2 11 4" xfId="31850"/>
    <cellStyle name="20% - Accent1 4 2 12" xfId="15356"/>
    <cellStyle name="20% - Accent1 4 2 12 2" xfId="20228"/>
    <cellStyle name="20% - Accent1 4 2 12 2 2" xfId="29942"/>
    <cellStyle name="20% - Accent1 4 2 12 2 2 2" xfId="49695"/>
    <cellStyle name="20% - Accent1 4 2 12 2 3" xfId="40051"/>
    <cellStyle name="20% - Accent1 4 2 12 3" xfId="25130"/>
    <cellStyle name="20% - Accent1 4 2 12 3 2" xfId="44884"/>
    <cellStyle name="20% - Accent1 4 2 12 4" xfId="35240"/>
    <cellStyle name="20% - Accent1 4 2 13" xfId="15816"/>
    <cellStyle name="20% - Accent1 4 2 13 2" xfId="25532"/>
    <cellStyle name="20% - Accent1 4 2 13 2 2" xfId="45286"/>
    <cellStyle name="20% - Accent1 4 2 13 3" xfId="35642"/>
    <cellStyle name="20% - Accent1 4 2 14" xfId="20688"/>
    <cellStyle name="20% - Accent1 4 2 14 2" xfId="40468"/>
    <cellStyle name="20% - Accent1 4 2 15" xfId="30374"/>
    <cellStyle name="20% - Accent1 4 2 15 2" xfId="50122"/>
    <cellStyle name="20% - Accent1 4 2 16" xfId="30799"/>
    <cellStyle name="20% - Accent1 4 2 2" xfId="10"/>
    <cellStyle name="20% - Accent1 4 2 2 10" xfId="15357"/>
    <cellStyle name="20% - Accent1 4 2 2 10 2" xfId="20229"/>
    <cellStyle name="20% - Accent1 4 2 2 10 2 2" xfId="29943"/>
    <cellStyle name="20% - Accent1 4 2 2 10 2 2 2" xfId="49696"/>
    <cellStyle name="20% - Accent1 4 2 2 10 2 3" xfId="40052"/>
    <cellStyle name="20% - Accent1 4 2 2 10 3" xfId="25131"/>
    <cellStyle name="20% - Accent1 4 2 2 10 3 2" xfId="44885"/>
    <cellStyle name="20% - Accent1 4 2 2 10 4" xfId="35241"/>
    <cellStyle name="20% - Accent1 4 2 2 11" xfId="15817"/>
    <cellStyle name="20% - Accent1 4 2 2 11 2" xfId="25533"/>
    <cellStyle name="20% - Accent1 4 2 2 11 2 2" xfId="45287"/>
    <cellStyle name="20% - Accent1 4 2 2 11 3" xfId="35643"/>
    <cellStyle name="20% - Accent1 4 2 2 12" xfId="20689"/>
    <cellStyle name="20% - Accent1 4 2 2 12 2" xfId="40469"/>
    <cellStyle name="20% - Accent1 4 2 2 13" xfId="30375"/>
    <cellStyle name="20% - Accent1 4 2 2 13 2" xfId="50123"/>
    <cellStyle name="20% - Accent1 4 2 2 14" xfId="30800"/>
    <cellStyle name="20% - Accent1 4 2 2 2" xfId="679"/>
    <cellStyle name="20% - Accent1 4 2 2 2 2" xfId="1532"/>
    <cellStyle name="20% - Accent1 4 2 2 2 2 2" xfId="1533"/>
    <cellStyle name="20% - Accent1 4 2 2 2 2 2 2" xfId="1534"/>
    <cellStyle name="20% - Accent1 4 2 2 2 2 2 2 2" xfId="16836"/>
    <cellStyle name="20% - Accent1 4 2 2 2 2 2 2 2 2" xfId="26552"/>
    <cellStyle name="20% - Accent1 4 2 2 2 2 2 2 2 2 2" xfId="46306"/>
    <cellStyle name="20% - Accent1 4 2 2 2 2 2 2 2 3" xfId="36662"/>
    <cellStyle name="20% - Accent1 4 2 2 2 2 2 2 3" xfId="21742"/>
    <cellStyle name="20% - Accent1 4 2 2 2 2 2 2 3 2" xfId="41497"/>
    <cellStyle name="20% - Accent1 4 2 2 2 2 2 2 4" xfId="31853"/>
    <cellStyle name="20% - Accent1 4 2 2 2 2 2 3" xfId="16835"/>
    <cellStyle name="20% - Accent1 4 2 2 2 2 2 3 2" xfId="26551"/>
    <cellStyle name="20% - Accent1 4 2 2 2 2 2 3 2 2" xfId="46305"/>
    <cellStyle name="20% - Accent1 4 2 2 2 2 2 3 3" xfId="36661"/>
    <cellStyle name="20% - Accent1 4 2 2 2 2 2 4" xfId="21741"/>
    <cellStyle name="20% - Accent1 4 2 2 2 2 2 4 2" xfId="41496"/>
    <cellStyle name="20% - Accent1 4 2 2 2 2 2 5" xfId="31852"/>
    <cellStyle name="20% - Accent1 4 2 2 2 2 3" xfId="1535"/>
    <cellStyle name="20% - Accent1 4 2 2 2 2 3 2" xfId="16837"/>
    <cellStyle name="20% - Accent1 4 2 2 2 2 3 2 2" xfId="26553"/>
    <cellStyle name="20% - Accent1 4 2 2 2 2 3 2 2 2" xfId="46307"/>
    <cellStyle name="20% - Accent1 4 2 2 2 2 3 2 3" xfId="36663"/>
    <cellStyle name="20% - Accent1 4 2 2 2 2 3 3" xfId="21743"/>
    <cellStyle name="20% - Accent1 4 2 2 2 2 3 3 2" xfId="41498"/>
    <cellStyle name="20% - Accent1 4 2 2 2 2 3 4" xfId="31854"/>
    <cellStyle name="20% - Accent1 4 2 2 2 2 4" xfId="16834"/>
    <cellStyle name="20% - Accent1 4 2 2 2 2 4 2" xfId="26550"/>
    <cellStyle name="20% - Accent1 4 2 2 2 2 4 2 2" xfId="46304"/>
    <cellStyle name="20% - Accent1 4 2 2 2 2 4 3" xfId="36660"/>
    <cellStyle name="20% - Accent1 4 2 2 2 2 5" xfId="21740"/>
    <cellStyle name="20% - Accent1 4 2 2 2 2 5 2" xfId="41495"/>
    <cellStyle name="20% - Accent1 4 2 2 2 2 6" xfId="31851"/>
    <cellStyle name="20% - Accent1 4 2 2 2 3" xfId="1536"/>
    <cellStyle name="20% - Accent1 4 2 2 2 3 2" xfId="1537"/>
    <cellStyle name="20% - Accent1 4 2 2 2 3 2 2" xfId="16839"/>
    <cellStyle name="20% - Accent1 4 2 2 2 3 2 2 2" xfId="26555"/>
    <cellStyle name="20% - Accent1 4 2 2 2 3 2 2 2 2" xfId="46309"/>
    <cellStyle name="20% - Accent1 4 2 2 2 3 2 2 3" xfId="36665"/>
    <cellStyle name="20% - Accent1 4 2 2 2 3 2 3" xfId="21745"/>
    <cellStyle name="20% - Accent1 4 2 2 2 3 2 3 2" xfId="41500"/>
    <cellStyle name="20% - Accent1 4 2 2 2 3 2 4" xfId="31856"/>
    <cellStyle name="20% - Accent1 4 2 2 2 3 3" xfId="16838"/>
    <cellStyle name="20% - Accent1 4 2 2 2 3 3 2" xfId="26554"/>
    <cellStyle name="20% - Accent1 4 2 2 2 3 3 2 2" xfId="46308"/>
    <cellStyle name="20% - Accent1 4 2 2 2 3 3 3" xfId="36664"/>
    <cellStyle name="20% - Accent1 4 2 2 2 3 4" xfId="21744"/>
    <cellStyle name="20% - Accent1 4 2 2 2 3 4 2" xfId="41499"/>
    <cellStyle name="20% - Accent1 4 2 2 2 3 5" xfId="31855"/>
    <cellStyle name="20% - Accent1 4 2 2 2 4" xfId="1538"/>
    <cellStyle name="20% - Accent1 4 2 2 2 4 2" xfId="16840"/>
    <cellStyle name="20% - Accent1 4 2 2 2 4 2 2" xfId="26556"/>
    <cellStyle name="20% - Accent1 4 2 2 2 4 2 2 2" xfId="46310"/>
    <cellStyle name="20% - Accent1 4 2 2 2 4 2 3" xfId="36666"/>
    <cellStyle name="20% - Accent1 4 2 2 2 4 3" xfId="21746"/>
    <cellStyle name="20% - Accent1 4 2 2 2 4 3 2" xfId="41501"/>
    <cellStyle name="20% - Accent1 4 2 2 2 4 4" xfId="31857"/>
    <cellStyle name="20% - Accent1 4 2 2 2 5" xfId="15358"/>
    <cellStyle name="20% - Accent1 4 2 2 2 5 2" xfId="20230"/>
    <cellStyle name="20% - Accent1 4 2 2 2 5 2 2" xfId="29944"/>
    <cellStyle name="20% - Accent1 4 2 2 2 5 2 2 2" xfId="49697"/>
    <cellStyle name="20% - Accent1 4 2 2 2 5 2 3" xfId="40053"/>
    <cellStyle name="20% - Accent1 4 2 2 2 5 3" xfId="25132"/>
    <cellStyle name="20% - Accent1 4 2 2 2 5 3 2" xfId="44886"/>
    <cellStyle name="20% - Accent1 4 2 2 2 5 4" xfId="35242"/>
    <cellStyle name="20% - Accent1 4 2 2 2 6" xfId="16026"/>
    <cellStyle name="20% - Accent1 4 2 2 2 6 2" xfId="25742"/>
    <cellStyle name="20% - Accent1 4 2 2 2 6 2 2" xfId="45496"/>
    <cellStyle name="20% - Accent1 4 2 2 2 6 3" xfId="35852"/>
    <cellStyle name="20% - Accent1 4 2 2 2 7" xfId="20932"/>
    <cellStyle name="20% - Accent1 4 2 2 2 7 2" xfId="40687"/>
    <cellStyle name="20% - Accent1 4 2 2 2 8" xfId="30376"/>
    <cellStyle name="20% - Accent1 4 2 2 2 8 2" xfId="50124"/>
    <cellStyle name="20% - Accent1 4 2 2 2 9" xfId="31043"/>
    <cellStyle name="20% - Accent1 4 2 2 3" xfId="680"/>
    <cellStyle name="20% - Accent1 4 2 2 3 2" xfId="1539"/>
    <cellStyle name="20% - Accent1 4 2 2 3 2 2" xfId="1540"/>
    <cellStyle name="20% - Accent1 4 2 2 3 2 2 2" xfId="1541"/>
    <cellStyle name="20% - Accent1 4 2 2 3 2 2 2 2" xfId="16843"/>
    <cellStyle name="20% - Accent1 4 2 2 3 2 2 2 2 2" xfId="26559"/>
    <cellStyle name="20% - Accent1 4 2 2 3 2 2 2 2 2 2" xfId="46313"/>
    <cellStyle name="20% - Accent1 4 2 2 3 2 2 2 2 3" xfId="36669"/>
    <cellStyle name="20% - Accent1 4 2 2 3 2 2 2 3" xfId="21749"/>
    <cellStyle name="20% - Accent1 4 2 2 3 2 2 2 3 2" xfId="41504"/>
    <cellStyle name="20% - Accent1 4 2 2 3 2 2 2 4" xfId="31860"/>
    <cellStyle name="20% - Accent1 4 2 2 3 2 2 3" xfId="16842"/>
    <cellStyle name="20% - Accent1 4 2 2 3 2 2 3 2" xfId="26558"/>
    <cellStyle name="20% - Accent1 4 2 2 3 2 2 3 2 2" xfId="46312"/>
    <cellStyle name="20% - Accent1 4 2 2 3 2 2 3 3" xfId="36668"/>
    <cellStyle name="20% - Accent1 4 2 2 3 2 2 4" xfId="21748"/>
    <cellStyle name="20% - Accent1 4 2 2 3 2 2 4 2" xfId="41503"/>
    <cellStyle name="20% - Accent1 4 2 2 3 2 2 5" xfId="31859"/>
    <cellStyle name="20% - Accent1 4 2 2 3 2 3" xfId="1542"/>
    <cellStyle name="20% - Accent1 4 2 2 3 2 3 2" xfId="16844"/>
    <cellStyle name="20% - Accent1 4 2 2 3 2 3 2 2" xfId="26560"/>
    <cellStyle name="20% - Accent1 4 2 2 3 2 3 2 2 2" xfId="46314"/>
    <cellStyle name="20% - Accent1 4 2 2 3 2 3 2 3" xfId="36670"/>
    <cellStyle name="20% - Accent1 4 2 2 3 2 3 3" xfId="21750"/>
    <cellStyle name="20% - Accent1 4 2 2 3 2 3 3 2" xfId="41505"/>
    <cellStyle name="20% - Accent1 4 2 2 3 2 3 4" xfId="31861"/>
    <cellStyle name="20% - Accent1 4 2 2 3 2 4" xfId="16841"/>
    <cellStyle name="20% - Accent1 4 2 2 3 2 4 2" xfId="26557"/>
    <cellStyle name="20% - Accent1 4 2 2 3 2 4 2 2" xfId="46311"/>
    <cellStyle name="20% - Accent1 4 2 2 3 2 4 3" xfId="36667"/>
    <cellStyle name="20% - Accent1 4 2 2 3 2 5" xfId="21747"/>
    <cellStyle name="20% - Accent1 4 2 2 3 2 5 2" xfId="41502"/>
    <cellStyle name="20% - Accent1 4 2 2 3 2 6" xfId="31858"/>
    <cellStyle name="20% - Accent1 4 2 2 3 3" xfId="1543"/>
    <cellStyle name="20% - Accent1 4 2 2 3 3 2" xfId="1544"/>
    <cellStyle name="20% - Accent1 4 2 2 3 3 2 2" xfId="16846"/>
    <cellStyle name="20% - Accent1 4 2 2 3 3 2 2 2" xfId="26562"/>
    <cellStyle name="20% - Accent1 4 2 2 3 3 2 2 2 2" xfId="46316"/>
    <cellStyle name="20% - Accent1 4 2 2 3 3 2 2 3" xfId="36672"/>
    <cellStyle name="20% - Accent1 4 2 2 3 3 2 3" xfId="21752"/>
    <cellStyle name="20% - Accent1 4 2 2 3 3 2 3 2" xfId="41507"/>
    <cellStyle name="20% - Accent1 4 2 2 3 3 2 4" xfId="31863"/>
    <cellStyle name="20% - Accent1 4 2 2 3 3 3" xfId="16845"/>
    <cellStyle name="20% - Accent1 4 2 2 3 3 3 2" xfId="26561"/>
    <cellStyle name="20% - Accent1 4 2 2 3 3 3 2 2" xfId="46315"/>
    <cellStyle name="20% - Accent1 4 2 2 3 3 3 3" xfId="36671"/>
    <cellStyle name="20% - Accent1 4 2 2 3 3 4" xfId="21751"/>
    <cellStyle name="20% - Accent1 4 2 2 3 3 4 2" xfId="41506"/>
    <cellStyle name="20% - Accent1 4 2 2 3 3 5" xfId="31862"/>
    <cellStyle name="20% - Accent1 4 2 2 3 4" xfId="1545"/>
    <cellStyle name="20% - Accent1 4 2 2 3 4 2" xfId="16847"/>
    <cellStyle name="20% - Accent1 4 2 2 3 4 2 2" xfId="26563"/>
    <cellStyle name="20% - Accent1 4 2 2 3 4 2 2 2" xfId="46317"/>
    <cellStyle name="20% - Accent1 4 2 2 3 4 2 3" xfId="36673"/>
    <cellStyle name="20% - Accent1 4 2 2 3 4 3" xfId="21753"/>
    <cellStyle name="20% - Accent1 4 2 2 3 4 3 2" xfId="41508"/>
    <cellStyle name="20% - Accent1 4 2 2 3 4 4" xfId="31864"/>
    <cellStyle name="20% - Accent1 4 2 2 3 5" xfId="16027"/>
    <cellStyle name="20% - Accent1 4 2 2 3 5 2" xfId="25743"/>
    <cellStyle name="20% - Accent1 4 2 2 3 5 2 2" xfId="45497"/>
    <cellStyle name="20% - Accent1 4 2 2 3 5 3" xfId="35853"/>
    <cellStyle name="20% - Accent1 4 2 2 3 6" xfId="20933"/>
    <cellStyle name="20% - Accent1 4 2 2 3 6 2" xfId="40688"/>
    <cellStyle name="20% - Accent1 4 2 2 3 7" xfId="31044"/>
    <cellStyle name="20% - Accent1 4 2 2 4" xfId="1546"/>
    <cellStyle name="20% - Accent1 4 2 2 4 2" xfId="1547"/>
    <cellStyle name="20% - Accent1 4 2 2 4 2 2" xfId="1548"/>
    <cellStyle name="20% - Accent1 4 2 2 4 2 2 2" xfId="1549"/>
    <cellStyle name="20% - Accent1 4 2 2 4 2 2 2 2" xfId="16851"/>
    <cellStyle name="20% - Accent1 4 2 2 4 2 2 2 2 2" xfId="26567"/>
    <cellStyle name="20% - Accent1 4 2 2 4 2 2 2 2 2 2" xfId="46321"/>
    <cellStyle name="20% - Accent1 4 2 2 4 2 2 2 2 3" xfId="36677"/>
    <cellStyle name="20% - Accent1 4 2 2 4 2 2 2 3" xfId="21757"/>
    <cellStyle name="20% - Accent1 4 2 2 4 2 2 2 3 2" xfId="41512"/>
    <cellStyle name="20% - Accent1 4 2 2 4 2 2 2 4" xfId="31868"/>
    <cellStyle name="20% - Accent1 4 2 2 4 2 2 3" xfId="16850"/>
    <cellStyle name="20% - Accent1 4 2 2 4 2 2 3 2" xfId="26566"/>
    <cellStyle name="20% - Accent1 4 2 2 4 2 2 3 2 2" xfId="46320"/>
    <cellStyle name="20% - Accent1 4 2 2 4 2 2 3 3" xfId="36676"/>
    <cellStyle name="20% - Accent1 4 2 2 4 2 2 4" xfId="21756"/>
    <cellStyle name="20% - Accent1 4 2 2 4 2 2 4 2" xfId="41511"/>
    <cellStyle name="20% - Accent1 4 2 2 4 2 2 5" xfId="31867"/>
    <cellStyle name="20% - Accent1 4 2 2 4 2 3" xfId="1550"/>
    <cellStyle name="20% - Accent1 4 2 2 4 2 3 2" xfId="16852"/>
    <cellStyle name="20% - Accent1 4 2 2 4 2 3 2 2" xfId="26568"/>
    <cellStyle name="20% - Accent1 4 2 2 4 2 3 2 2 2" xfId="46322"/>
    <cellStyle name="20% - Accent1 4 2 2 4 2 3 2 3" xfId="36678"/>
    <cellStyle name="20% - Accent1 4 2 2 4 2 3 3" xfId="21758"/>
    <cellStyle name="20% - Accent1 4 2 2 4 2 3 3 2" xfId="41513"/>
    <cellStyle name="20% - Accent1 4 2 2 4 2 3 4" xfId="31869"/>
    <cellStyle name="20% - Accent1 4 2 2 4 2 4" xfId="16849"/>
    <cellStyle name="20% - Accent1 4 2 2 4 2 4 2" xfId="26565"/>
    <cellStyle name="20% - Accent1 4 2 2 4 2 4 2 2" xfId="46319"/>
    <cellStyle name="20% - Accent1 4 2 2 4 2 4 3" xfId="36675"/>
    <cellStyle name="20% - Accent1 4 2 2 4 2 5" xfId="21755"/>
    <cellStyle name="20% - Accent1 4 2 2 4 2 5 2" xfId="41510"/>
    <cellStyle name="20% - Accent1 4 2 2 4 2 6" xfId="31866"/>
    <cellStyle name="20% - Accent1 4 2 2 4 3" xfId="1551"/>
    <cellStyle name="20% - Accent1 4 2 2 4 3 2" xfId="1552"/>
    <cellStyle name="20% - Accent1 4 2 2 4 3 2 2" xfId="16854"/>
    <cellStyle name="20% - Accent1 4 2 2 4 3 2 2 2" xfId="26570"/>
    <cellStyle name="20% - Accent1 4 2 2 4 3 2 2 2 2" xfId="46324"/>
    <cellStyle name="20% - Accent1 4 2 2 4 3 2 2 3" xfId="36680"/>
    <cellStyle name="20% - Accent1 4 2 2 4 3 2 3" xfId="21760"/>
    <cellStyle name="20% - Accent1 4 2 2 4 3 2 3 2" xfId="41515"/>
    <cellStyle name="20% - Accent1 4 2 2 4 3 2 4" xfId="31871"/>
    <cellStyle name="20% - Accent1 4 2 2 4 3 3" xfId="16853"/>
    <cellStyle name="20% - Accent1 4 2 2 4 3 3 2" xfId="26569"/>
    <cellStyle name="20% - Accent1 4 2 2 4 3 3 2 2" xfId="46323"/>
    <cellStyle name="20% - Accent1 4 2 2 4 3 3 3" xfId="36679"/>
    <cellStyle name="20% - Accent1 4 2 2 4 3 4" xfId="21759"/>
    <cellStyle name="20% - Accent1 4 2 2 4 3 4 2" xfId="41514"/>
    <cellStyle name="20% - Accent1 4 2 2 4 3 5" xfId="31870"/>
    <cellStyle name="20% - Accent1 4 2 2 4 4" xfId="1553"/>
    <cellStyle name="20% - Accent1 4 2 2 4 4 2" xfId="16855"/>
    <cellStyle name="20% - Accent1 4 2 2 4 4 2 2" xfId="26571"/>
    <cellStyle name="20% - Accent1 4 2 2 4 4 2 2 2" xfId="46325"/>
    <cellStyle name="20% - Accent1 4 2 2 4 4 2 3" xfId="36681"/>
    <cellStyle name="20% - Accent1 4 2 2 4 4 3" xfId="21761"/>
    <cellStyle name="20% - Accent1 4 2 2 4 4 3 2" xfId="41516"/>
    <cellStyle name="20% - Accent1 4 2 2 4 4 4" xfId="31872"/>
    <cellStyle name="20% - Accent1 4 2 2 4 5" xfId="16848"/>
    <cellStyle name="20% - Accent1 4 2 2 4 5 2" xfId="26564"/>
    <cellStyle name="20% - Accent1 4 2 2 4 5 2 2" xfId="46318"/>
    <cellStyle name="20% - Accent1 4 2 2 4 5 3" xfId="36674"/>
    <cellStyle name="20% - Accent1 4 2 2 4 6" xfId="21754"/>
    <cellStyle name="20% - Accent1 4 2 2 4 6 2" xfId="41509"/>
    <cellStyle name="20% - Accent1 4 2 2 4 7" xfId="31865"/>
    <cellStyle name="20% - Accent1 4 2 2 5" xfId="1554"/>
    <cellStyle name="20% - Accent1 4 2 2 5 2" xfId="1555"/>
    <cellStyle name="20% - Accent1 4 2 2 5 2 2" xfId="1556"/>
    <cellStyle name="20% - Accent1 4 2 2 5 2 2 2" xfId="16858"/>
    <cellStyle name="20% - Accent1 4 2 2 5 2 2 2 2" xfId="26574"/>
    <cellStyle name="20% - Accent1 4 2 2 5 2 2 2 2 2" xfId="46328"/>
    <cellStyle name="20% - Accent1 4 2 2 5 2 2 2 3" xfId="36684"/>
    <cellStyle name="20% - Accent1 4 2 2 5 2 2 3" xfId="21764"/>
    <cellStyle name="20% - Accent1 4 2 2 5 2 2 3 2" xfId="41519"/>
    <cellStyle name="20% - Accent1 4 2 2 5 2 2 4" xfId="31875"/>
    <cellStyle name="20% - Accent1 4 2 2 5 2 3" xfId="16857"/>
    <cellStyle name="20% - Accent1 4 2 2 5 2 3 2" xfId="26573"/>
    <cellStyle name="20% - Accent1 4 2 2 5 2 3 2 2" xfId="46327"/>
    <cellStyle name="20% - Accent1 4 2 2 5 2 3 3" xfId="36683"/>
    <cellStyle name="20% - Accent1 4 2 2 5 2 4" xfId="21763"/>
    <cellStyle name="20% - Accent1 4 2 2 5 2 4 2" xfId="41518"/>
    <cellStyle name="20% - Accent1 4 2 2 5 2 5" xfId="31874"/>
    <cellStyle name="20% - Accent1 4 2 2 5 3" xfId="1557"/>
    <cellStyle name="20% - Accent1 4 2 2 5 3 2" xfId="16859"/>
    <cellStyle name="20% - Accent1 4 2 2 5 3 2 2" xfId="26575"/>
    <cellStyle name="20% - Accent1 4 2 2 5 3 2 2 2" xfId="46329"/>
    <cellStyle name="20% - Accent1 4 2 2 5 3 2 3" xfId="36685"/>
    <cellStyle name="20% - Accent1 4 2 2 5 3 3" xfId="21765"/>
    <cellStyle name="20% - Accent1 4 2 2 5 3 3 2" xfId="41520"/>
    <cellStyle name="20% - Accent1 4 2 2 5 3 4" xfId="31876"/>
    <cellStyle name="20% - Accent1 4 2 2 5 4" xfId="16856"/>
    <cellStyle name="20% - Accent1 4 2 2 5 4 2" xfId="26572"/>
    <cellStyle name="20% - Accent1 4 2 2 5 4 2 2" xfId="46326"/>
    <cellStyle name="20% - Accent1 4 2 2 5 4 3" xfId="36682"/>
    <cellStyle name="20% - Accent1 4 2 2 5 5" xfId="21762"/>
    <cellStyle name="20% - Accent1 4 2 2 5 5 2" xfId="41517"/>
    <cellStyle name="20% - Accent1 4 2 2 5 6" xfId="31873"/>
    <cellStyle name="20% - Accent1 4 2 2 6" xfId="1558"/>
    <cellStyle name="20% - Accent1 4 2 2 6 2" xfId="1559"/>
    <cellStyle name="20% - Accent1 4 2 2 6 2 2" xfId="16861"/>
    <cellStyle name="20% - Accent1 4 2 2 6 2 2 2" xfId="26577"/>
    <cellStyle name="20% - Accent1 4 2 2 6 2 2 2 2" xfId="46331"/>
    <cellStyle name="20% - Accent1 4 2 2 6 2 2 3" xfId="36687"/>
    <cellStyle name="20% - Accent1 4 2 2 6 2 3" xfId="21767"/>
    <cellStyle name="20% - Accent1 4 2 2 6 2 3 2" xfId="41522"/>
    <cellStyle name="20% - Accent1 4 2 2 6 2 4" xfId="31878"/>
    <cellStyle name="20% - Accent1 4 2 2 6 3" xfId="16860"/>
    <cellStyle name="20% - Accent1 4 2 2 6 3 2" xfId="26576"/>
    <cellStyle name="20% - Accent1 4 2 2 6 3 2 2" xfId="46330"/>
    <cellStyle name="20% - Accent1 4 2 2 6 3 3" xfId="36686"/>
    <cellStyle name="20% - Accent1 4 2 2 6 4" xfId="21766"/>
    <cellStyle name="20% - Accent1 4 2 2 6 4 2" xfId="41521"/>
    <cellStyle name="20% - Accent1 4 2 2 6 5" xfId="31877"/>
    <cellStyle name="20% - Accent1 4 2 2 7" xfId="1560"/>
    <cellStyle name="20% - Accent1 4 2 2 7 2" xfId="16862"/>
    <cellStyle name="20% - Accent1 4 2 2 7 2 2" xfId="26578"/>
    <cellStyle name="20% - Accent1 4 2 2 7 2 2 2" xfId="46332"/>
    <cellStyle name="20% - Accent1 4 2 2 7 2 3" xfId="36688"/>
    <cellStyle name="20% - Accent1 4 2 2 7 3" xfId="21768"/>
    <cellStyle name="20% - Accent1 4 2 2 7 3 2" xfId="41523"/>
    <cellStyle name="20% - Accent1 4 2 2 7 4" xfId="31879"/>
    <cellStyle name="20% - Accent1 4 2 2 8" xfId="1561"/>
    <cellStyle name="20% - Accent1 4 2 2 8 2" xfId="16863"/>
    <cellStyle name="20% - Accent1 4 2 2 8 2 2" xfId="26579"/>
    <cellStyle name="20% - Accent1 4 2 2 8 2 2 2" xfId="46333"/>
    <cellStyle name="20% - Accent1 4 2 2 8 2 3" xfId="36689"/>
    <cellStyle name="20% - Accent1 4 2 2 8 3" xfId="21769"/>
    <cellStyle name="20% - Accent1 4 2 2 8 3 2" xfId="41524"/>
    <cellStyle name="20% - Accent1 4 2 2 8 4" xfId="31880"/>
    <cellStyle name="20% - Accent1 4 2 2 9" xfId="1562"/>
    <cellStyle name="20% - Accent1 4 2 2 9 2" xfId="16864"/>
    <cellStyle name="20% - Accent1 4 2 2 9 2 2" xfId="26580"/>
    <cellStyle name="20% - Accent1 4 2 2 9 2 2 2" xfId="46334"/>
    <cellStyle name="20% - Accent1 4 2 2 9 2 3" xfId="36690"/>
    <cellStyle name="20% - Accent1 4 2 2 9 3" xfId="21770"/>
    <cellStyle name="20% - Accent1 4 2 2 9 3 2" xfId="41525"/>
    <cellStyle name="20% - Accent1 4 2 2 9 4" xfId="31881"/>
    <cellStyle name="20% - Accent1 4 2 3" xfId="681"/>
    <cellStyle name="20% - Accent1 4 2 3 2" xfId="1563"/>
    <cellStyle name="20% - Accent1 4 2 3 2 2" xfId="1564"/>
    <cellStyle name="20% - Accent1 4 2 3 2 2 2" xfId="1565"/>
    <cellStyle name="20% - Accent1 4 2 3 2 2 2 2" xfId="16867"/>
    <cellStyle name="20% - Accent1 4 2 3 2 2 2 2 2" xfId="26583"/>
    <cellStyle name="20% - Accent1 4 2 3 2 2 2 2 2 2" xfId="46337"/>
    <cellStyle name="20% - Accent1 4 2 3 2 2 2 2 3" xfId="36693"/>
    <cellStyle name="20% - Accent1 4 2 3 2 2 2 3" xfId="21773"/>
    <cellStyle name="20% - Accent1 4 2 3 2 2 2 3 2" xfId="41528"/>
    <cellStyle name="20% - Accent1 4 2 3 2 2 2 4" xfId="31884"/>
    <cellStyle name="20% - Accent1 4 2 3 2 2 3" xfId="16866"/>
    <cellStyle name="20% - Accent1 4 2 3 2 2 3 2" xfId="26582"/>
    <cellStyle name="20% - Accent1 4 2 3 2 2 3 2 2" xfId="46336"/>
    <cellStyle name="20% - Accent1 4 2 3 2 2 3 3" xfId="36692"/>
    <cellStyle name="20% - Accent1 4 2 3 2 2 4" xfId="21772"/>
    <cellStyle name="20% - Accent1 4 2 3 2 2 4 2" xfId="41527"/>
    <cellStyle name="20% - Accent1 4 2 3 2 2 5" xfId="31883"/>
    <cellStyle name="20% - Accent1 4 2 3 2 3" xfId="1566"/>
    <cellStyle name="20% - Accent1 4 2 3 2 3 2" xfId="16868"/>
    <cellStyle name="20% - Accent1 4 2 3 2 3 2 2" xfId="26584"/>
    <cellStyle name="20% - Accent1 4 2 3 2 3 2 2 2" xfId="46338"/>
    <cellStyle name="20% - Accent1 4 2 3 2 3 2 3" xfId="36694"/>
    <cellStyle name="20% - Accent1 4 2 3 2 3 3" xfId="21774"/>
    <cellStyle name="20% - Accent1 4 2 3 2 3 3 2" xfId="41529"/>
    <cellStyle name="20% - Accent1 4 2 3 2 3 4" xfId="31885"/>
    <cellStyle name="20% - Accent1 4 2 3 2 4" xfId="16865"/>
    <cellStyle name="20% - Accent1 4 2 3 2 4 2" xfId="26581"/>
    <cellStyle name="20% - Accent1 4 2 3 2 4 2 2" xfId="46335"/>
    <cellStyle name="20% - Accent1 4 2 3 2 4 3" xfId="36691"/>
    <cellStyle name="20% - Accent1 4 2 3 2 5" xfId="21771"/>
    <cellStyle name="20% - Accent1 4 2 3 2 5 2" xfId="41526"/>
    <cellStyle name="20% - Accent1 4 2 3 2 6" xfId="31882"/>
    <cellStyle name="20% - Accent1 4 2 3 3" xfId="1567"/>
    <cellStyle name="20% - Accent1 4 2 3 3 2" xfId="1568"/>
    <cellStyle name="20% - Accent1 4 2 3 3 2 2" xfId="16870"/>
    <cellStyle name="20% - Accent1 4 2 3 3 2 2 2" xfId="26586"/>
    <cellStyle name="20% - Accent1 4 2 3 3 2 2 2 2" xfId="46340"/>
    <cellStyle name="20% - Accent1 4 2 3 3 2 2 3" xfId="36696"/>
    <cellStyle name="20% - Accent1 4 2 3 3 2 3" xfId="21776"/>
    <cellStyle name="20% - Accent1 4 2 3 3 2 3 2" xfId="41531"/>
    <cellStyle name="20% - Accent1 4 2 3 3 2 4" xfId="31887"/>
    <cellStyle name="20% - Accent1 4 2 3 3 3" xfId="16869"/>
    <cellStyle name="20% - Accent1 4 2 3 3 3 2" xfId="26585"/>
    <cellStyle name="20% - Accent1 4 2 3 3 3 2 2" xfId="46339"/>
    <cellStyle name="20% - Accent1 4 2 3 3 3 3" xfId="36695"/>
    <cellStyle name="20% - Accent1 4 2 3 3 4" xfId="21775"/>
    <cellStyle name="20% - Accent1 4 2 3 3 4 2" xfId="41530"/>
    <cellStyle name="20% - Accent1 4 2 3 3 5" xfId="31886"/>
    <cellStyle name="20% - Accent1 4 2 3 4" xfId="1569"/>
    <cellStyle name="20% - Accent1 4 2 3 4 2" xfId="16871"/>
    <cellStyle name="20% - Accent1 4 2 3 4 2 2" xfId="26587"/>
    <cellStyle name="20% - Accent1 4 2 3 4 2 2 2" xfId="46341"/>
    <cellStyle name="20% - Accent1 4 2 3 4 2 3" xfId="36697"/>
    <cellStyle name="20% - Accent1 4 2 3 4 3" xfId="21777"/>
    <cellStyle name="20% - Accent1 4 2 3 4 3 2" xfId="41532"/>
    <cellStyle name="20% - Accent1 4 2 3 4 4" xfId="31888"/>
    <cellStyle name="20% - Accent1 4 2 3 5" xfId="15359"/>
    <cellStyle name="20% - Accent1 4 2 3 5 2" xfId="20231"/>
    <cellStyle name="20% - Accent1 4 2 3 5 2 2" xfId="29945"/>
    <cellStyle name="20% - Accent1 4 2 3 5 2 2 2" xfId="49698"/>
    <cellStyle name="20% - Accent1 4 2 3 5 2 3" xfId="40054"/>
    <cellStyle name="20% - Accent1 4 2 3 5 3" xfId="25133"/>
    <cellStyle name="20% - Accent1 4 2 3 5 3 2" xfId="44887"/>
    <cellStyle name="20% - Accent1 4 2 3 5 4" xfId="35243"/>
    <cellStyle name="20% - Accent1 4 2 3 6" xfId="16028"/>
    <cellStyle name="20% - Accent1 4 2 3 6 2" xfId="25744"/>
    <cellStyle name="20% - Accent1 4 2 3 6 2 2" xfId="45498"/>
    <cellStyle name="20% - Accent1 4 2 3 6 3" xfId="35854"/>
    <cellStyle name="20% - Accent1 4 2 3 7" xfId="20934"/>
    <cellStyle name="20% - Accent1 4 2 3 7 2" xfId="40689"/>
    <cellStyle name="20% - Accent1 4 2 3 8" xfId="30377"/>
    <cellStyle name="20% - Accent1 4 2 3 8 2" xfId="50125"/>
    <cellStyle name="20% - Accent1 4 2 3 9" xfId="31045"/>
    <cellStyle name="20% - Accent1 4 2 4" xfId="682"/>
    <cellStyle name="20% - Accent1 4 2 4 2" xfId="1570"/>
    <cellStyle name="20% - Accent1 4 2 4 2 2" xfId="1571"/>
    <cellStyle name="20% - Accent1 4 2 4 2 2 2" xfId="1572"/>
    <cellStyle name="20% - Accent1 4 2 4 2 2 2 2" xfId="16874"/>
    <cellStyle name="20% - Accent1 4 2 4 2 2 2 2 2" xfId="26590"/>
    <cellStyle name="20% - Accent1 4 2 4 2 2 2 2 2 2" xfId="46344"/>
    <cellStyle name="20% - Accent1 4 2 4 2 2 2 2 3" xfId="36700"/>
    <cellStyle name="20% - Accent1 4 2 4 2 2 2 3" xfId="21780"/>
    <cellStyle name="20% - Accent1 4 2 4 2 2 2 3 2" xfId="41535"/>
    <cellStyle name="20% - Accent1 4 2 4 2 2 2 4" xfId="31891"/>
    <cellStyle name="20% - Accent1 4 2 4 2 2 3" xfId="16873"/>
    <cellStyle name="20% - Accent1 4 2 4 2 2 3 2" xfId="26589"/>
    <cellStyle name="20% - Accent1 4 2 4 2 2 3 2 2" xfId="46343"/>
    <cellStyle name="20% - Accent1 4 2 4 2 2 3 3" xfId="36699"/>
    <cellStyle name="20% - Accent1 4 2 4 2 2 4" xfId="21779"/>
    <cellStyle name="20% - Accent1 4 2 4 2 2 4 2" xfId="41534"/>
    <cellStyle name="20% - Accent1 4 2 4 2 2 5" xfId="31890"/>
    <cellStyle name="20% - Accent1 4 2 4 2 3" xfId="1573"/>
    <cellStyle name="20% - Accent1 4 2 4 2 3 2" xfId="16875"/>
    <cellStyle name="20% - Accent1 4 2 4 2 3 2 2" xfId="26591"/>
    <cellStyle name="20% - Accent1 4 2 4 2 3 2 2 2" xfId="46345"/>
    <cellStyle name="20% - Accent1 4 2 4 2 3 2 3" xfId="36701"/>
    <cellStyle name="20% - Accent1 4 2 4 2 3 3" xfId="21781"/>
    <cellStyle name="20% - Accent1 4 2 4 2 3 3 2" xfId="41536"/>
    <cellStyle name="20% - Accent1 4 2 4 2 3 4" xfId="31892"/>
    <cellStyle name="20% - Accent1 4 2 4 2 4" xfId="16872"/>
    <cellStyle name="20% - Accent1 4 2 4 2 4 2" xfId="26588"/>
    <cellStyle name="20% - Accent1 4 2 4 2 4 2 2" xfId="46342"/>
    <cellStyle name="20% - Accent1 4 2 4 2 4 3" xfId="36698"/>
    <cellStyle name="20% - Accent1 4 2 4 2 5" xfId="21778"/>
    <cellStyle name="20% - Accent1 4 2 4 2 5 2" xfId="41533"/>
    <cellStyle name="20% - Accent1 4 2 4 2 6" xfId="31889"/>
    <cellStyle name="20% - Accent1 4 2 4 3" xfId="1574"/>
    <cellStyle name="20% - Accent1 4 2 4 3 2" xfId="1575"/>
    <cellStyle name="20% - Accent1 4 2 4 3 2 2" xfId="16877"/>
    <cellStyle name="20% - Accent1 4 2 4 3 2 2 2" xfId="26593"/>
    <cellStyle name="20% - Accent1 4 2 4 3 2 2 2 2" xfId="46347"/>
    <cellStyle name="20% - Accent1 4 2 4 3 2 2 3" xfId="36703"/>
    <cellStyle name="20% - Accent1 4 2 4 3 2 3" xfId="21783"/>
    <cellStyle name="20% - Accent1 4 2 4 3 2 3 2" xfId="41538"/>
    <cellStyle name="20% - Accent1 4 2 4 3 2 4" xfId="31894"/>
    <cellStyle name="20% - Accent1 4 2 4 3 3" xfId="16876"/>
    <cellStyle name="20% - Accent1 4 2 4 3 3 2" xfId="26592"/>
    <cellStyle name="20% - Accent1 4 2 4 3 3 2 2" xfId="46346"/>
    <cellStyle name="20% - Accent1 4 2 4 3 3 3" xfId="36702"/>
    <cellStyle name="20% - Accent1 4 2 4 3 4" xfId="21782"/>
    <cellStyle name="20% - Accent1 4 2 4 3 4 2" xfId="41537"/>
    <cellStyle name="20% - Accent1 4 2 4 3 5" xfId="31893"/>
    <cellStyle name="20% - Accent1 4 2 4 4" xfId="1576"/>
    <cellStyle name="20% - Accent1 4 2 4 4 2" xfId="16878"/>
    <cellStyle name="20% - Accent1 4 2 4 4 2 2" xfId="26594"/>
    <cellStyle name="20% - Accent1 4 2 4 4 2 2 2" xfId="46348"/>
    <cellStyle name="20% - Accent1 4 2 4 4 2 3" xfId="36704"/>
    <cellStyle name="20% - Accent1 4 2 4 4 3" xfId="21784"/>
    <cellStyle name="20% - Accent1 4 2 4 4 3 2" xfId="41539"/>
    <cellStyle name="20% - Accent1 4 2 4 4 4" xfId="31895"/>
    <cellStyle name="20% - Accent1 4 2 4 5" xfId="16029"/>
    <cellStyle name="20% - Accent1 4 2 4 5 2" xfId="25745"/>
    <cellStyle name="20% - Accent1 4 2 4 5 2 2" xfId="45499"/>
    <cellStyle name="20% - Accent1 4 2 4 5 3" xfId="35855"/>
    <cellStyle name="20% - Accent1 4 2 4 6" xfId="20935"/>
    <cellStyle name="20% - Accent1 4 2 4 6 2" xfId="40690"/>
    <cellStyle name="20% - Accent1 4 2 4 7" xfId="31046"/>
    <cellStyle name="20% - Accent1 4 2 5" xfId="1577"/>
    <cellStyle name="20% - Accent1 4 2 5 2" xfId="1578"/>
    <cellStyle name="20% - Accent1 4 2 5 2 2" xfId="1579"/>
    <cellStyle name="20% - Accent1 4 2 5 2 2 2" xfId="1580"/>
    <cellStyle name="20% - Accent1 4 2 5 2 2 2 2" xfId="16882"/>
    <cellStyle name="20% - Accent1 4 2 5 2 2 2 2 2" xfId="26598"/>
    <cellStyle name="20% - Accent1 4 2 5 2 2 2 2 2 2" xfId="46352"/>
    <cellStyle name="20% - Accent1 4 2 5 2 2 2 2 3" xfId="36708"/>
    <cellStyle name="20% - Accent1 4 2 5 2 2 2 3" xfId="21788"/>
    <cellStyle name="20% - Accent1 4 2 5 2 2 2 3 2" xfId="41543"/>
    <cellStyle name="20% - Accent1 4 2 5 2 2 2 4" xfId="31899"/>
    <cellStyle name="20% - Accent1 4 2 5 2 2 3" xfId="16881"/>
    <cellStyle name="20% - Accent1 4 2 5 2 2 3 2" xfId="26597"/>
    <cellStyle name="20% - Accent1 4 2 5 2 2 3 2 2" xfId="46351"/>
    <cellStyle name="20% - Accent1 4 2 5 2 2 3 3" xfId="36707"/>
    <cellStyle name="20% - Accent1 4 2 5 2 2 4" xfId="21787"/>
    <cellStyle name="20% - Accent1 4 2 5 2 2 4 2" xfId="41542"/>
    <cellStyle name="20% - Accent1 4 2 5 2 2 5" xfId="31898"/>
    <cellStyle name="20% - Accent1 4 2 5 2 3" xfId="1581"/>
    <cellStyle name="20% - Accent1 4 2 5 2 3 2" xfId="16883"/>
    <cellStyle name="20% - Accent1 4 2 5 2 3 2 2" xfId="26599"/>
    <cellStyle name="20% - Accent1 4 2 5 2 3 2 2 2" xfId="46353"/>
    <cellStyle name="20% - Accent1 4 2 5 2 3 2 3" xfId="36709"/>
    <cellStyle name="20% - Accent1 4 2 5 2 3 3" xfId="21789"/>
    <cellStyle name="20% - Accent1 4 2 5 2 3 3 2" xfId="41544"/>
    <cellStyle name="20% - Accent1 4 2 5 2 3 4" xfId="31900"/>
    <cellStyle name="20% - Accent1 4 2 5 2 4" xfId="16880"/>
    <cellStyle name="20% - Accent1 4 2 5 2 4 2" xfId="26596"/>
    <cellStyle name="20% - Accent1 4 2 5 2 4 2 2" xfId="46350"/>
    <cellStyle name="20% - Accent1 4 2 5 2 4 3" xfId="36706"/>
    <cellStyle name="20% - Accent1 4 2 5 2 5" xfId="21786"/>
    <cellStyle name="20% - Accent1 4 2 5 2 5 2" xfId="41541"/>
    <cellStyle name="20% - Accent1 4 2 5 2 6" xfId="31897"/>
    <cellStyle name="20% - Accent1 4 2 5 3" xfId="1582"/>
    <cellStyle name="20% - Accent1 4 2 5 3 2" xfId="1583"/>
    <cellStyle name="20% - Accent1 4 2 5 3 2 2" xfId="16885"/>
    <cellStyle name="20% - Accent1 4 2 5 3 2 2 2" xfId="26601"/>
    <cellStyle name="20% - Accent1 4 2 5 3 2 2 2 2" xfId="46355"/>
    <cellStyle name="20% - Accent1 4 2 5 3 2 2 3" xfId="36711"/>
    <cellStyle name="20% - Accent1 4 2 5 3 2 3" xfId="21791"/>
    <cellStyle name="20% - Accent1 4 2 5 3 2 3 2" xfId="41546"/>
    <cellStyle name="20% - Accent1 4 2 5 3 2 4" xfId="31902"/>
    <cellStyle name="20% - Accent1 4 2 5 3 3" xfId="16884"/>
    <cellStyle name="20% - Accent1 4 2 5 3 3 2" xfId="26600"/>
    <cellStyle name="20% - Accent1 4 2 5 3 3 2 2" xfId="46354"/>
    <cellStyle name="20% - Accent1 4 2 5 3 3 3" xfId="36710"/>
    <cellStyle name="20% - Accent1 4 2 5 3 4" xfId="21790"/>
    <cellStyle name="20% - Accent1 4 2 5 3 4 2" xfId="41545"/>
    <cellStyle name="20% - Accent1 4 2 5 3 5" xfId="31901"/>
    <cellStyle name="20% - Accent1 4 2 5 4" xfId="1584"/>
    <cellStyle name="20% - Accent1 4 2 5 4 2" xfId="16886"/>
    <cellStyle name="20% - Accent1 4 2 5 4 2 2" xfId="26602"/>
    <cellStyle name="20% - Accent1 4 2 5 4 2 2 2" xfId="46356"/>
    <cellStyle name="20% - Accent1 4 2 5 4 2 3" xfId="36712"/>
    <cellStyle name="20% - Accent1 4 2 5 4 3" xfId="21792"/>
    <cellStyle name="20% - Accent1 4 2 5 4 3 2" xfId="41547"/>
    <cellStyle name="20% - Accent1 4 2 5 4 4" xfId="31903"/>
    <cellStyle name="20% - Accent1 4 2 5 5" xfId="16879"/>
    <cellStyle name="20% - Accent1 4 2 5 5 2" xfId="26595"/>
    <cellStyle name="20% - Accent1 4 2 5 5 2 2" xfId="46349"/>
    <cellStyle name="20% - Accent1 4 2 5 5 3" xfId="36705"/>
    <cellStyle name="20% - Accent1 4 2 5 6" xfId="21785"/>
    <cellStyle name="20% - Accent1 4 2 5 6 2" xfId="41540"/>
    <cellStyle name="20% - Accent1 4 2 5 7" xfId="31896"/>
    <cellStyle name="20% - Accent1 4 2 6" xfId="1585"/>
    <cellStyle name="20% - Accent1 4 2 6 2" xfId="1586"/>
    <cellStyle name="20% - Accent1 4 2 6 2 2" xfId="1587"/>
    <cellStyle name="20% - Accent1 4 2 6 2 2 2" xfId="16889"/>
    <cellStyle name="20% - Accent1 4 2 6 2 2 2 2" xfId="26605"/>
    <cellStyle name="20% - Accent1 4 2 6 2 2 2 2 2" xfId="46359"/>
    <cellStyle name="20% - Accent1 4 2 6 2 2 2 3" xfId="36715"/>
    <cellStyle name="20% - Accent1 4 2 6 2 2 3" xfId="21795"/>
    <cellStyle name="20% - Accent1 4 2 6 2 2 3 2" xfId="41550"/>
    <cellStyle name="20% - Accent1 4 2 6 2 2 4" xfId="31906"/>
    <cellStyle name="20% - Accent1 4 2 6 2 3" xfId="16888"/>
    <cellStyle name="20% - Accent1 4 2 6 2 3 2" xfId="26604"/>
    <cellStyle name="20% - Accent1 4 2 6 2 3 2 2" xfId="46358"/>
    <cellStyle name="20% - Accent1 4 2 6 2 3 3" xfId="36714"/>
    <cellStyle name="20% - Accent1 4 2 6 2 4" xfId="21794"/>
    <cellStyle name="20% - Accent1 4 2 6 2 4 2" xfId="41549"/>
    <cellStyle name="20% - Accent1 4 2 6 2 5" xfId="31905"/>
    <cellStyle name="20% - Accent1 4 2 6 3" xfId="1588"/>
    <cellStyle name="20% - Accent1 4 2 6 3 2" xfId="16890"/>
    <cellStyle name="20% - Accent1 4 2 6 3 2 2" xfId="26606"/>
    <cellStyle name="20% - Accent1 4 2 6 3 2 2 2" xfId="46360"/>
    <cellStyle name="20% - Accent1 4 2 6 3 2 3" xfId="36716"/>
    <cellStyle name="20% - Accent1 4 2 6 3 3" xfId="21796"/>
    <cellStyle name="20% - Accent1 4 2 6 3 3 2" xfId="41551"/>
    <cellStyle name="20% - Accent1 4 2 6 3 4" xfId="31907"/>
    <cellStyle name="20% - Accent1 4 2 6 4" xfId="16887"/>
    <cellStyle name="20% - Accent1 4 2 6 4 2" xfId="26603"/>
    <cellStyle name="20% - Accent1 4 2 6 4 2 2" xfId="46357"/>
    <cellStyle name="20% - Accent1 4 2 6 4 3" xfId="36713"/>
    <cellStyle name="20% - Accent1 4 2 6 5" xfId="21793"/>
    <cellStyle name="20% - Accent1 4 2 6 5 2" xfId="41548"/>
    <cellStyle name="20% - Accent1 4 2 6 6" xfId="31904"/>
    <cellStyle name="20% - Accent1 4 2 7" xfId="1589"/>
    <cellStyle name="20% - Accent1 4 2 7 2" xfId="1590"/>
    <cellStyle name="20% - Accent1 4 2 7 2 2" xfId="16892"/>
    <cellStyle name="20% - Accent1 4 2 7 2 2 2" xfId="26608"/>
    <cellStyle name="20% - Accent1 4 2 7 2 2 2 2" xfId="46362"/>
    <cellStyle name="20% - Accent1 4 2 7 2 2 3" xfId="36718"/>
    <cellStyle name="20% - Accent1 4 2 7 2 3" xfId="21798"/>
    <cellStyle name="20% - Accent1 4 2 7 2 3 2" xfId="41553"/>
    <cellStyle name="20% - Accent1 4 2 7 2 4" xfId="31909"/>
    <cellStyle name="20% - Accent1 4 2 7 3" xfId="16891"/>
    <cellStyle name="20% - Accent1 4 2 7 3 2" xfId="26607"/>
    <cellStyle name="20% - Accent1 4 2 7 3 2 2" xfId="46361"/>
    <cellStyle name="20% - Accent1 4 2 7 3 3" xfId="36717"/>
    <cellStyle name="20% - Accent1 4 2 7 4" xfId="21797"/>
    <cellStyle name="20% - Accent1 4 2 7 4 2" xfId="41552"/>
    <cellStyle name="20% - Accent1 4 2 7 5" xfId="31908"/>
    <cellStyle name="20% - Accent1 4 2 8" xfId="1591"/>
    <cellStyle name="20% - Accent1 4 2 8 2" xfId="1592"/>
    <cellStyle name="20% - Accent1 4 2 8 2 2" xfId="16894"/>
    <cellStyle name="20% - Accent1 4 2 8 2 2 2" xfId="26610"/>
    <cellStyle name="20% - Accent1 4 2 8 2 2 2 2" xfId="46364"/>
    <cellStyle name="20% - Accent1 4 2 8 2 2 3" xfId="36720"/>
    <cellStyle name="20% - Accent1 4 2 8 2 3" xfId="21800"/>
    <cellStyle name="20% - Accent1 4 2 8 2 3 2" xfId="41555"/>
    <cellStyle name="20% - Accent1 4 2 8 2 4" xfId="31911"/>
    <cellStyle name="20% - Accent1 4 2 8 3" xfId="16893"/>
    <cellStyle name="20% - Accent1 4 2 8 3 2" xfId="26609"/>
    <cellStyle name="20% - Accent1 4 2 8 3 2 2" xfId="46363"/>
    <cellStyle name="20% - Accent1 4 2 8 3 3" xfId="36719"/>
    <cellStyle name="20% - Accent1 4 2 8 4" xfId="21799"/>
    <cellStyle name="20% - Accent1 4 2 8 4 2" xfId="41554"/>
    <cellStyle name="20% - Accent1 4 2 8 5" xfId="31910"/>
    <cellStyle name="20% - Accent1 4 2 9" xfId="1593"/>
    <cellStyle name="20% - Accent1 4 2 9 2" xfId="16895"/>
    <cellStyle name="20% - Accent1 4 2 9 2 2" xfId="26611"/>
    <cellStyle name="20% - Accent1 4 2 9 2 2 2" xfId="46365"/>
    <cellStyle name="20% - Accent1 4 2 9 2 3" xfId="36721"/>
    <cellStyle name="20% - Accent1 4 2 9 3" xfId="21801"/>
    <cellStyle name="20% - Accent1 4 2 9 3 2" xfId="41556"/>
    <cellStyle name="20% - Accent1 4 2 9 4" xfId="31912"/>
    <cellStyle name="20% - Accent1 4 3" xfId="11"/>
    <cellStyle name="20% - Accent1 4 3 10" xfId="15360"/>
    <cellStyle name="20% - Accent1 4 3 10 2" xfId="20232"/>
    <cellStyle name="20% - Accent1 4 3 10 2 2" xfId="29946"/>
    <cellStyle name="20% - Accent1 4 3 10 2 2 2" xfId="49699"/>
    <cellStyle name="20% - Accent1 4 3 10 2 3" xfId="40055"/>
    <cellStyle name="20% - Accent1 4 3 10 3" xfId="25134"/>
    <cellStyle name="20% - Accent1 4 3 10 3 2" xfId="44888"/>
    <cellStyle name="20% - Accent1 4 3 10 4" xfId="35244"/>
    <cellStyle name="20% - Accent1 4 3 11" xfId="15818"/>
    <cellStyle name="20% - Accent1 4 3 11 2" xfId="25534"/>
    <cellStyle name="20% - Accent1 4 3 11 2 2" xfId="45288"/>
    <cellStyle name="20% - Accent1 4 3 11 3" xfId="35644"/>
    <cellStyle name="20% - Accent1 4 3 12" xfId="20690"/>
    <cellStyle name="20% - Accent1 4 3 12 2" xfId="40470"/>
    <cellStyle name="20% - Accent1 4 3 13" xfId="30378"/>
    <cellStyle name="20% - Accent1 4 3 13 2" xfId="50126"/>
    <cellStyle name="20% - Accent1 4 3 14" xfId="30801"/>
    <cellStyle name="20% - Accent1 4 3 2" xfId="683"/>
    <cellStyle name="20% - Accent1 4 3 2 2" xfId="1594"/>
    <cellStyle name="20% - Accent1 4 3 2 2 2" xfId="1595"/>
    <cellStyle name="20% - Accent1 4 3 2 2 2 2" xfId="1596"/>
    <cellStyle name="20% - Accent1 4 3 2 2 2 2 2" xfId="16898"/>
    <cellStyle name="20% - Accent1 4 3 2 2 2 2 2 2" xfId="26614"/>
    <cellStyle name="20% - Accent1 4 3 2 2 2 2 2 2 2" xfId="46368"/>
    <cellStyle name="20% - Accent1 4 3 2 2 2 2 2 3" xfId="36724"/>
    <cellStyle name="20% - Accent1 4 3 2 2 2 2 3" xfId="21804"/>
    <cellStyle name="20% - Accent1 4 3 2 2 2 2 3 2" xfId="41559"/>
    <cellStyle name="20% - Accent1 4 3 2 2 2 2 4" xfId="31915"/>
    <cellStyle name="20% - Accent1 4 3 2 2 2 3" xfId="16897"/>
    <cellStyle name="20% - Accent1 4 3 2 2 2 3 2" xfId="26613"/>
    <cellStyle name="20% - Accent1 4 3 2 2 2 3 2 2" xfId="46367"/>
    <cellStyle name="20% - Accent1 4 3 2 2 2 3 3" xfId="36723"/>
    <cellStyle name="20% - Accent1 4 3 2 2 2 4" xfId="21803"/>
    <cellStyle name="20% - Accent1 4 3 2 2 2 4 2" xfId="41558"/>
    <cellStyle name="20% - Accent1 4 3 2 2 2 5" xfId="31914"/>
    <cellStyle name="20% - Accent1 4 3 2 2 3" xfId="1597"/>
    <cellStyle name="20% - Accent1 4 3 2 2 3 2" xfId="16899"/>
    <cellStyle name="20% - Accent1 4 3 2 2 3 2 2" xfId="26615"/>
    <cellStyle name="20% - Accent1 4 3 2 2 3 2 2 2" xfId="46369"/>
    <cellStyle name="20% - Accent1 4 3 2 2 3 2 3" xfId="36725"/>
    <cellStyle name="20% - Accent1 4 3 2 2 3 3" xfId="21805"/>
    <cellStyle name="20% - Accent1 4 3 2 2 3 3 2" xfId="41560"/>
    <cellStyle name="20% - Accent1 4 3 2 2 3 4" xfId="31916"/>
    <cellStyle name="20% - Accent1 4 3 2 2 4" xfId="16896"/>
    <cellStyle name="20% - Accent1 4 3 2 2 4 2" xfId="26612"/>
    <cellStyle name="20% - Accent1 4 3 2 2 4 2 2" xfId="46366"/>
    <cellStyle name="20% - Accent1 4 3 2 2 4 3" xfId="36722"/>
    <cellStyle name="20% - Accent1 4 3 2 2 5" xfId="21802"/>
    <cellStyle name="20% - Accent1 4 3 2 2 5 2" xfId="41557"/>
    <cellStyle name="20% - Accent1 4 3 2 2 6" xfId="31913"/>
    <cellStyle name="20% - Accent1 4 3 2 3" xfId="1598"/>
    <cellStyle name="20% - Accent1 4 3 2 3 2" xfId="1599"/>
    <cellStyle name="20% - Accent1 4 3 2 3 2 2" xfId="16901"/>
    <cellStyle name="20% - Accent1 4 3 2 3 2 2 2" xfId="26617"/>
    <cellStyle name="20% - Accent1 4 3 2 3 2 2 2 2" xfId="46371"/>
    <cellStyle name="20% - Accent1 4 3 2 3 2 2 3" xfId="36727"/>
    <cellStyle name="20% - Accent1 4 3 2 3 2 3" xfId="21807"/>
    <cellStyle name="20% - Accent1 4 3 2 3 2 3 2" xfId="41562"/>
    <cellStyle name="20% - Accent1 4 3 2 3 2 4" xfId="31918"/>
    <cellStyle name="20% - Accent1 4 3 2 3 3" xfId="16900"/>
    <cellStyle name="20% - Accent1 4 3 2 3 3 2" xfId="26616"/>
    <cellStyle name="20% - Accent1 4 3 2 3 3 2 2" xfId="46370"/>
    <cellStyle name="20% - Accent1 4 3 2 3 3 3" xfId="36726"/>
    <cellStyle name="20% - Accent1 4 3 2 3 4" xfId="21806"/>
    <cellStyle name="20% - Accent1 4 3 2 3 4 2" xfId="41561"/>
    <cellStyle name="20% - Accent1 4 3 2 3 5" xfId="31917"/>
    <cellStyle name="20% - Accent1 4 3 2 4" xfId="1600"/>
    <cellStyle name="20% - Accent1 4 3 2 4 2" xfId="16902"/>
    <cellStyle name="20% - Accent1 4 3 2 4 2 2" xfId="26618"/>
    <cellStyle name="20% - Accent1 4 3 2 4 2 2 2" xfId="46372"/>
    <cellStyle name="20% - Accent1 4 3 2 4 2 3" xfId="36728"/>
    <cellStyle name="20% - Accent1 4 3 2 4 3" xfId="21808"/>
    <cellStyle name="20% - Accent1 4 3 2 4 3 2" xfId="41563"/>
    <cellStyle name="20% - Accent1 4 3 2 4 4" xfId="31919"/>
    <cellStyle name="20% - Accent1 4 3 2 5" xfId="15361"/>
    <cellStyle name="20% - Accent1 4 3 2 5 2" xfId="20233"/>
    <cellStyle name="20% - Accent1 4 3 2 5 2 2" xfId="29947"/>
    <cellStyle name="20% - Accent1 4 3 2 5 2 2 2" xfId="49700"/>
    <cellStyle name="20% - Accent1 4 3 2 5 2 3" xfId="40056"/>
    <cellStyle name="20% - Accent1 4 3 2 5 3" xfId="25135"/>
    <cellStyle name="20% - Accent1 4 3 2 5 3 2" xfId="44889"/>
    <cellStyle name="20% - Accent1 4 3 2 5 4" xfId="35245"/>
    <cellStyle name="20% - Accent1 4 3 2 6" xfId="16030"/>
    <cellStyle name="20% - Accent1 4 3 2 6 2" xfId="25746"/>
    <cellStyle name="20% - Accent1 4 3 2 6 2 2" xfId="45500"/>
    <cellStyle name="20% - Accent1 4 3 2 6 3" xfId="35856"/>
    <cellStyle name="20% - Accent1 4 3 2 7" xfId="20936"/>
    <cellStyle name="20% - Accent1 4 3 2 7 2" xfId="40691"/>
    <cellStyle name="20% - Accent1 4 3 2 8" xfId="30379"/>
    <cellStyle name="20% - Accent1 4 3 2 8 2" xfId="50127"/>
    <cellStyle name="20% - Accent1 4 3 2 9" xfId="31047"/>
    <cellStyle name="20% - Accent1 4 3 3" xfId="684"/>
    <cellStyle name="20% - Accent1 4 3 3 2" xfId="1601"/>
    <cellStyle name="20% - Accent1 4 3 3 2 2" xfId="1602"/>
    <cellStyle name="20% - Accent1 4 3 3 2 2 2" xfId="1603"/>
    <cellStyle name="20% - Accent1 4 3 3 2 2 2 2" xfId="16905"/>
    <cellStyle name="20% - Accent1 4 3 3 2 2 2 2 2" xfId="26621"/>
    <cellStyle name="20% - Accent1 4 3 3 2 2 2 2 2 2" xfId="46375"/>
    <cellStyle name="20% - Accent1 4 3 3 2 2 2 2 3" xfId="36731"/>
    <cellStyle name="20% - Accent1 4 3 3 2 2 2 3" xfId="21811"/>
    <cellStyle name="20% - Accent1 4 3 3 2 2 2 3 2" xfId="41566"/>
    <cellStyle name="20% - Accent1 4 3 3 2 2 2 4" xfId="31922"/>
    <cellStyle name="20% - Accent1 4 3 3 2 2 3" xfId="16904"/>
    <cellStyle name="20% - Accent1 4 3 3 2 2 3 2" xfId="26620"/>
    <cellStyle name="20% - Accent1 4 3 3 2 2 3 2 2" xfId="46374"/>
    <cellStyle name="20% - Accent1 4 3 3 2 2 3 3" xfId="36730"/>
    <cellStyle name="20% - Accent1 4 3 3 2 2 4" xfId="21810"/>
    <cellStyle name="20% - Accent1 4 3 3 2 2 4 2" xfId="41565"/>
    <cellStyle name="20% - Accent1 4 3 3 2 2 5" xfId="31921"/>
    <cellStyle name="20% - Accent1 4 3 3 2 3" xfId="1604"/>
    <cellStyle name="20% - Accent1 4 3 3 2 3 2" xfId="16906"/>
    <cellStyle name="20% - Accent1 4 3 3 2 3 2 2" xfId="26622"/>
    <cellStyle name="20% - Accent1 4 3 3 2 3 2 2 2" xfId="46376"/>
    <cellStyle name="20% - Accent1 4 3 3 2 3 2 3" xfId="36732"/>
    <cellStyle name="20% - Accent1 4 3 3 2 3 3" xfId="21812"/>
    <cellStyle name="20% - Accent1 4 3 3 2 3 3 2" xfId="41567"/>
    <cellStyle name="20% - Accent1 4 3 3 2 3 4" xfId="31923"/>
    <cellStyle name="20% - Accent1 4 3 3 2 4" xfId="16903"/>
    <cellStyle name="20% - Accent1 4 3 3 2 4 2" xfId="26619"/>
    <cellStyle name="20% - Accent1 4 3 3 2 4 2 2" xfId="46373"/>
    <cellStyle name="20% - Accent1 4 3 3 2 4 3" xfId="36729"/>
    <cellStyle name="20% - Accent1 4 3 3 2 5" xfId="21809"/>
    <cellStyle name="20% - Accent1 4 3 3 2 5 2" xfId="41564"/>
    <cellStyle name="20% - Accent1 4 3 3 2 6" xfId="31920"/>
    <cellStyle name="20% - Accent1 4 3 3 3" xfId="1605"/>
    <cellStyle name="20% - Accent1 4 3 3 3 2" xfId="1606"/>
    <cellStyle name="20% - Accent1 4 3 3 3 2 2" xfId="16908"/>
    <cellStyle name="20% - Accent1 4 3 3 3 2 2 2" xfId="26624"/>
    <cellStyle name="20% - Accent1 4 3 3 3 2 2 2 2" xfId="46378"/>
    <cellStyle name="20% - Accent1 4 3 3 3 2 2 3" xfId="36734"/>
    <cellStyle name="20% - Accent1 4 3 3 3 2 3" xfId="21814"/>
    <cellStyle name="20% - Accent1 4 3 3 3 2 3 2" xfId="41569"/>
    <cellStyle name="20% - Accent1 4 3 3 3 2 4" xfId="31925"/>
    <cellStyle name="20% - Accent1 4 3 3 3 3" xfId="16907"/>
    <cellStyle name="20% - Accent1 4 3 3 3 3 2" xfId="26623"/>
    <cellStyle name="20% - Accent1 4 3 3 3 3 2 2" xfId="46377"/>
    <cellStyle name="20% - Accent1 4 3 3 3 3 3" xfId="36733"/>
    <cellStyle name="20% - Accent1 4 3 3 3 4" xfId="21813"/>
    <cellStyle name="20% - Accent1 4 3 3 3 4 2" xfId="41568"/>
    <cellStyle name="20% - Accent1 4 3 3 3 5" xfId="31924"/>
    <cellStyle name="20% - Accent1 4 3 3 4" xfId="1607"/>
    <cellStyle name="20% - Accent1 4 3 3 4 2" xfId="16909"/>
    <cellStyle name="20% - Accent1 4 3 3 4 2 2" xfId="26625"/>
    <cellStyle name="20% - Accent1 4 3 3 4 2 2 2" xfId="46379"/>
    <cellStyle name="20% - Accent1 4 3 3 4 2 3" xfId="36735"/>
    <cellStyle name="20% - Accent1 4 3 3 4 3" xfId="21815"/>
    <cellStyle name="20% - Accent1 4 3 3 4 3 2" xfId="41570"/>
    <cellStyle name="20% - Accent1 4 3 3 4 4" xfId="31926"/>
    <cellStyle name="20% - Accent1 4 3 3 5" xfId="16031"/>
    <cellStyle name="20% - Accent1 4 3 3 5 2" xfId="25747"/>
    <cellStyle name="20% - Accent1 4 3 3 5 2 2" xfId="45501"/>
    <cellStyle name="20% - Accent1 4 3 3 5 3" xfId="35857"/>
    <cellStyle name="20% - Accent1 4 3 3 6" xfId="20937"/>
    <cellStyle name="20% - Accent1 4 3 3 6 2" xfId="40692"/>
    <cellStyle name="20% - Accent1 4 3 3 7" xfId="31048"/>
    <cellStyle name="20% - Accent1 4 3 4" xfId="1608"/>
    <cellStyle name="20% - Accent1 4 3 4 2" xfId="1609"/>
    <cellStyle name="20% - Accent1 4 3 4 2 2" xfId="1610"/>
    <cellStyle name="20% - Accent1 4 3 4 2 2 2" xfId="1611"/>
    <cellStyle name="20% - Accent1 4 3 4 2 2 2 2" xfId="16913"/>
    <cellStyle name="20% - Accent1 4 3 4 2 2 2 2 2" xfId="26629"/>
    <cellStyle name="20% - Accent1 4 3 4 2 2 2 2 2 2" xfId="46383"/>
    <cellStyle name="20% - Accent1 4 3 4 2 2 2 2 3" xfId="36739"/>
    <cellStyle name="20% - Accent1 4 3 4 2 2 2 3" xfId="21819"/>
    <cellStyle name="20% - Accent1 4 3 4 2 2 2 3 2" xfId="41574"/>
    <cellStyle name="20% - Accent1 4 3 4 2 2 2 4" xfId="31930"/>
    <cellStyle name="20% - Accent1 4 3 4 2 2 3" xfId="16912"/>
    <cellStyle name="20% - Accent1 4 3 4 2 2 3 2" xfId="26628"/>
    <cellStyle name="20% - Accent1 4 3 4 2 2 3 2 2" xfId="46382"/>
    <cellStyle name="20% - Accent1 4 3 4 2 2 3 3" xfId="36738"/>
    <cellStyle name="20% - Accent1 4 3 4 2 2 4" xfId="21818"/>
    <cellStyle name="20% - Accent1 4 3 4 2 2 4 2" xfId="41573"/>
    <cellStyle name="20% - Accent1 4 3 4 2 2 5" xfId="31929"/>
    <cellStyle name="20% - Accent1 4 3 4 2 3" xfId="1612"/>
    <cellStyle name="20% - Accent1 4 3 4 2 3 2" xfId="16914"/>
    <cellStyle name="20% - Accent1 4 3 4 2 3 2 2" xfId="26630"/>
    <cellStyle name="20% - Accent1 4 3 4 2 3 2 2 2" xfId="46384"/>
    <cellStyle name="20% - Accent1 4 3 4 2 3 2 3" xfId="36740"/>
    <cellStyle name="20% - Accent1 4 3 4 2 3 3" xfId="21820"/>
    <cellStyle name="20% - Accent1 4 3 4 2 3 3 2" xfId="41575"/>
    <cellStyle name="20% - Accent1 4 3 4 2 3 4" xfId="31931"/>
    <cellStyle name="20% - Accent1 4 3 4 2 4" xfId="16911"/>
    <cellStyle name="20% - Accent1 4 3 4 2 4 2" xfId="26627"/>
    <cellStyle name="20% - Accent1 4 3 4 2 4 2 2" xfId="46381"/>
    <cellStyle name="20% - Accent1 4 3 4 2 4 3" xfId="36737"/>
    <cellStyle name="20% - Accent1 4 3 4 2 5" xfId="21817"/>
    <cellStyle name="20% - Accent1 4 3 4 2 5 2" xfId="41572"/>
    <cellStyle name="20% - Accent1 4 3 4 2 6" xfId="31928"/>
    <cellStyle name="20% - Accent1 4 3 4 3" xfId="1613"/>
    <cellStyle name="20% - Accent1 4 3 4 3 2" xfId="1614"/>
    <cellStyle name="20% - Accent1 4 3 4 3 2 2" xfId="16916"/>
    <cellStyle name="20% - Accent1 4 3 4 3 2 2 2" xfId="26632"/>
    <cellStyle name="20% - Accent1 4 3 4 3 2 2 2 2" xfId="46386"/>
    <cellStyle name="20% - Accent1 4 3 4 3 2 2 3" xfId="36742"/>
    <cellStyle name="20% - Accent1 4 3 4 3 2 3" xfId="21822"/>
    <cellStyle name="20% - Accent1 4 3 4 3 2 3 2" xfId="41577"/>
    <cellStyle name="20% - Accent1 4 3 4 3 2 4" xfId="31933"/>
    <cellStyle name="20% - Accent1 4 3 4 3 3" xfId="16915"/>
    <cellStyle name="20% - Accent1 4 3 4 3 3 2" xfId="26631"/>
    <cellStyle name="20% - Accent1 4 3 4 3 3 2 2" xfId="46385"/>
    <cellStyle name="20% - Accent1 4 3 4 3 3 3" xfId="36741"/>
    <cellStyle name="20% - Accent1 4 3 4 3 4" xfId="21821"/>
    <cellStyle name="20% - Accent1 4 3 4 3 4 2" xfId="41576"/>
    <cellStyle name="20% - Accent1 4 3 4 3 5" xfId="31932"/>
    <cellStyle name="20% - Accent1 4 3 4 4" xfId="1615"/>
    <cellStyle name="20% - Accent1 4 3 4 4 2" xfId="16917"/>
    <cellStyle name="20% - Accent1 4 3 4 4 2 2" xfId="26633"/>
    <cellStyle name="20% - Accent1 4 3 4 4 2 2 2" xfId="46387"/>
    <cellStyle name="20% - Accent1 4 3 4 4 2 3" xfId="36743"/>
    <cellStyle name="20% - Accent1 4 3 4 4 3" xfId="21823"/>
    <cellStyle name="20% - Accent1 4 3 4 4 3 2" xfId="41578"/>
    <cellStyle name="20% - Accent1 4 3 4 4 4" xfId="31934"/>
    <cellStyle name="20% - Accent1 4 3 4 5" xfId="16910"/>
    <cellStyle name="20% - Accent1 4 3 4 5 2" xfId="26626"/>
    <cellStyle name="20% - Accent1 4 3 4 5 2 2" xfId="46380"/>
    <cellStyle name="20% - Accent1 4 3 4 5 3" xfId="36736"/>
    <cellStyle name="20% - Accent1 4 3 4 6" xfId="21816"/>
    <cellStyle name="20% - Accent1 4 3 4 6 2" xfId="41571"/>
    <cellStyle name="20% - Accent1 4 3 4 7" xfId="31927"/>
    <cellStyle name="20% - Accent1 4 3 5" xfId="1616"/>
    <cellStyle name="20% - Accent1 4 3 5 2" xfId="1617"/>
    <cellStyle name="20% - Accent1 4 3 5 2 2" xfId="1618"/>
    <cellStyle name="20% - Accent1 4 3 5 2 2 2" xfId="16920"/>
    <cellStyle name="20% - Accent1 4 3 5 2 2 2 2" xfId="26636"/>
    <cellStyle name="20% - Accent1 4 3 5 2 2 2 2 2" xfId="46390"/>
    <cellStyle name="20% - Accent1 4 3 5 2 2 2 3" xfId="36746"/>
    <cellStyle name="20% - Accent1 4 3 5 2 2 3" xfId="21826"/>
    <cellStyle name="20% - Accent1 4 3 5 2 2 3 2" xfId="41581"/>
    <cellStyle name="20% - Accent1 4 3 5 2 2 4" xfId="31937"/>
    <cellStyle name="20% - Accent1 4 3 5 2 3" xfId="16919"/>
    <cellStyle name="20% - Accent1 4 3 5 2 3 2" xfId="26635"/>
    <cellStyle name="20% - Accent1 4 3 5 2 3 2 2" xfId="46389"/>
    <cellStyle name="20% - Accent1 4 3 5 2 3 3" xfId="36745"/>
    <cellStyle name="20% - Accent1 4 3 5 2 4" xfId="21825"/>
    <cellStyle name="20% - Accent1 4 3 5 2 4 2" xfId="41580"/>
    <cellStyle name="20% - Accent1 4 3 5 2 5" xfId="31936"/>
    <cellStyle name="20% - Accent1 4 3 5 3" xfId="1619"/>
    <cellStyle name="20% - Accent1 4 3 5 3 2" xfId="16921"/>
    <cellStyle name="20% - Accent1 4 3 5 3 2 2" xfId="26637"/>
    <cellStyle name="20% - Accent1 4 3 5 3 2 2 2" xfId="46391"/>
    <cellStyle name="20% - Accent1 4 3 5 3 2 3" xfId="36747"/>
    <cellStyle name="20% - Accent1 4 3 5 3 3" xfId="21827"/>
    <cellStyle name="20% - Accent1 4 3 5 3 3 2" xfId="41582"/>
    <cellStyle name="20% - Accent1 4 3 5 3 4" xfId="31938"/>
    <cellStyle name="20% - Accent1 4 3 5 4" xfId="16918"/>
    <cellStyle name="20% - Accent1 4 3 5 4 2" xfId="26634"/>
    <cellStyle name="20% - Accent1 4 3 5 4 2 2" xfId="46388"/>
    <cellStyle name="20% - Accent1 4 3 5 4 3" xfId="36744"/>
    <cellStyle name="20% - Accent1 4 3 5 5" xfId="21824"/>
    <cellStyle name="20% - Accent1 4 3 5 5 2" xfId="41579"/>
    <cellStyle name="20% - Accent1 4 3 5 6" xfId="31935"/>
    <cellStyle name="20% - Accent1 4 3 6" xfId="1620"/>
    <cellStyle name="20% - Accent1 4 3 6 2" xfId="1621"/>
    <cellStyle name="20% - Accent1 4 3 6 2 2" xfId="16923"/>
    <cellStyle name="20% - Accent1 4 3 6 2 2 2" xfId="26639"/>
    <cellStyle name="20% - Accent1 4 3 6 2 2 2 2" xfId="46393"/>
    <cellStyle name="20% - Accent1 4 3 6 2 2 3" xfId="36749"/>
    <cellStyle name="20% - Accent1 4 3 6 2 3" xfId="21829"/>
    <cellStyle name="20% - Accent1 4 3 6 2 3 2" xfId="41584"/>
    <cellStyle name="20% - Accent1 4 3 6 2 4" xfId="31940"/>
    <cellStyle name="20% - Accent1 4 3 6 3" xfId="16922"/>
    <cellStyle name="20% - Accent1 4 3 6 3 2" xfId="26638"/>
    <cellStyle name="20% - Accent1 4 3 6 3 2 2" xfId="46392"/>
    <cellStyle name="20% - Accent1 4 3 6 3 3" xfId="36748"/>
    <cellStyle name="20% - Accent1 4 3 6 4" xfId="21828"/>
    <cellStyle name="20% - Accent1 4 3 6 4 2" xfId="41583"/>
    <cellStyle name="20% - Accent1 4 3 6 5" xfId="31939"/>
    <cellStyle name="20% - Accent1 4 3 7" xfId="1622"/>
    <cellStyle name="20% - Accent1 4 3 7 2" xfId="16924"/>
    <cellStyle name="20% - Accent1 4 3 7 2 2" xfId="26640"/>
    <cellStyle name="20% - Accent1 4 3 7 2 2 2" xfId="46394"/>
    <cellStyle name="20% - Accent1 4 3 7 2 3" xfId="36750"/>
    <cellStyle name="20% - Accent1 4 3 7 3" xfId="21830"/>
    <cellStyle name="20% - Accent1 4 3 7 3 2" xfId="41585"/>
    <cellStyle name="20% - Accent1 4 3 7 4" xfId="31941"/>
    <cellStyle name="20% - Accent1 4 3 8" xfId="1623"/>
    <cellStyle name="20% - Accent1 4 3 8 2" xfId="16925"/>
    <cellStyle name="20% - Accent1 4 3 8 2 2" xfId="26641"/>
    <cellStyle name="20% - Accent1 4 3 8 2 2 2" xfId="46395"/>
    <cellStyle name="20% - Accent1 4 3 8 2 3" xfId="36751"/>
    <cellStyle name="20% - Accent1 4 3 8 3" xfId="21831"/>
    <cellStyle name="20% - Accent1 4 3 8 3 2" xfId="41586"/>
    <cellStyle name="20% - Accent1 4 3 8 4" xfId="31942"/>
    <cellStyle name="20% - Accent1 4 3 9" xfId="1624"/>
    <cellStyle name="20% - Accent1 4 3 9 2" xfId="16926"/>
    <cellStyle name="20% - Accent1 4 3 9 2 2" xfId="26642"/>
    <cellStyle name="20% - Accent1 4 3 9 2 2 2" xfId="46396"/>
    <cellStyle name="20% - Accent1 4 3 9 2 3" xfId="36752"/>
    <cellStyle name="20% - Accent1 4 3 9 3" xfId="21832"/>
    <cellStyle name="20% - Accent1 4 3 9 3 2" xfId="41587"/>
    <cellStyle name="20% - Accent1 4 3 9 4" xfId="31943"/>
    <cellStyle name="20% - Accent1 4 4" xfId="685"/>
    <cellStyle name="20% - Accent1 4 4 2" xfId="1625"/>
    <cellStyle name="20% - Accent1 4 4 2 2" xfId="1626"/>
    <cellStyle name="20% - Accent1 4 4 2 2 2" xfId="1627"/>
    <cellStyle name="20% - Accent1 4 4 2 2 2 2" xfId="16929"/>
    <cellStyle name="20% - Accent1 4 4 2 2 2 2 2" xfId="26645"/>
    <cellStyle name="20% - Accent1 4 4 2 2 2 2 2 2" xfId="46399"/>
    <cellStyle name="20% - Accent1 4 4 2 2 2 2 3" xfId="36755"/>
    <cellStyle name="20% - Accent1 4 4 2 2 2 3" xfId="21835"/>
    <cellStyle name="20% - Accent1 4 4 2 2 2 3 2" xfId="41590"/>
    <cellStyle name="20% - Accent1 4 4 2 2 2 4" xfId="31946"/>
    <cellStyle name="20% - Accent1 4 4 2 2 3" xfId="16928"/>
    <cellStyle name="20% - Accent1 4 4 2 2 3 2" xfId="26644"/>
    <cellStyle name="20% - Accent1 4 4 2 2 3 2 2" xfId="46398"/>
    <cellStyle name="20% - Accent1 4 4 2 2 3 3" xfId="36754"/>
    <cellStyle name="20% - Accent1 4 4 2 2 4" xfId="21834"/>
    <cellStyle name="20% - Accent1 4 4 2 2 4 2" xfId="41589"/>
    <cellStyle name="20% - Accent1 4 4 2 2 5" xfId="31945"/>
    <cellStyle name="20% - Accent1 4 4 2 3" xfId="1628"/>
    <cellStyle name="20% - Accent1 4 4 2 3 2" xfId="16930"/>
    <cellStyle name="20% - Accent1 4 4 2 3 2 2" xfId="26646"/>
    <cellStyle name="20% - Accent1 4 4 2 3 2 2 2" xfId="46400"/>
    <cellStyle name="20% - Accent1 4 4 2 3 2 3" xfId="36756"/>
    <cellStyle name="20% - Accent1 4 4 2 3 3" xfId="21836"/>
    <cellStyle name="20% - Accent1 4 4 2 3 3 2" xfId="41591"/>
    <cellStyle name="20% - Accent1 4 4 2 3 4" xfId="31947"/>
    <cellStyle name="20% - Accent1 4 4 2 4" xfId="16927"/>
    <cellStyle name="20% - Accent1 4 4 2 4 2" xfId="26643"/>
    <cellStyle name="20% - Accent1 4 4 2 4 2 2" xfId="46397"/>
    <cellStyle name="20% - Accent1 4 4 2 4 3" xfId="36753"/>
    <cellStyle name="20% - Accent1 4 4 2 5" xfId="21833"/>
    <cellStyle name="20% - Accent1 4 4 2 5 2" xfId="41588"/>
    <cellStyle name="20% - Accent1 4 4 2 6" xfId="31944"/>
    <cellStyle name="20% - Accent1 4 4 3" xfId="1629"/>
    <cellStyle name="20% - Accent1 4 4 3 2" xfId="1630"/>
    <cellStyle name="20% - Accent1 4 4 3 2 2" xfId="16932"/>
    <cellStyle name="20% - Accent1 4 4 3 2 2 2" xfId="26648"/>
    <cellStyle name="20% - Accent1 4 4 3 2 2 2 2" xfId="46402"/>
    <cellStyle name="20% - Accent1 4 4 3 2 2 3" xfId="36758"/>
    <cellStyle name="20% - Accent1 4 4 3 2 3" xfId="21838"/>
    <cellStyle name="20% - Accent1 4 4 3 2 3 2" xfId="41593"/>
    <cellStyle name="20% - Accent1 4 4 3 2 4" xfId="31949"/>
    <cellStyle name="20% - Accent1 4 4 3 3" xfId="16931"/>
    <cellStyle name="20% - Accent1 4 4 3 3 2" xfId="26647"/>
    <cellStyle name="20% - Accent1 4 4 3 3 2 2" xfId="46401"/>
    <cellStyle name="20% - Accent1 4 4 3 3 3" xfId="36757"/>
    <cellStyle name="20% - Accent1 4 4 3 4" xfId="21837"/>
    <cellStyle name="20% - Accent1 4 4 3 4 2" xfId="41592"/>
    <cellStyle name="20% - Accent1 4 4 3 5" xfId="31948"/>
    <cellStyle name="20% - Accent1 4 4 4" xfId="1631"/>
    <cellStyle name="20% - Accent1 4 4 4 2" xfId="16933"/>
    <cellStyle name="20% - Accent1 4 4 4 2 2" xfId="26649"/>
    <cellStyle name="20% - Accent1 4 4 4 2 2 2" xfId="46403"/>
    <cellStyle name="20% - Accent1 4 4 4 2 3" xfId="36759"/>
    <cellStyle name="20% - Accent1 4 4 4 3" xfId="21839"/>
    <cellStyle name="20% - Accent1 4 4 4 3 2" xfId="41594"/>
    <cellStyle name="20% - Accent1 4 4 4 4" xfId="31950"/>
    <cellStyle name="20% - Accent1 4 4 5" xfId="15362"/>
    <cellStyle name="20% - Accent1 4 4 5 2" xfId="20234"/>
    <cellStyle name="20% - Accent1 4 4 5 2 2" xfId="29948"/>
    <cellStyle name="20% - Accent1 4 4 5 2 2 2" xfId="49701"/>
    <cellStyle name="20% - Accent1 4 4 5 2 3" xfId="40057"/>
    <cellStyle name="20% - Accent1 4 4 5 3" xfId="25136"/>
    <cellStyle name="20% - Accent1 4 4 5 3 2" xfId="44890"/>
    <cellStyle name="20% - Accent1 4 4 5 4" xfId="35246"/>
    <cellStyle name="20% - Accent1 4 4 6" xfId="16032"/>
    <cellStyle name="20% - Accent1 4 4 6 2" xfId="25748"/>
    <cellStyle name="20% - Accent1 4 4 6 2 2" xfId="45502"/>
    <cellStyle name="20% - Accent1 4 4 6 3" xfId="35858"/>
    <cellStyle name="20% - Accent1 4 4 7" xfId="20938"/>
    <cellStyle name="20% - Accent1 4 4 7 2" xfId="40693"/>
    <cellStyle name="20% - Accent1 4 4 8" xfId="30380"/>
    <cellStyle name="20% - Accent1 4 4 8 2" xfId="50128"/>
    <cellStyle name="20% - Accent1 4 4 9" xfId="31049"/>
    <cellStyle name="20% - Accent1 4 5" xfId="686"/>
    <cellStyle name="20% - Accent1 4 5 2" xfId="1632"/>
    <cellStyle name="20% - Accent1 4 5 2 2" xfId="1633"/>
    <cellStyle name="20% - Accent1 4 5 2 2 2" xfId="1634"/>
    <cellStyle name="20% - Accent1 4 5 2 2 2 2" xfId="16936"/>
    <cellStyle name="20% - Accent1 4 5 2 2 2 2 2" xfId="26652"/>
    <cellStyle name="20% - Accent1 4 5 2 2 2 2 2 2" xfId="46406"/>
    <cellStyle name="20% - Accent1 4 5 2 2 2 2 3" xfId="36762"/>
    <cellStyle name="20% - Accent1 4 5 2 2 2 3" xfId="21842"/>
    <cellStyle name="20% - Accent1 4 5 2 2 2 3 2" xfId="41597"/>
    <cellStyle name="20% - Accent1 4 5 2 2 2 4" xfId="31953"/>
    <cellStyle name="20% - Accent1 4 5 2 2 3" xfId="16935"/>
    <cellStyle name="20% - Accent1 4 5 2 2 3 2" xfId="26651"/>
    <cellStyle name="20% - Accent1 4 5 2 2 3 2 2" xfId="46405"/>
    <cellStyle name="20% - Accent1 4 5 2 2 3 3" xfId="36761"/>
    <cellStyle name="20% - Accent1 4 5 2 2 4" xfId="21841"/>
    <cellStyle name="20% - Accent1 4 5 2 2 4 2" xfId="41596"/>
    <cellStyle name="20% - Accent1 4 5 2 2 5" xfId="31952"/>
    <cellStyle name="20% - Accent1 4 5 2 3" xfId="1635"/>
    <cellStyle name="20% - Accent1 4 5 2 3 2" xfId="16937"/>
    <cellStyle name="20% - Accent1 4 5 2 3 2 2" xfId="26653"/>
    <cellStyle name="20% - Accent1 4 5 2 3 2 2 2" xfId="46407"/>
    <cellStyle name="20% - Accent1 4 5 2 3 2 3" xfId="36763"/>
    <cellStyle name="20% - Accent1 4 5 2 3 3" xfId="21843"/>
    <cellStyle name="20% - Accent1 4 5 2 3 3 2" xfId="41598"/>
    <cellStyle name="20% - Accent1 4 5 2 3 4" xfId="31954"/>
    <cellStyle name="20% - Accent1 4 5 2 4" xfId="16934"/>
    <cellStyle name="20% - Accent1 4 5 2 4 2" xfId="26650"/>
    <cellStyle name="20% - Accent1 4 5 2 4 2 2" xfId="46404"/>
    <cellStyle name="20% - Accent1 4 5 2 4 3" xfId="36760"/>
    <cellStyle name="20% - Accent1 4 5 2 5" xfId="21840"/>
    <cellStyle name="20% - Accent1 4 5 2 5 2" xfId="41595"/>
    <cellStyle name="20% - Accent1 4 5 2 6" xfId="31951"/>
    <cellStyle name="20% - Accent1 4 5 3" xfId="1636"/>
    <cellStyle name="20% - Accent1 4 5 3 2" xfId="1637"/>
    <cellStyle name="20% - Accent1 4 5 3 2 2" xfId="16939"/>
    <cellStyle name="20% - Accent1 4 5 3 2 2 2" xfId="26655"/>
    <cellStyle name="20% - Accent1 4 5 3 2 2 2 2" xfId="46409"/>
    <cellStyle name="20% - Accent1 4 5 3 2 2 3" xfId="36765"/>
    <cellStyle name="20% - Accent1 4 5 3 2 3" xfId="21845"/>
    <cellStyle name="20% - Accent1 4 5 3 2 3 2" xfId="41600"/>
    <cellStyle name="20% - Accent1 4 5 3 2 4" xfId="31956"/>
    <cellStyle name="20% - Accent1 4 5 3 3" xfId="16938"/>
    <cellStyle name="20% - Accent1 4 5 3 3 2" xfId="26654"/>
    <cellStyle name="20% - Accent1 4 5 3 3 2 2" xfId="46408"/>
    <cellStyle name="20% - Accent1 4 5 3 3 3" xfId="36764"/>
    <cellStyle name="20% - Accent1 4 5 3 4" xfId="21844"/>
    <cellStyle name="20% - Accent1 4 5 3 4 2" xfId="41599"/>
    <cellStyle name="20% - Accent1 4 5 3 5" xfId="31955"/>
    <cellStyle name="20% - Accent1 4 5 4" xfId="1638"/>
    <cellStyle name="20% - Accent1 4 5 4 2" xfId="16940"/>
    <cellStyle name="20% - Accent1 4 5 4 2 2" xfId="26656"/>
    <cellStyle name="20% - Accent1 4 5 4 2 2 2" xfId="46410"/>
    <cellStyle name="20% - Accent1 4 5 4 2 3" xfId="36766"/>
    <cellStyle name="20% - Accent1 4 5 4 3" xfId="21846"/>
    <cellStyle name="20% - Accent1 4 5 4 3 2" xfId="41601"/>
    <cellStyle name="20% - Accent1 4 5 4 4" xfId="31957"/>
    <cellStyle name="20% - Accent1 4 5 5" xfId="16033"/>
    <cellStyle name="20% - Accent1 4 5 5 2" xfId="25749"/>
    <cellStyle name="20% - Accent1 4 5 5 2 2" xfId="45503"/>
    <cellStyle name="20% - Accent1 4 5 5 3" xfId="35859"/>
    <cellStyle name="20% - Accent1 4 5 6" xfId="20939"/>
    <cellStyle name="20% - Accent1 4 5 6 2" xfId="40694"/>
    <cellStyle name="20% - Accent1 4 5 7" xfId="31050"/>
    <cellStyle name="20% - Accent1 4 6" xfId="1639"/>
    <cellStyle name="20% - Accent1 4 6 2" xfId="1640"/>
    <cellStyle name="20% - Accent1 4 6 2 2" xfId="1641"/>
    <cellStyle name="20% - Accent1 4 6 2 2 2" xfId="1642"/>
    <cellStyle name="20% - Accent1 4 6 2 2 2 2" xfId="16944"/>
    <cellStyle name="20% - Accent1 4 6 2 2 2 2 2" xfId="26660"/>
    <cellStyle name="20% - Accent1 4 6 2 2 2 2 2 2" xfId="46414"/>
    <cellStyle name="20% - Accent1 4 6 2 2 2 2 3" xfId="36770"/>
    <cellStyle name="20% - Accent1 4 6 2 2 2 3" xfId="21850"/>
    <cellStyle name="20% - Accent1 4 6 2 2 2 3 2" xfId="41605"/>
    <cellStyle name="20% - Accent1 4 6 2 2 2 4" xfId="31961"/>
    <cellStyle name="20% - Accent1 4 6 2 2 3" xfId="16943"/>
    <cellStyle name="20% - Accent1 4 6 2 2 3 2" xfId="26659"/>
    <cellStyle name="20% - Accent1 4 6 2 2 3 2 2" xfId="46413"/>
    <cellStyle name="20% - Accent1 4 6 2 2 3 3" xfId="36769"/>
    <cellStyle name="20% - Accent1 4 6 2 2 4" xfId="21849"/>
    <cellStyle name="20% - Accent1 4 6 2 2 4 2" xfId="41604"/>
    <cellStyle name="20% - Accent1 4 6 2 2 5" xfId="31960"/>
    <cellStyle name="20% - Accent1 4 6 2 3" xfId="1643"/>
    <cellStyle name="20% - Accent1 4 6 2 3 2" xfId="16945"/>
    <cellStyle name="20% - Accent1 4 6 2 3 2 2" xfId="26661"/>
    <cellStyle name="20% - Accent1 4 6 2 3 2 2 2" xfId="46415"/>
    <cellStyle name="20% - Accent1 4 6 2 3 2 3" xfId="36771"/>
    <cellStyle name="20% - Accent1 4 6 2 3 3" xfId="21851"/>
    <cellStyle name="20% - Accent1 4 6 2 3 3 2" xfId="41606"/>
    <cellStyle name="20% - Accent1 4 6 2 3 4" xfId="31962"/>
    <cellStyle name="20% - Accent1 4 6 2 4" xfId="16942"/>
    <cellStyle name="20% - Accent1 4 6 2 4 2" xfId="26658"/>
    <cellStyle name="20% - Accent1 4 6 2 4 2 2" xfId="46412"/>
    <cellStyle name="20% - Accent1 4 6 2 4 3" xfId="36768"/>
    <cellStyle name="20% - Accent1 4 6 2 5" xfId="21848"/>
    <cellStyle name="20% - Accent1 4 6 2 5 2" xfId="41603"/>
    <cellStyle name="20% - Accent1 4 6 2 6" xfId="31959"/>
    <cellStyle name="20% - Accent1 4 6 3" xfId="1644"/>
    <cellStyle name="20% - Accent1 4 6 3 2" xfId="1645"/>
    <cellStyle name="20% - Accent1 4 6 3 2 2" xfId="16947"/>
    <cellStyle name="20% - Accent1 4 6 3 2 2 2" xfId="26663"/>
    <cellStyle name="20% - Accent1 4 6 3 2 2 2 2" xfId="46417"/>
    <cellStyle name="20% - Accent1 4 6 3 2 2 3" xfId="36773"/>
    <cellStyle name="20% - Accent1 4 6 3 2 3" xfId="21853"/>
    <cellStyle name="20% - Accent1 4 6 3 2 3 2" xfId="41608"/>
    <cellStyle name="20% - Accent1 4 6 3 2 4" xfId="31964"/>
    <cellStyle name="20% - Accent1 4 6 3 3" xfId="16946"/>
    <cellStyle name="20% - Accent1 4 6 3 3 2" xfId="26662"/>
    <cellStyle name="20% - Accent1 4 6 3 3 2 2" xfId="46416"/>
    <cellStyle name="20% - Accent1 4 6 3 3 3" xfId="36772"/>
    <cellStyle name="20% - Accent1 4 6 3 4" xfId="21852"/>
    <cellStyle name="20% - Accent1 4 6 3 4 2" xfId="41607"/>
    <cellStyle name="20% - Accent1 4 6 3 5" xfId="31963"/>
    <cellStyle name="20% - Accent1 4 6 4" xfId="1646"/>
    <cellStyle name="20% - Accent1 4 6 4 2" xfId="16948"/>
    <cellStyle name="20% - Accent1 4 6 4 2 2" xfId="26664"/>
    <cellStyle name="20% - Accent1 4 6 4 2 2 2" xfId="46418"/>
    <cellStyle name="20% - Accent1 4 6 4 2 3" xfId="36774"/>
    <cellStyle name="20% - Accent1 4 6 4 3" xfId="21854"/>
    <cellStyle name="20% - Accent1 4 6 4 3 2" xfId="41609"/>
    <cellStyle name="20% - Accent1 4 6 4 4" xfId="31965"/>
    <cellStyle name="20% - Accent1 4 6 5" xfId="16941"/>
    <cellStyle name="20% - Accent1 4 6 5 2" xfId="26657"/>
    <cellStyle name="20% - Accent1 4 6 5 2 2" xfId="46411"/>
    <cellStyle name="20% - Accent1 4 6 5 3" xfId="36767"/>
    <cellStyle name="20% - Accent1 4 6 6" xfId="21847"/>
    <cellStyle name="20% - Accent1 4 6 6 2" xfId="41602"/>
    <cellStyle name="20% - Accent1 4 6 7" xfId="31958"/>
    <cellStyle name="20% - Accent1 4 7" xfId="1647"/>
    <cellStyle name="20% - Accent1 4 7 2" xfId="1648"/>
    <cellStyle name="20% - Accent1 4 7 2 2" xfId="1649"/>
    <cellStyle name="20% - Accent1 4 7 2 2 2" xfId="16951"/>
    <cellStyle name="20% - Accent1 4 7 2 2 2 2" xfId="26667"/>
    <cellStyle name="20% - Accent1 4 7 2 2 2 2 2" xfId="46421"/>
    <cellStyle name="20% - Accent1 4 7 2 2 2 3" xfId="36777"/>
    <cellStyle name="20% - Accent1 4 7 2 2 3" xfId="21857"/>
    <cellStyle name="20% - Accent1 4 7 2 2 3 2" xfId="41612"/>
    <cellStyle name="20% - Accent1 4 7 2 2 4" xfId="31968"/>
    <cellStyle name="20% - Accent1 4 7 2 3" xfId="16950"/>
    <cellStyle name="20% - Accent1 4 7 2 3 2" xfId="26666"/>
    <cellStyle name="20% - Accent1 4 7 2 3 2 2" xfId="46420"/>
    <cellStyle name="20% - Accent1 4 7 2 3 3" xfId="36776"/>
    <cellStyle name="20% - Accent1 4 7 2 4" xfId="21856"/>
    <cellStyle name="20% - Accent1 4 7 2 4 2" xfId="41611"/>
    <cellStyle name="20% - Accent1 4 7 2 5" xfId="31967"/>
    <cellStyle name="20% - Accent1 4 7 3" xfId="1650"/>
    <cellStyle name="20% - Accent1 4 7 3 2" xfId="16952"/>
    <cellStyle name="20% - Accent1 4 7 3 2 2" xfId="26668"/>
    <cellStyle name="20% - Accent1 4 7 3 2 2 2" xfId="46422"/>
    <cellStyle name="20% - Accent1 4 7 3 2 3" xfId="36778"/>
    <cellStyle name="20% - Accent1 4 7 3 3" xfId="21858"/>
    <cellStyle name="20% - Accent1 4 7 3 3 2" xfId="41613"/>
    <cellStyle name="20% - Accent1 4 7 3 4" xfId="31969"/>
    <cellStyle name="20% - Accent1 4 7 4" xfId="16949"/>
    <cellStyle name="20% - Accent1 4 7 4 2" xfId="26665"/>
    <cellStyle name="20% - Accent1 4 7 4 2 2" xfId="46419"/>
    <cellStyle name="20% - Accent1 4 7 4 3" xfId="36775"/>
    <cellStyle name="20% - Accent1 4 7 5" xfId="21855"/>
    <cellStyle name="20% - Accent1 4 7 5 2" xfId="41610"/>
    <cellStyle name="20% - Accent1 4 7 6" xfId="31966"/>
    <cellStyle name="20% - Accent1 4 8" xfId="1651"/>
    <cellStyle name="20% - Accent1 4 8 2" xfId="1652"/>
    <cellStyle name="20% - Accent1 4 8 2 2" xfId="16954"/>
    <cellStyle name="20% - Accent1 4 8 2 2 2" xfId="26670"/>
    <cellStyle name="20% - Accent1 4 8 2 2 2 2" xfId="46424"/>
    <cellStyle name="20% - Accent1 4 8 2 2 3" xfId="36780"/>
    <cellStyle name="20% - Accent1 4 8 2 3" xfId="21860"/>
    <cellStyle name="20% - Accent1 4 8 2 3 2" xfId="41615"/>
    <cellStyle name="20% - Accent1 4 8 2 4" xfId="31971"/>
    <cellStyle name="20% - Accent1 4 8 3" xfId="16953"/>
    <cellStyle name="20% - Accent1 4 8 3 2" xfId="26669"/>
    <cellStyle name="20% - Accent1 4 8 3 2 2" xfId="46423"/>
    <cellStyle name="20% - Accent1 4 8 3 3" xfId="36779"/>
    <cellStyle name="20% - Accent1 4 8 4" xfId="21859"/>
    <cellStyle name="20% - Accent1 4 8 4 2" xfId="41614"/>
    <cellStyle name="20% - Accent1 4 8 5" xfId="31970"/>
    <cellStyle name="20% - Accent1 4 9" xfId="1653"/>
    <cellStyle name="20% - Accent1 4 9 2" xfId="1654"/>
    <cellStyle name="20% - Accent1 4 9 2 2" xfId="16956"/>
    <cellStyle name="20% - Accent1 4 9 2 2 2" xfId="26672"/>
    <cellStyle name="20% - Accent1 4 9 2 2 2 2" xfId="46426"/>
    <cellStyle name="20% - Accent1 4 9 2 2 3" xfId="36782"/>
    <cellStyle name="20% - Accent1 4 9 2 3" xfId="21862"/>
    <cellStyle name="20% - Accent1 4 9 2 3 2" xfId="41617"/>
    <cellStyle name="20% - Accent1 4 9 2 4" xfId="31973"/>
    <cellStyle name="20% - Accent1 4 9 3" xfId="16955"/>
    <cellStyle name="20% - Accent1 4 9 3 2" xfId="26671"/>
    <cellStyle name="20% - Accent1 4 9 3 2 2" xfId="46425"/>
    <cellStyle name="20% - Accent1 4 9 3 3" xfId="36781"/>
    <cellStyle name="20% - Accent1 4 9 4" xfId="21861"/>
    <cellStyle name="20% - Accent1 4 9 4 2" xfId="41616"/>
    <cellStyle name="20% - Accent1 4 9 5" xfId="31972"/>
    <cellStyle name="20% - Accent1 5" xfId="12"/>
    <cellStyle name="20% - Accent1 5 10" xfId="1655"/>
    <cellStyle name="20% - Accent1 5 10 2" xfId="16957"/>
    <cellStyle name="20% - Accent1 5 10 2 2" xfId="26673"/>
    <cellStyle name="20% - Accent1 5 10 2 2 2" xfId="46427"/>
    <cellStyle name="20% - Accent1 5 10 2 3" xfId="36783"/>
    <cellStyle name="20% - Accent1 5 10 3" xfId="21863"/>
    <cellStyle name="20% - Accent1 5 10 3 2" xfId="41618"/>
    <cellStyle name="20% - Accent1 5 10 4" xfId="31974"/>
    <cellStyle name="20% - Accent1 5 11" xfId="1656"/>
    <cellStyle name="20% - Accent1 5 11 2" xfId="16958"/>
    <cellStyle name="20% - Accent1 5 11 2 2" xfId="26674"/>
    <cellStyle name="20% - Accent1 5 11 2 2 2" xfId="46428"/>
    <cellStyle name="20% - Accent1 5 11 2 3" xfId="36784"/>
    <cellStyle name="20% - Accent1 5 11 3" xfId="21864"/>
    <cellStyle name="20% - Accent1 5 11 3 2" xfId="41619"/>
    <cellStyle name="20% - Accent1 5 11 4" xfId="31975"/>
    <cellStyle name="20% - Accent1 5 12" xfId="15363"/>
    <cellStyle name="20% - Accent1 5 12 2" xfId="20235"/>
    <cellStyle name="20% - Accent1 5 12 2 2" xfId="29949"/>
    <cellStyle name="20% - Accent1 5 12 2 2 2" xfId="49702"/>
    <cellStyle name="20% - Accent1 5 12 2 3" xfId="40058"/>
    <cellStyle name="20% - Accent1 5 12 3" xfId="25137"/>
    <cellStyle name="20% - Accent1 5 12 3 2" xfId="44891"/>
    <cellStyle name="20% - Accent1 5 12 4" xfId="35247"/>
    <cellStyle name="20% - Accent1 5 13" xfId="15819"/>
    <cellStyle name="20% - Accent1 5 13 2" xfId="25535"/>
    <cellStyle name="20% - Accent1 5 13 2 2" xfId="45289"/>
    <cellStyle name="20% - Accent1 5 13 3" xfId="35645"/>
    <cellStyle name="20% - Accent1 5 14" xfId="20691"/>
    <cellStyle name="20% - Accent1 5 14 2" xfId="40471"/>
    <cellStyle name="20% - Accent1 5 15" xfId="30381"/>
    <cellStyle name="20% - Accent1 5 15 2" xfId="50129"/>
    <cellStyle name="20% - Accent1 5 16" xfId="30802"/>
    <cellStyle name="20% - Accent1 5 2" xfId="13"/>
    <cellStyle name="20% - Accent1 5 2 10" xfId="15364"/>
    <cellStyle name="20% - Accent1 5 2 10 2" xfId="20236"/>
    <cellStyle name="20% - Accent1 5 2 10 2 2" xfId="29950"/>
    <cellStyle name="20% - Accent1 5 2 10 2 2 2" xfId="49703"/>
    <cellStyle name="20% - Accent1 5 2 10 2 3" xfId="40059"/>
    <cellStyle name="20% - Accent1 5 2 10 3" xfId="25138"/>
    <cellStyle name="20% - Accent1 5 2 10 3 2" xfId="44892"/>
    <cellStyle name="20% - Accent1 5 2 10 4" xfId="35248"/>
    <cellStyle name="20% - Accent1 5 2 11" xfId="15820"/>
    <cellStyle name="20% - Accent1 5 2 11 2" xfId="25536"/>
    <cellStyle name="20% - Accent1 5 2 11 2 2" xfId="45290"/>
    <cellStyle name="20% - Accent1 5 2 11 3" xfId="35646"/>
    <cellStyle name="20% - Accent1 5 2 12" xfId="20692"/>
    <cellStyle name="20% - Accent1 5 2 12 2" xfId="40472"/>
    <cellStyle name="20% - Accent1 5 2 13" xfId="30382"/>
    <cellStyle name="20% - Accent1 5 2 13 2" xfId="50130"/>
    <cellStyle name="20% - Accent1 5 2 14" xfId="30803"/>
    <cellStyle name="20% - Accent1 5 2 2" xfId="687"/>
    <cellStyle name="20% - Accent1 5 2 2 2" xfId="1657"/>
    <cellStyle name="20% - Accent1 5 2 2 2 2" xfId="1658"/>
    <cellStyle name="20% - Accent1 5 2 2 2 2 2" xfId="1659"/>
    <cellStyle name="20% - Accent1 5 2 2 2 2 2 2" xfId="16961"/>
    <cellStyle name="20% - Accent1 5 2 2 2 2 2 2 2" xfId="26677"/>
    <cellStyle name="20% - Accent1 5 2 2 2 2 2 2 2 2" xfId="46431"/>
    <cellStyle name="20% - Accent1 5 2 2 2 2 2 2 3" xfId="36787"/>
    <cellStyle name="20% - Accent1 5 2 2 2 2 2 3" xfId="21867"/>
    <cellStyle name="20% - Accent1 5 2 2 2 2 2 3 2" xfId="41622"/>
    <cellStyle name="20% - Accent1 5 2 2 2 2 2 4" xfId="31978"/>
    <cellStyle name="20% - Accent1 5 2 2 2 2 3" xfId="16960"/>
    <cellStyle name="20% - Accent1 5 2 2 2 2 3 2" xfId="26676"/>
    <cellStyle name="20% - Accent1 5 2 2 2 2 3 2 2" xfId="46430"/>
    <cellStyle name="20% - Accent1 5 2 2 2 2 3 3" xfId="36786"/>
    <cellStyle name="20% - Accent1 5 2 2 2 2 4" xfId="21866"/>
    <cellStyle name="20% - Accent1 5 2 2 2 2 4 2" xfId="41621"/>
    <cellStyle name="20% - Accent1 5 2 2 2 2 5" xfId="31977"/>
    <cellStyle name="20% - Accent1 5 2 2 2 3" xfId="1660"/>
    <cellStyle name="20% - Accent1 5 2 2 2 3 2" xfId="16962"/>
    <cellStyle name="20% - Accent1 5 2 2 2 3 2 2" xfId="26678"/>
    <cellStyle name="20% - Accent1 5 2 2 2 3 2 2 2" xfId="46432"/>
    <cellStyle name="20% - Accent1 5 2 2 2 3 2 3" xfId="36788"/>
    <cellStyle name="20% - Accent1 5 2 2 2 3 3" xfId="21868"/>
    <cellStyle name="20% - Accent1 5 2 2 2 3 3 2" xfId="41623"/>
    <cellStyle name="20% - Accent1 5 2 2 2 3 4" xfId="31979"/>
    <cellStyle name="20% - Accent1 5 2 2 2 4" xfId="16959"/>
    <cellStyle name="20% - Accent1 5 2 2 2 4 2" xfId="26675"/>
    <cellStyle name="20% - Accent1 5 2 2 2 4 2 2" xfId="46429"/>
    <cellStyle name="20% - Accent1 5 2 2 2 4 3" xfId="36785"/>
    <cellStyle name="20% - Accent1 5 2 2 2 5" xfId="21865"/>
    <cellStyle name="20% - Accent1 5 2 2 2 5 2" xfId="41620"/>
    <cellStyle name="20% - Accent1 5 2 2 2 6" xfId="31976"/>
    <cellStyle name="20% - Accent1 5 2 2 3" xfId="1661"/>
    <cellStyle name="20% - Accent1 5 2 2 3 2" xfId="1662"/>
    <cellStyle name="20% - Accent1 5 2 2 3 2 2" xfId="16964"/>
    <cellStyle name="20% - Accent1 5 2 2 3 2 2 2" xfId="26680"/>
    <cellStyle name="20% - Accent1 5 2 2 3 2 2 2 2" xfId="46434"/>
    <cellStyle name="20% - Accent1 5 2 2 3 2 2 3" xfId="36790"/>
    <cellStyle name="20% - Accent1 5 2 2 3 2 3" xfId="21870"/>
    <cellStyle name="20% - Accent1 5 2 2 3 2 3 2" xfId="41625"/>
    <cellStyle name="20% - Accent1 5 2 2 3 2 4" xfId="31981"/>
    <cellStyle name="20% - Accent1 5 2 2 3 3" xfId="16963"/>
    <cellStyle name="20% - Accent1 5 2 2 3 3 2" xfId="26679"/>
    <cellStyle name="20% - Accent1 5 2 2 3 3 2 2" xfId="46433"/>
    <cellStyle name="20% - Accent1 5 2 2 3 3 3" xfId="36789"/>
    <cellStyle name="20% - Accent1 5 2 2 3 4" xfId="21869"/>
    <cellStyle name="20% - Accent1 5 2 2 3 4 2" xfId="41624"/>
    <cellStyle name="20% - Accent1 5 2 2 3 5" xfId="31980"/>
    <cellStyle name="20% - Accent1 5 2 2 4" xfId="1663"/>
    <cellStyle name="20% - Accent1 5 2 2 4 2" xfId="16965"/>
    <cellStyle name="20% - Accent1 5 2 2 4 2 2" xfId="26681"/>
    <cellStyle name="20% - Accent1 5 2 2 4 2 2 2" xfId="46435"/>
    <cellStyle name="20% - Accent1 5 2 2 4 2 3" xfId="36791"/>
    <cellStyle name="20% - Accent1 5 2 2 4 3" xfId="21871"/>
    <cellStyle name="20% - Accent1 5 2 2 4 3 2" xfId="41626"/>
    <cellStyle name="20% - Accent1 5 2 2 4 4" xfId="31982"/>
    <cellStyle name="20% - Accent1 5 2 2 5" xfId="15365"/>
    <cellStyle name="20% - Accent1 5 2 2 5 2" xfId="20237"/>
    <cellStyle name="20% - Accent1 5 2 2 5 2 2" xfId="29951"/>
    <cellStyle name="20% - Accent1 5 2 2 5 2 2 2" xfId="49704"/>
    <cellStyle name="20% - Accent1 5 2 2 5 2 3" xfId="40060"/>
    <cellStyle name="20% - Accent1 5 2 2 5 3" xfId="25139"/>
    <cellStyle name="20% - Accent1 5 2 2 5 3 2" xfId="44893"/>
    <cellStyle name="20% - Accent1 5 2 2 5 4" xfId="35249"/>
    <cellStyle name="20% - Accent1 5 2 2 6" xfId="16034"/>
    <cellStyle name="20% - Accent1 5 2 2 6 2" xfId="25750"/>
    <cellStyle name="20% - Accent1 5 2 2 6 2 2" xfId="45504"/>
    <cellStyle name="20% - Accent1 5 2 2 6 3" xfId="35860"/>
    <cellStyle name="20% - Accent1 5 2 2 7" xfId="20940"/>
    <cellStyle name="20% - Accent1 5 2 2 7 2" xfId="40695"/>
    <cellStyle name="20% - Accent1 5 2 2 8" xfId="30383"/>
    <cellStyle name="20% - Accent1 5 2 2 8 2" xfId="50131"/>
    <cellStyle name="20% - Accent1 5 2 2 9" xfId="31051"/>
    <cellStyle name="20% - Accent1 5 2 3" xfId="688"/>
    <cellStyle name="20% - Accent1 5 2 3 2" xfId="1664"/>
    <cellStyle name="20% - Accent1 5 2 3 2 2" xfId="1665"/>
    <cellStyle name="20% - Accent1 5 2 3 2 2 2" xfId="1666"/>
    <cellStyle name="20% - Accent1 5 2 3 2 2 2 2" xfId="16968"/>
    <cellStyle name="20% - Accent1 5 2 3 2 2 2 2 2" xfId="26684"/>
    <cellStyle name="20% - Accent1 5 2 3 2 2 2 2 2 2" xfId="46438"/>
    <cellStyle name="20% - Accent1 5 2 3 2 2 2 2 3" xfId="36794"/>
    <cellStyle name="20% - Accent1 5 2 3 2 2 2 3" xfId="21874"/>
    <cellStyle name="20% - Accent1 5 2 3 2 2 2 3 2" xfId="41629"/>
    <cellStyle name="20% - Accent1 5 2 3 2 2 2 4" xfId="31985"/>
    <cellStyle name="20% - Accent1 5 2 3 2 2 3" xfId="16967"/>
    <cellStyle name="20% - Accent1 5 2 3 2 2 3 2" xfId="26683"/>
    <cellStyle name="20% - Accent1 5 2 3 2 2 3 2 2" xfId="46437"/>
    <cellStyle name="20% - Accent1 5 2 3 2 2 3 3" xfId="36793"/>
    <cellStyle name="20% - Accent1 5 2 3 2 2 4" xfId="21873"/>
    <cellStyle name="20% - Accent1 5 2 3 2 2 4 2" xfId="41628"/>
    <cellStyle name="20% - Accent1 5 2 3 2 2 5" xfId="31984"/>
    <cellStyle name="20% - Accent1 5 2 3 2 3" xfId="1667"/>
    <cellStyle name="20% - Accent1 5 2 3 2 3 2" xfId="16969"/>
    <cellStyle name="20% - Accent1 5 2 3 2 3 2 2" xfId="26685"/>
    <cellStyle name="20% - Accent1 5 2 3 2 3 2 2 2" xfId="46439"/>
    <cellStyle name="20% - Accent1 5 2 3 2 3 2 3" xfId="36795"/>
    <cellStyle name="20% - Accent1 5 2 3 2 3 3" xfId="21875"/>
    <cellStyle name="20% - Accent1 5 2 3 2 3 3 2" xfId="41630"/>
    <cellStyle name="20% - Accent1 5 2 3 2 3 4" xfId="31986"/>
    <cellStyle name="20% - Accent1 5 2 3 2 4" xfId="16966"/>
    <cellStyle name="20% - Accent1 5 2 3 2 4 2" xfId="26682"/>
    <cellStyle name="20% - Accent1 5 2 3 2 4 2 2" xfId="46436"/>
    <cellStyle name="20% - Accent1 5 2 3 2 4 3" xfId="36792"/>
    <cellStyle name="20% - Accent1 5 2 3 2 5" xfId="21872"/>
    <cellStyle name="20% - Accent1 5 2 3 2 5 2" xfId="41627"/>
    <cellStyle name="20% - Accent1 5 2 3 2 6" xfId="31983"/>
    <cellStyle name="20% - Accent1 5 2 3 3" xfId="1668"/>
    <cellStyle name="20% - Accent1 5 2 3 3 2" xfId="1669"/>
    <cellStyle name="20% - Accent1 5 2 3 3 2 2" xfId="16971"/>
    <cellStyle name="20% - Accent1 5 2 3 3 2 2 2" xfId="26687"/>
    <cellStyle name="20% - Accent1 5 2 3 3 2 2 2 2" xfId="46441"/>
    <cellStyle name="20% - Accent1 5 2 3 3 2 2 3" xfId="36797"/>
    <cellStyle name="20% - Accent1 5 2 3 3 2 3" xfId="21877"/>
    <cellStyle name="20% - Accent1 5 2 3 3 2 3 2" xfId="41632"/>
    <cellStyle name="20% - Accent1 5 2 3 3 2 4" xfId="31988"/>
    <cellStyle name="20% - Accent1 5 2 3 3 3" xfId="16970"/>
    <cellStyle name="20% - Accent1 5 2 3 3 3 2" xfId="26686"/>
    <cellStyle name="20% - Accent1 5 2 3 3 3 2 2" xfId="46440"/>
    <cellStyle name="20% - Accent1 5 2 3 3 3 3" xfId="36796"/>
    <cellStyle name="20% - Accent1 5 2 3 3 4" xfId="21876"/>
    <cellStyle name="20% - Accent1 5 2 3 3 4 2" xfId="41631"/>
    <cellStyle name="20% - Accent1 5 2 3 3 5" xfId="31987"/>
    <cellStyle name="20% - Accent1 5 2 3 4" xfId="1670"/>
    <cellStyle name="20% - Accent1 5 2 3 4 2" xfId="16972"/>
    <cellStyle name="20% - Accent1 5 2 3 4 2 2" xfId="26688"/>
    <cellStyle name="20% - Accent1 5 2 3 4 2 2 2" xfId="46442"/>
    <cellStyle name="20% - Accent1 5 2 3 4 2 3" xfId="36798"/>
    <cellStyle name="20% - Accent1 5 2 3 4 3" xfId="21878"/>
    <cellStyle name="20% - Accent1 5 2 3 4 3 2" xfId="41633"/>
    <cellStyle name="20% - Accent1 5 2 3 4 4" xfId="31989"/>
    <cellStyle name="20% - Accent1 5 2 3 5" xfId="16035"/>
    <cellStyle name="20% - Accent1 5 2 3 5 2" xfId="25751"/>
    <cellStyle name="20% - Accent1 5 2 3 5 2 2" xfId="45505"/>
    <cellStyle name="20% - Accent1 5 2 3 5 3" xfId="35861"/>
    <cellStyle name="20% - Accent1 5 2 3 6" xfId="20941"/>
    <cellStyle name="20% - Accent1 5 2 3 6 2" xfId="40696"/>
    <cellStyle name="20% - Accent1 5 2 3 7" xfId="31052"/>
    <cellStyle name="20% - Accent1 5 2 4" xfId="1671"/>
    <cellStyle name="20% - Accent1 5 2 4 2" xfId="1672"/>
    <cellStyle name="20% - Accent1 5 2 4 2 2" xfId="1673"/>
    <cellStyle name="20% - Accent1 5 2 4 2 2 2" xfId="1674"/>
    <cellStyle name="20% - Accent1 5 2 4 2 2 2 2" xfId="16976"/>
    <cellStyle name="20% - Accent1 5 2 4 2 2 2 2 2" xfId="26692"/>
    <cellStyle name="20% - Accent1 5 2 4 2 2 2 2 2 2" xfId="46446"/>
    <cellStyle name="20% - Accent1 5 2 4 2 2 2 2 3" xfId="36802"/>
    <cellStyle name="20% - Accent1 5 2 4 2 2 2 3" xfId="21882"/>
    <cellStyle name="20% - Accent1 5 2 4 2 2 2 3 2" xfId="41637"/>
    <cellStyle name="20% - Accent1 5 2 4 2 2 2 4" xfId="31993"/>
    <cellStyle name="20% - Accent1 5 2 4 2 2 3" xfId="16975"/>
    <cellStyle name="20% - Accent1 5 2 4 2 2 3 2" xfId="26691"/>
    <cellStyle name="20% - Accent1 5 2 4 2 2 3 2 2" xfId="46445"/>
    <cellStyle name="20% - Accent1 5 2 4 2 2 3 3" xfId="36801"/>
    <cellStyle name="20% - Accent1 5 2 4 2 2 4" xfId="21881"/>
    <cellStyle name="20% - Accent1 5 2 4 2 2 4 2" xfId="41636"/>
    <cellStyle name="20% - Accent1 5 2 4 2 2 5" xfId="31992"/>
    <cellStyle name="20% - Accent1 5 2 4 2 3" xfId="1675"/>
    <cellStyle name="20% - Accent1 5 2 4 2 3 2" xfId="16977"/>
    <cellStyle name="20% - Accent1 5 2 4 2 3 2 2" xfId="26693"/>
    <cellStyle name="20% - Accent1 5 2 4 2 3 2 2 2" xfId="46447"/>
    <cellStyle name="20% - Accent1 5 2 4 2 3 2 3" xfId="36803"/>
    <cellStyle name="20% - Accent1 5 2 4 2 3 3" xfId="21883"/>
    <cellStyle name="20% - Accent1 5 2 4 2 3 3 2" xfId="41638"/>
    <cellStyle name="20% - Accent1 5 2 4 2 3 4" xfId="31994"/>
    <cellStyle name="20% - Accent1 5 2 4 2 4" xfId="16974"/>
    <cellStyle name="20% - Accent1 5 2 4 2 4 2" xfId="26690"/>
    <cellStyle name="20% - Accent1 5 2 4 2 4 2 2" xfId="46444"/>
    <cellStyle name="20% - Accent1 5 2 4 2 4 3" xfId="36800"/>
    <cellStyle name="20% - Accent1 5 2 4 2 5" xfId="21880"/>
    <cellStyle name="20% - Accent1 5 2 4 2 5 2" xfId="41635"/>
    <cellStyle name="20% - Accent1 5 2 4 2 6" xfId="31991"/>
    <cellStyle name="20% - Accent1 5 2 4 3" xfId="1676"/>
    <cellStyle name="20% - Accent1 5 2 4 3 2" xfId="1677"/>
    <cellStyle name="20% - Accent1 5 2 4 3 2 2" xfId="16979"/>
    <cellStyle name="20% - Accent1 5 2 4 3 2 2 2" xfId="26695"/>
    <cellStyle name="20% - Accent1 5 2 4 3 2 2 2 2" xfId="46449"/>
    <cellStyle name="20% - Accent1 5 2 4 3 2 2 3" xfId="36805"/>
    <cellStyle name="20% - Accent1 5 2 4 3 2 3" xfId="21885"/>
    <cellStyle name="20% - Accent1 5 2 4 3 2 3 2" xfId="41640"/>
    <cellStyle name="20% - Accent1 5 2 4 3 2 4" xfId="31996"/>
    <cellStyle name="20% - Accent1 5 2 4 3 3" xfId="16978"/>
    <cellStyle name="20% - Accent1 5 2 4 3 3 2" xfId="26694"/>
    <cellStyle name="20% - Accent1 5 2 4 3 3 2 2" xfId="46448"/>
    <cellStyle name="20% - Accent1 5 2 4 3 3 3" xfId="36804"/>
    <cellStyle name="20% - Accent1 5 2 4 3 4" xfId="21884"/>
    <cellStyle name="20% - Accent1 5 2 4 3 4 2" xfId="41639"/>
    <cellStyle name="20% - Accent1 5 2 4 3 5" xfId="31995"/>
    <cellStyle name="20% - Accent1 5 2 4 4" xfId="1678"/>
    <cellStyle name="20% - Accent1 5 2 4 4 2" xfId="16980"/>
    <cellStyle name="20% - Accent1 5 2 4 4 2 2" xfId="26696"/>
    <cellStyle name="20% - Accent1 5 2 4 4 2 2 2" xfId="46450"/>
    <cellStyle name="20% - Accent1 5 2 4 4 2 3" xfId="36806"/>
    <cellStyle name="20% - Accent1 5 2 4 4 3" xfId="21886"/>
    <cellStyle name="20% - Accent1 5 2 4 4 3 2" xfId="41641"/>
    <cellStyle name="20% - Accent1 5 2 4 4 4" xfId="31997"/>
    <cellStyle name="20% - Accent1 5 2 4 5" xfId="16973"/>
    <cellStyle name="20% - Accent1 5 2 4 5 2" xfId="26689"/>
    <cellStyle name="20% - Accent1 5 2 4 5 2 2" xfId="46443"/>
    <cellStyle name="20% - Accent1 5 2 4 5 3" xfId="36799"/>
    <cellStyle name="20% - Accent1 5 2 4 6" xfId="21879"/>
    <cellStyle name="20% - Accent1 5 2 4 6 2" xfId="41634"/>
    <cellStyle name="20% - Accent1 5 2 4 7" xfId="31990"/>
    <cellStyle name="20% - Accent1 5 2 5" xfId="1679"/>
    <cellStyle name="20% - Accent1 5 2 5 2" xfId="1680"/>
    <cellStyle name="20% - Accent1 5 2 5 2 2" xfId="1681"/>
    <cellStyle name="20% - Accent1 5 2 5 2 2 2" xfId="16983"/>
    <cellStyle name="20% - Accent1 5 2 5 2 2 2 2" xfId="26699"/>
    <cellStyle name="20% - Accent1 5 2 5 2 2 2 2 2" xfId="46453"/>
    <cellStyle name="20% - Accent1 5 2 5 2 2 2 3" xfId="36809"/>
    <cellStyle name="20% - Accent1 5 2 5 2 2 3" xfId="21889"/>
    <cellStyle name="20% - Accent1 5 2 5 2 2 3 2" xfId="41644"/>
    <cellStyle name="20% - Accent1 5 2 5 2 2 4" xfId="32000"/>
    <cellStyle name="20% - Accent1 5 2 5 2 3" xfId="16982"/>
    <cellStyle name="20% - Accent1 5 2 5 2 3 2" xfId="26698"/>
    <cellStyle name="20% - Accent1 5 2 5 2 3 2 2" xfId="46452"/>
    <cellStyle name="20% - Accent1 5 2 5 2 3 3" xfId="36808"/>
    <cellStyle name="20% - Accent1 5 2 5 2 4" xfId="21888"/>
    <cellStyle name="20% - Accent1 5 2 5 2 4 2" xfId="41643"/>
    <cellStyle name="20% - Accent1 5 2 5 2 5" xfId="31999"/>
    <cellStyle name="20% - Accent1 5 2 5 3" xfId="1682"/>
    <cellStyle name="20% - Accent1 5 2 5 3 2" xfId="16984"/>
    <cellStyle name="20% - Accent1 5 2 5 3 2 2" xfId="26700"/>
    <cellStyle name="20% - Accent1 5 2 5 3 2 2 2" xfId="46454"/>
    <cellStyle name="20% - Accent1 5 2 5 3 2 3" xfId="36810"/>
    <cellStyle name="20% - Accent1 5 2 5 3 3" xfId="21890"/>
    <cellStyle name="20% - Accent1 5 2 5 3 3 2" xfId="41645"/>
    <cellStyle name="20% - Accent1 5 2 5 3 4" xfId="32001"/>
    <cellStyle name="20% - Accent1 5 2 5 4" xfId="16981"/>
    <cellStyle name="20% - Accent1 5 2 5 4 2" xfId="26697"/>
    <cellStyle name="20% - Accent1 5 2 5 4 2 2" xfId="46451"/>
    <cellStyle name="20% - Accent1 5 2 5 4 3" xfId="36807"/>
    <cellStyle name="20% - Accent1 5 2 5 5" xfId="21887"/>
    <cellStyle name="20% - Accent1 5 2 5 5 2" xfId="41642"/>
    <cellStyle name="20% - Accent1 5 2 5 6" xfId="31998"/>
    <cellStyle name="20% - Accent1 5 2 6" xfId="1683"/>
    <cellStyle name="20% - Accent1 5 2 6 2" xfId="1684"/>
    <cellStyle name="20% - Accent1 5 2 6 2 2" xfId="16986"/>
    <cellStyle name="20% - Accent1 5 2 6 2 2 2" xfId="26702"/>
    <cellStyle name="20% - Accent1 5 2 6 2 2 2 2" xfId="46456"/>
    <cellStyle name="20% - Accent1 5 2 6 2 2 3" xfId="36812"/>
    <cellStyle name="20% - Accent1 5 2 6 2 3" xfId="21892"/>
    <cellStyle name="20% - Accent1 5 2 6 2 3 2" xfId="41647"/>
    <cellStyle name="20% - Accent1 5 2 6 2 4" xfId="32003"/>
    <cellStyle name="20% - Accent1 5 2 6 3" xfId="16985"/>
    <cellStyle name="20% - Accent1 5 2 6 3 2" xfId="26701"/>
    <cellStyle name="20% - Accent1 5 2 6 3 2 2" xfId="46455"/>
    <cellStyle name="20% - Accent1 5 2 6 3 3" xfId="36811"/>
    <cellStyle name="20% - Accent1 5 2 6 4" xfId="21891"/>
    <cellStyle name="20% - Accent1 5 2 6 4 2" xfId="41646"/>
    <cellStyle name="20% - Accent1 5 2 6 5" xfId="32002"/>
    <cellStyle name="20% - Accent1 5 2 7" xfId="1685"/>
    <cellStyle name="20% - Accent1 5 2 7 2" xfId="16987"/>
    <cellStyle name="20% - Accent1 5 2 7 2 2" xfId="26703"/>
    <cellStyle name="20% - Accent1 5 2 7 2 2 2" xfId="46457"/>
    <cellStyle name="20% - Accent1 5 2 7 2 3" xfId="36813"/>
    <cellStyle name="20% - Accent1 5 2 7 3" xfId="21893"/>
    <cellStyle name="20% - Accent1 5 2 7 3 2" xfId="41648"/>
    <cellStyle name="20% - Accent1 5 2 7 4" xfId="32004"/>
    <cellStyle name="20% - Accent1 5 2 8" xfId="1686"/>
    <cellStyle name="20% - Accent1 5 2 8 2" xfId="16988"/>
    <cellStyle name="20% - Accent1 5 2 8 2 2" xfId="26704"/>
    <cellStyle name="20% - Accent1 5 2 8 2 2 2" xfId="46458"/>
    <cellStyle name="20% - Accent1 5 2 8 2 3" xfId="36814"/>
    <cellStyle name="20% - Accent1 5 2 8 3" xfId="21894"/>
    <cellStyle name="20% - Accent1 5 2 8 3 2" xfId="41649"/>
    <cellStyle name="20% - Accent1 5 2 8 4" xfId="32005"/>
    <cellStyle name="20% - Accent1 5 2 9" xfId="1687"/>
    <cellStyle name="20% - Accent1 5 2 9 2" xfId="16989"/>
    <cellStyle name="20% - Accent1 5 2 9 2 2" xfId="26705"/>
    <cellStyle name="20% - Accent1 5 2 9 2 2 2" xfId="46459"/>
    <cellStyle name="20% - Accent1 5 2 9 2 3" xfId="36815"/>
    <cellStyle name="20% - Accent1 5 2 9 3" xfId="21895"/>
    <cellStyle name="20% - Accent1 5 2 9 3 2" xfId="41650"/>
    <cellStyle name="20% - Accent1 5 2 9 4" xfId="32006"/>
    <cellStyle name="20% - Accent1 5 3" xfId="689"/>
    <cellStyle name="20% - Accent1 5 3 2" xfId="1688"/>
    <cellStyle name="20% - Accent1 5 3 2 2" xfId="1689"/>
    <cellStyle name="20% - Accent1 5 3 2 2 2" xfId="1690"/>
    <cellStyle name="20% - Accent1 5 3 2 2 2 2" xfId="16992"/>
    <cellStyle name="20% - Accent1 5 3 2 2 2 2 2" xfId="26708"/>
    <cellStyle name="20% - Accent1 5 3 2 2 2 2 2 2" xfId="46462"/>
    <cellStyle name="20% - Accent1 5 3 2 2 2 2 3" xfId="36818"/>
    <cellStyle name="20% - Accent1 5 3 2 2 2 3" xfId="21898"/>
    <cellStyle name="20% - Accent1 5 3 2 2 2 3 2" xfId="41653"/>
    <cellStyle name="20% - Accent1 5 3 2 2 2 4" xfId="32009"/>
    <cellStyle name="20% - Accent1 5 3 2 2 3" xfId="16991"/>
    <cellStyle name="20% - Accent1 5 3 2 2 3 2" xfId="26707"/>
    <cellStyle name="20% - Accent1 5 3 2 2 3 2 2" xfId="46461"/>
    <cellStyle name="20% - Accent1 5 3 2 2 3 3" xfId="36817"/>
    <cellStyle name="20% - Accent1 5 3 2 2 4" xfId="21897"/>
    <cellStyle name="20% - Accent1 5 3 2 2 4 2" xfId="41652"/>
    <cellStyle name="20% - Accent1 5 3 2 2 5" xfId="32008"/>
    <cellStyle name="20% - Accent1 5 3 2 3" xfId="1691"/>
    <cellStyle name="20% - Accent1 5 3 2 3 2" xfId="16993"/>
    <cellStyle name="20% - Accent1 5 3 2 3 2 2" xfId="26709"/>
    <cellStyle name="20% - Accent1 5 3 2 3 2 2 2" xfId="46463"/>
    <cellStyle name="20% - Accent1 5 3 2 3 2 3" xfId="36819"/>
    <cellStyle name="20% - Accent1 5 3 2 3 3" xfId="21899"/>
    <cellStyle name="20% - Accent1 5 3 2 3 3 2" xfId="41654"/>
    <cellStyle name="20% - Accent1 5 3 2 3 4" xfId="32010"/>
    <cellStyle name="20% - Accent1 5 3 2 4" xfId="16990"/>
    <cellStyle name="20% - Accent1 5 3 2 4 2" xfId="26706"/>
    <cellStyle name="20% - Accent1 5 3 2 4 2 2" xfId="46460"/>
    <cellStyle name="20% - Accent1 5 3 2 4 3" xfId="36816"/>
    <cellStyle name="20% - Accent1 5 3 2 5" xfId="21896"/>
    <cellStyle name="20% - Accent1 5 3 2 5 2" xfId="41651"/>
    <cellStyle name="20% - Accent1 5 3 2 6" xfId="32007"/>
    <cellStyle name="20% - Accent1 5 3 3" xfId="1692"/>
    <cellStyle name="20% - Accent1 5 3 3 2" xfId="1693"/>
    <cellStyle name="20% - Accent1 5 3 3 2 2" xfId="16995"/>
    <cellStyle name="20% - Accent1 5 3 3 2 2 2" xfId="26711"/>
    <cellStyle name="20% - Accent1 5 3 3 2 2 2 2" xfId="46465"/>
    <cellStyle name="20% - Accent1 5 3 3 2 2 3" xfId="36821"/>
    <cellStyle name="20% - Accent1 5 3 3 2 3" xfId="21901"/>
    <cellStyle name="20% - Accent1 5 3 3 2 3 2" xfId="41656"/>
    <cellStyle name="20% - Accent1 5 3 3 2 4" xfId="32012"/>
    <cellStyle name="20% - Accent1 5 3 3 3" xfId="16994"/>
    <cellStyle name="20% - Accent1 5 3 3 3 2" xfId="26710"/>
    <cellStyle name="20% - Accent1 5 3 3 3 2 2" xfId="46464"/>
    <cellStyle name="20% - Accent1 5 3 3 3 3" xfId="36820"/>
    <cellStyle name="20% - Accent1 5 3 3 4" xfId="21900"/>
    <cellStyle name="20% - Accent1 5 3 3 4 2" xfId="41655"/>
    <cellStyle name="20% - Accent1 5 3 3 5" xfId="32011"/>
    <cellStyle name="20% - Accent1 5 3 4" xfId="1694"/>
    <cellStyle name="20% - Accent1 5 3 4 2" xfId="16996"/>
    <cellStyle name="20% - Accent1 5 3 4 2 2" xfId="26712"/>
    <cellStyle name="20% - Accent1 5 3 4 2 2 2" xfId="46466"/>
    <cellStyle name="20% - Accent1 5 3 4 2 3" xfId="36822"/>
    <cellStyle name="20% - Accent1 5 3 4 3" xfId="21902"/>
    <cellStyle name="20% - Accent1 5 3 4 3 2" xfId="41657"/>
    <cellStyle name="20% - Accent1 5 3 4 4" xfId="32013"/>
    <cellStyle name="20% - Accent1 5 3 5" xfId="15366"/>
    <cellStyle name="20% - Accent1 5 3 5 2" xfId="20238"/>
    <cellStyle name="20% - Accent1 5 3 5 2 2" xfId="29952"/>
    <cellStyle name="20% - Accent1 5 3 5 2 2 2" xfId="49705"/>
    <cellStyle name="20% - Accent1 5 3 5 2 3" xfId="40061"/>
    <cellStyle name="20% - Accent1 5 3 5 3" xfId="25140"/>
    <cellStyle name="20% - Accent1 5 3 5 3 2" xfId="44894"/>
    <cellStyle name="20% - Accent1 5 3 5 4" xfId="35250"/>
    <cellStyle name="20% - Accent1 5 3 6" xfId="16036"/>
    <cellStyle name="20% - Accent1 5 3 6 2" xfId="25752"/>
    <cellStyle name="20% - Accent1 5 3 6 2 2" xfId="45506"/>
    <cellStyle name="20% - Accent1 5 3 6 3" xfId="35862"/>
    <cellStyle name="20% - Accent1 5 3 7" xfId="20942"/>
    <cellStyle name="20% - Accent1 5 3 7 2" xfId="40697"/>
    <cellStyle name="20% - Accent1 5 3 8" xfId="30384"/>
    <cellStyle name="20% - Accent1 5 3 8 2" xfId="50132"/>
    <cellStyle name="20% - Accent1 5 3 9" xfId="31053"/>
    <cellStyle name="20% - Accent1 5 4" xfId="690"/>
    <cellStyle name="20% - Accent1 5 4 2" xfId="1695"/>
    <cellStyle name="20% - Accent1 5 4 2 2" xfId="1696"/>
    <cellStyle name="20% - Accent1 5 4 2 2 2" xfId="1697"/>
    <cellStyle name="20% - Accent1 5 4 2 2 2 2" xfId="16999"/>
    <cellStyle name="20% - Accent1 5 4 2 2 2 2 2" xfId="26715"/>
    <cellStyle name="20% - Accent1 5 4 2 2 2 2 2 2" xfId="46469"/>
    <cellStyle name="20% - Accent1 5 4 2 2 2 2 3" xfId="36825"/>
    <cellStyle name="20% - Accent1 5 4 2 2 2 3" xfId="21905"/>
    <cellStyle name="20% - Accent1 5 4 2 2 2 3 2" xfId="41660"/>
    <cellStyle name="20% - Accent1 5 4 2 2 2 4" xfId="32016"/>
    <cellStyle name="20% - Accent1 5 4 2 2 3" xfId="16998"/>
    <cellStyle name="20% - Accent1 5 4 2 2 3 2" xfId="26714"/>
    <cellStyle name="20% - Accent1 5 4 2 2 3 2 2" xfId="46468"/>
    <cellStyle name="20% - Accent1 5 4 2 2 3 3" xfId="36824"/>
    <cellStyle name="20% - Accent1 5 4 2 2 4" xfId="21904"/>
    <cellStyle name="20% - Accent1 5 4 2 2 4 2" xfId="41659"/>
    <cellStyle name="20% - Accent1 5 4 2 2 5" xfId="32015"/>
    <cellStyle name="20% - Accent1 5 4 2 3" xfId="1698"/>
    <cellStyle name="20% - Accent1 5 4 2 3 2" xfId="17000"/>
    <cellStyle name="20% - Accent1 5 4 2 3 2 2" xfId="26716"/>
    <cellStyle name="20% - Accent1 5 4 2 3 2 2 2" xfId="46470"/>
    <cellStyle name="20% - Accent1 5 4 2 3 2 3" xfId="36826"/>
    <cellStyle name="20% - Accent1 5 4 2 3 3" xfId="21906"/>
    <cellStyle name="20% - Accent1 5 4 2 3 3 2" xfId="41661"/>
    <cellStyle name="20% - Accent1 5 4 2 3 4" xfId="32017"/>
    <cellStyle name="20% - Accent1 5 4 2 4" xfId="16997"/>
    <cellStyle name="20% - Accent1 5 4 2 4 2" xfId="26713"/>
    <cellStyle name="20% - Accent1 5 4 2 4 2 2" xfId="46467"/>
    <cellStyle name="20% - Accent1 5 4 2 4 3" xfId="36823"/>
    <cellStyle name="20% - Accent1 5 4 2 5" xfId="21903"/>
    <cellStyle name="20% - Accent1 5 4 2 5 2" xfId="41658"/>
    <cellStyle name="20% - Accent1 5 4 2 6" xfId="32014"/>
    <cellStyle name="20% - Accent1 5 4 3" xfId="1699"/>
    <cellStyle name="20% - Accent1 5 4 3 2" xfId="1700"/>
    <cellStyle name="20% - Accent1 5 4 3 2 2" xfId="17002"/>
    <cellStyle name="20% - Accent1 5 4 3 2 2 2" xfId="26718"/>
    <cellStyle name="20% - Accent1 5 4 3 2 2 2 2" xfId="46472"/>
    <cellStyle name="20% - Accent1 5 4 3 2 2 3" xfId="36828"/>
    <cellStyle name="20% - Accent1 5 4 3 2 3" xfId="21908"/>
    <cellStyle name="20% - Accent1 5 4 3 2 3 2" xfId="41663"/>
    <cellStyle name="20% - Accent1 5 4 3 2 4" xfId="32019"/>
    <cellStyle name="20% - Accent1 5 4 3 3" xfId="17001"/>
    <cellStyle name="20% - Accent1 5 4 3 3 2" xfId="26717"/>
    <cellStyle name="20% - Accent1 5 4 3 3 2 2" xfId="46471"/>
    <cellStyle name="20% - Accent1 5 4 3 3 3" xfId="36827"/>
    <cellStyle name="20% - Accent1 5 4 3 4" xfId="21907"/>
    <cellStyle name="20% - Accent1 5 4 3 4 2" xfId="41662"/>
    <cellStyle name="20% - Accent1 5 4 3 5" xfId="32018"/>
    <cellStyle name="20% - Accent1 5 4 4" xfId="1701"/>
    <cellStyle name="20% - Accent1 5 4 4 2" xfId="17003"/>
    <cellStyle name="20% - Accent1 5 4 4 2 2" xfId="26719"/>
    <cellStyle name="20% - Accent1 5 4 4 2 2 2" xfId="46473"/>
    <cellStyle name="20% - Accent1 5 4 4 2 3" xfId="36829"/>
    <cellStyle name="20% - Accent1 5 4 4 3" xfId="21909"/>
    <cellStyle name="20% - Accent1 5 4 4 3 2" xfId="41664"/>
    <cellStyle name="20% - Accent1 5 4 4 4" xfId="32020"/>
    <cellStyle name="20% - Accent1 5 4 5" xfId="16037"/>
    <cellStyle name="20% - Accent1 5 4 5 2" xfId="25753"/>
    <cellStyle name="20% - Accent1 5 4 5 2 2" xfId="45507"/>
    <cellStyle name="20% - Accent1 5 4 5 3" xfId="35863"/>
    <cellStyle name="20% - Accent1 5 4 6" xfId="20943"/>
    <cellStyle name="20% - Accent1 5 4 6 2" xfId="40698"/>
    <cellStyle name="20% - Accent1 5 4 7" xfId="31054"/>
    <cellStyle name="20% - Accent1 5 5" xfId="1702"/>
    <cellStyle name="20% - Accent1 5 5 2" xfId="1703"/>
    <cellStyle name="20% - Accent1 5 5 2 2" xfId="1704"/>
    <cellStyle name="20% - Accent1 5 5 2 2 2" xfId="1705"/>
    <cellStyle name="20% - Accent1 5 5 2 2 2 2" xfId="17007"/>
    <cellStyle name="20% - Accent1 5 5 2 2 2 2 2" xfId="26723"/>
    <cellStyle name="20% - Accent1 5 5 2 2 2 2 2 2" xfId="46477"/>
    <cellStyle name="20% - Accent1 5 5 2 2 2 2 3" xfId="36833"/>
    <cellStyle name="20% - Accent1 5 5 2 2 2 3" xfId="21913"/>
    <cellStyle name="20% - Accent1 5 5 2 2 2 3 2" xfId="41668"/>
    <cellStyle name="20% - Accent1 5 5 2 2 2 4" xfId="32024"/>
    <cellStyle name="20% - Accent1 5 5 2 2 3" xfId="17006"/>
    <cellStyle name="20% - Accent1 5 5 2 2 3 2" xfId="26722"/>
    <cellStyle name="20% - Accent1 5 5 2 2 3 2 2" xfId="46476"/>
    <cellStyle name="20% - Accent1 5 5 2 2 3 3" xfId="36832"/>
    <cellStyle name="20% - Accent1 5 5 2 2 4" xfId="21912"/>
    <cellStyle name="20% - Accent1 5 5 2 2 4 2" xfId="41667"/>
    <cellStyle name="20% - Accent1 5 5 2 2 5" xfId="32023"/>
    <cellStyle name="20% - Accent1 5 5 2 3" xfId="1706"/>
    <cellStyle name="20% - Accent1 5 5 2 3 2" xfId="17008"/>
    <cellStyle name="20% - Accent1 5 5 2 3 2 2" xfId="26724"/>
    <cellStyle name="20% - Accent1 5 5 2 3 2 2 2" xfId="46478"/>
    <cellStyle name="20% - Accent1 5 5 2 3 2 3" xfId="36834"/>
    <cellStyle name="20% - Accent1 5 5 2 3 3" xfId="21914"/>
    <cellStyle name="20% - Accent1 5 5 2 3 3 2" xfId="41669"/>
    <cellStyle name="20% - Accent1 5 5 2 3 4" xfId="32025"/>
    <cellStyle name="20% - Accent1 5 5 2 4" xfId="17005"/>
    <cellStyle name="20% - Accent1 5 5 2 4 2" xfId="26721"/>
    <cellStyle name="20% - Accent1 5 5 2 4 2 2" xfId="46475"/>
    <cellStyle name="20% - Accent1 5 5 2 4 3" xfId="36831"/>
    <cellStyle name="20% - Accent1 5 5 2 5" xfId="21911"/>
    <cellStyle name="20% - Accent1 5 5 2 5 2" xfId="41666"/>
    <cellStyle name="20% - Accent1 5 5 2 6" xfId="32022"/>
    <cellStyle name="20% - Accent1 5 5 3" xfId="1707"/>
    <cellStyle name="20% - Accent1 5 5 3 2" xfId="1708"/>
    <cellStyle name="20% - Accent1 5 5 3 2 2" xfId="17010"/>
    <cellStyle name="20% - Accent1 5 5 3 2 2 2" xfId="26726"/>
    <cellStyle name="20% - Accent1 5 5 3 2 2 2 2" xfId="46480"/>
    <cellStyle name="20% - Accent1 5 5 3 2 2 3" xfId="36836"/>
    <cellStyle name="20% - Accent1 5 5 3 2 3" xfId="21916"/>
    <cellStyle name="20% - Accent1 5 5 3 2 3 2" xfId="41671"/>
    <cellStyle name="20% - Accent1 5 5 3 2 4" xfId="32027"/>
    <cellStyle name="20% - Accent1 5 5 3 3" xfId="17009"/>
    <cellStyle name="20% - Accent1 5 5 3 3 2" xfId="26725"/>
    <cellStyle name="20% - Accent1 5 5 3 3 2 2" xfId="46479"/>
    <cellStyle name="20% - Accent1 5 5 3 3 3" xfId="36835"/>
    <cellStyle name="20% - Accent1 5 5 3 4" xfId="21915"/>
    <cellStyle name="20% - Accent1 5 5 3 4 2" xfId="41670"/>
    <cellStyle name="20% - Accent1 5 5 3 5" xfId="32026"/>
    <cellStyle name="20% - Accent1 5 5 4" xfId="1709"/>
    <cellStyle name="20% - Accent1 5 5 4 2" xfId="17011"/>
    <cellStyle name="20% - Accent1 5 5 4 2 2" xfId="26727"/>
    <cellStyle name="20% - Accent1 5 5 4 2 2 2" xfId="46481"/>
    <cellStyle name="20% - Accent1 5 5 4 2 3" xfId="36837"/>
    <cellStyle name="20% - Accent1 5 5 4 3" xfId="21917"/>
    <cellStyle name="20% - Accent1 5 5 4 3 2" xfId="41672"/>
    <cellStyle name="20% - Accent1 5 5 4 4" xfId="32028"/>
    <cellStyle name="20% - Accent1 5 5 5" xfId="17004"/>
    <cellStyle name="20% - Accent1 5 5 5 2" xfId="26720"/>
    <cellStyle name="20% - Accent1 5 5 5 2 2" xfId="46474"/>
    <cellStyle name="20% - Accent1 5 5 5 3" xfId="36830"/>
    <cellStyle name="20% - Accent1 5 5 6" xfId="21910"/>
    <cellStyle name="20% - Accent1 5 5 6 2" xfId="41665"/>
    <cellStyle name="20% - Accent1 5 5 7" xfId="32021"/>
    <cellStyle name="20% - Accent1 5 6" xfId="1710"/>
    <cellStyle name="20% - Accent1 5 6 2" xfId="1711"/>
    <cellStyle name="20% - Accent1 5 6 2 2" xfId="1712"/>
    <cellStyle name="20% - Accent1 5 6 2 2 2" xfId="17014"/>
    <cellStyle name="20% - Accent1 5 6 2 2 2 2" xfId="26730"/>
    <cellStyle name="20% - Accent1 5 6 2 2 2 2 2" xfId="46484"/>
    <cellStyle name="20% - Accent1 5 6 2 2 2 3" xfId="36840"/>
    <cellStyle name="20% - Accent1 5 6 2 2 3" xfId="21920"/>
    <cellStyle name="20% - Accent1 5 6 2 2 3 2" xfId="41675"/>
    <cellStyle name="20% - Accent1 5 6 2 2 4" xfId="32031"/>
    <cellStyle name="20% - Accent1 5 6 2 3" xfId="17013"/>
    <cellStyle name="20% - Accent1 5 6 2 3 2" xfId="26729"/>
    <cellStyle name="20% - Accent1 5 6 2 3 2 2" xfId="46483"/>
    <cellStyle name="20% - Accent1 5 6 2 3 3" xfId="36839"/>
    <cellStyle name="20% - Accent1 5 6 2 4" xfId="21919"/>
    <cellStyle name="20% - Accent1 5 6 2 4 2" xfId="41674"/>
    <cellStyle name="20% - Accent1 5 6 2 5" xfId="32030"/>
    <cellStyle name="20% - Accent1 5 6 3" xfId="1713"/>
    <cellStyle name="20% - Accent1 5 6 3 2" xfId="17015"/>
    <cellStyle name="20% - Accent1 5 6 3 2 2" xfId="26731"/>
    <cellStyle name="20% - Accent1 5 6 3 2 2 2" xfId="46485"/>
    <cellStyle name="20% - Accent1 5 6 3 2 3" xfId="36841"/>
    <cellStyle name="20% - Accent1 5 6 3 3" xfId="21921"/>
    <cellStyle name="20% - Accent1 5 6 3 3 2" xfId="41676"/>
    <cellStyle name="20% - Accent1 5 6 3 4" xfId="32032"/>
    <cellStyle name="20% - Accent1 5 6 4" xfId="17012"/>
    <cellStyle name="20% - Accent1 5 6 4 2" xfId="26728"/>
    <cellStyle name="20% - Accent1 5 6 4 2 2" xfId="46482"/>
    <cellStyle name="20% - Accent1 5 6 4 3" xfId="36838"/>
    <cellStyle name="20% - Accent1 5 6 5" xfId="21918"/>
    <cellStyle name="20% - Accent1 5 6 5 2" xfId="41673"/>
    <cellStyle name="20% - Accent1 5 6 6" xfId="32029"/>
    <cellStyle name="20% - Accent1 5 7" xfId="1714"/>
    <cellStyle name="20% - Accent1 5 7 2" xfId="1715"/>
    <cellStyle name="20% - Accent1 5 7 2 2" xfId="17017"/>
    <cellStyle name="20% - Accent1 5 7 2 2 2" xfId="26733"/>
    <cellStyle name="20% - Accent1 5 7 2 2 2 2" xfId="46487"/>
    <cellStyle name="20% - Accent1 5 7 2 2 3" xfId="36843"/>
    <cellStyle name="20% - Accent1 5 7 2 3" xfId="21923"/>
    <cellStyle name="20% - Accent1 5 7 2 3 2" xfId="41678"/>
    <cellStyle name="20% - Accent1 5 7 2 4" xfId="32034"/>
    <cellStyle name="20% - Accent1 5 7 3" xfId="17016"/>
    <cellStyle name="20% - Accent1 5 7 3 2" xfId="26732"/>
    <cellStyle name="20% - Accent1 5 7 3 2 2" xfId="46486"/>
    <cellStyle name="20% - Accent1 5 7 3 3" xfId="36842"/>
    <cellStyle name="20% - Accent1 5 7 4" xfId="21922"/>
    <cellStyle name="20% - Accent1 5 7 4 2" xfId="41677"/>
    <cellStyle name="20% - Accent1 5 7 5" xfId="32033"/>
    <cellStyle name="20% - Accent1 5 8" xfId="1716"/>
    <cellStyle name="20% - Accent1 5 8 2" xfId="1717"/>
    <cellStyle name="20% - Accent1 5 8 2 2" xfId="17019"/>
    <cellStyle name="20% - Accent1 5 8 2 2 2" xfId="26735"/>
    <cellStyle name="20% - Accent1 5 8 2 2 2 2" xfId="46489"/>
    <cellStyle name="20% - Accent1 5 8 2 2 3" xfId="36845"/>
    <cellStyle name="20% - Accent1 5 8 2 3" xfId="21925"/>
    <cellStyle name="20% - Accent1 5 8 2 3 2" xfId="41680"/>
    <cellStyle name="20% - Accent1 5 8 2 4" xfId="32036"/>
    <cellStyle name="20% - Accent1 5 8 3" xfId="17018"/>
    <cellStyle name="20% - Accent1 5 8 3 2" xfId="26734"/>
    <cellStyle name="20% - Accent1 5 8 3 2 2" xfId="46488"/>
    <cellStyle name="20% - Accent1 5 8 3 3" xfId="36844"/>
    <cellStyle name="20% - Accent1 5 8 4" xfId="21924"/>
    <cellStyle name="20% - Accent1 5 8 4 2" xfId="41679"/>
    <cellStyle name="20% - Accent1 5 8 5" xfId="32035"/>
    <cellStyle name="20% - Accent1 5 9" xfId="1718"/>
    <cellStyle name="20% - Accent1 5 9 2" xfId="17020"/>
    <cellStyle name="20% - Accent1 5 9 2 2" xfId="26736"/>
    <cellStyle name="20% - Accent1 5 9 2 2 2" xfId="46490"/>
    <cellStyle name="20% - Accent1 5 9 2 3" xfId="36846"/>
    <cellStyle name="20% - Accent1 5 9 3" xfId="21926"/>
    <cellStyle name="20% - Accent1 5 9 3 2" xfId="41681"/>
    <cellStyle name="20% - Accent1 5 9 4" xfId="32037"/>
    <cellStyle name="20% - Accent1 6" xfId="14"/>
    <cellStyle name="20% - Accent1 6 10" xfId="1719"/>
    <cellStyle name="20% - Accent1 6 10 2" xfId="17021"/>
    <cellStyle name="20% - Accent1 6 10 2 2" xfId="26737"/>
    <cellStyle name="20% - Accent1 6 10 2 2 2" xfId="46491"/>
    <cellStyle name="20% - Accent1 6 10 2 3" xfId="36847"/>
    <cellStyle name="20% - Accent1 6 10 3" xfId="21927"/>
    <cellStyle name="20% - Accent1 6 10 3 2" xfId="41682"/>
    <cellStyle name="20% - Accent1 6 10 4" xfId="32038"/>
    <cellStyle name="20% - Accent1 6 11" xfId="1720"/>
    <cellStyle name="20% - Accent1 6 11 2" xfId="17022"/>
    <cellStyle name="20% - Accent1 6 11 2 2" xfId="26738"/>
    <cellStyle name="20% - Accent1 6 11 2 2 2" xfId="46492"/>
    <cellStyle name="20% - Accent1 6 11 2 3" xfId="36848"/>
    <cellStyle name="20% - Accent1 6 11 3" xfId="21928"/>
    <cellStyle name="20% - Accent1 6 11 3 2" xfId="41683"/>
    <cellStyle name="20% - Accent1 6 11 4" xfId="32039"/>
    <cellStyle name="20% - Accent1 6 12" xfId="15367"/>
    <cellStyle name="20% - Accent1 6 12 2" xfId="20239"/>
    <cellStyle name="20% - Accent1 6 12 2 2" xfId="29953"/>
    <cellStyle name="20% - Accent1 6 12 2 2 2" xfId="49706"/>
    <cellStyle name="20% - Accent1 6 12 2 3" xfId="40062"/>
    <cellStyle name="20% - Accent1 6 12 3" xfId="25141"/>
    <cellStyle name="20% - Accent1 6 12 3 2" xfId="44895"/>
    <cellStyle name="20% - Accent1 6 12 4" xfId="35251"/>
    <cellStyle name="20% - Accent1 6 13" xfId="15821"/>
    <cellStyle name="20% - Accent1 6 13 2" xfId="25537"/>
    <cellStyle name="20% - Accent1 6 13 2 2" xfId="45291"/>
    <cellStyle name="20% - Accent1 6 13 3" xfId="35647"/>
    <cellStyle name="20% - Accent1 6 14" xfId="20693"/>
    <cellStyle name="20% - Accent1 6 14 2" xfId="40473"/>
    <cellStyle name="20% - Accent1 6 15" xfId="30385"/>
    <cellStyle name="20% - Accent1 6 15 2" xfId="50133"/>
    <cellStyle name="20% - Accent1 6 16" xfId="30804"/>
    <cellStyle name="20% - Accent1 6 2" xfId="15"/>
    <cellStyle name="20% - Accent1 6 2 10" xfId="15368"/>
    <cellStyle name="20% - Accent1 6 2 10 2" xfId="20240"/>
    <cellStyle name="20% - Accent1 6 2 10 2 2" xfId="29954"/>
    <cellStyle name="20% - Accent1 6 2 10 2 2 2" xfId="49707"/>
    <cellStyle name="20% - Accent1 6 2 10 2 3" xfId="40063"/>
    <cellStyle name="20% - Accent1 6 2 10 3" xfId="25142"/>
    <cellStyle name="20% - Accent1 6 2 10 3 2" xfId="44896"/>
    <cellStyle name="20% - Accent1 6 2 10 4" xfId="35252"/>
    <cellStyle name="20% - Accent1 6 2 11" xfId="15822"/>
    <cellStyle name="20% - Accent1 6 2 11 2" xfId="25538"/>
    <cellStyle name="20% - Accent1 6 2 11 2 2" xfId="45292"/>
    <cellStyle name="20% - Accent1 6 2 11 3" xfId="35648"/>
    <cellStyle name="20% - Accent1 6 2 12" xfId="20694"/>
    <cellStyle name="20% - Accent1 6 2 12 2" xfId="40474"/>
    <cellStyle name="20% - Accent1 6 2 13" xfId="30386"/>
    <cellStyle name="20% - Accent1 6 2 13 2" xfId="50134"/>
    <cellStyle name="20% - Accent1 6 2 14" xfId="30805"/>
    <cellStyle name="20% - Accent1 6 2 2" xfId="691"/>
    <cellStyle name="20% - Accent1 6 2 2 2" xfId="1721"/>
    <cellStyle name="20% - Accent1 6 2 2 2 2" xfId="1722"/>
    <cellStyle name="20% - Accent1 6 2 2 2 2 2" xfId="1723"/>
    <cellStyle name="20% - Accent1 6 2 2 2 2 2 2" xfId="17025"/>
    <cellStyle name="20% - Accent1 6 2 2 2 2 2 2 2" xfId="26741"/>
    <cellStyle name="20% - Accent1 6 2 2 2 2 2 2 2 2" xfId="46495"/>
    <cellStyle name="20% - Accent1 6 2 2 2 2 2 2 3" xfId="36851"/>
    <cellStyle name="20% - Accent1 6 2 2 2 2 2 3" xfId="21931"/>
    <cellStyle name="20% - Accent1 6 2 2 2 2 2 3 2" xfId="41686"/>
    <cellStyle name="20% - Accent1 6 2 2 2 2 2 4" xfId="32042"/>
    <cellStyle name="20% - Accent1 6 2 2 2 2 3" xfId="17024"/>
    <cellStyle name="20% - Accent1 6 2 2 2 2 3 2" xfId="26740"/>
    <cellStyle name="20% - Accent1 6 2 2 2 2 3 2 2" xfId="46494"/>
    <cellStyle name="20% - Accent1 6 2 2 2 2 3 3" xfId="36850"/>
    <cellStyle name="20% - Accent1 6 2 2 2 2 4" xfId="21930"/>
    <cellStyle name="20% - Accent1 6 2 2 2 2 4 2" xfId="41685"/>
    <cellStyle name="20% - Accent1 6 2 2 2 2 5" xfId="32041"/>
    <cellStyle name="20% - Accent1 6 2 2 2 3" xfId="1724"/>
    <cellStyle name="20% - Accent1 6 2 2 2 3 2" xfId="17026"/>
    <cellStyle name="20% - Accent1 6 2 2 2 3 2 2" xfId="26742"/>
    <cellStyle name="20% - Accent1 6 2 2 2 3 2 2 2" xfId="46496"/>
    <cellStyle name="20% - Accent1 6 2 2 2 3 2 3" xfId="36852"/>
    <cellStyle name="20% - Accent1 6 2 2 2 3 3" xfId="21932"/>
    <cellStyle name="20% - Accent1 6 2 2 2 3 3 2" xfId="41687"/>
    <cellStyle name="20% - Accent1 6 2 2 2 3 4" xfId="32043"/>
    <cellStyle name="20% - Accent1 6 2 2 2 4" xfId="17023"/>
    <cellStyle name="20% - Accent1 6 2 2 2 4 2" xfId="26739"/>
    <cellStyle name="20% - Accent1 6 2 2 2 4 2 2" xfId="46493"/>
    <cellStyle name="20% - Accent1 6 2 2 2 4 3" xfId="36849"/>
    <cellStyle name="20% - Accent1 6 2 2 2 5" xfId="21929"/>
    <cellStyle name="20% - Accent1 6 2 2 2 5 2" xfId="41684"/>
    <cellStyle name="20% - Accent1 6 2 2 2 6" xfId="32040"/>
    <cellStyle name="20% - Accent1 6 2 2 3" xfId="1725"/>
    <cellStyle name="20% - Accent1 6 2 2 3 2" xfId="1726"/>
    <cellStyle name="20% - Accent1 6 2 2 3 2 2" xfId="17028"/>
    <cellStyle name="20% - Accent1 6 2 2 3 2 2 2" xfId="26744"/>
    <cellStyle name="20% - Accent1 6 2 2 3 2 2 2 2" xfId="46498"/>
    <cellStyle name="20% - Accent1 6 2 2 3 2 2 3" xfId="36854"/>
    <cellStyle name="20% - Accent1 6 2 2 3 2 3" xfId="21934"/>
    <cellStyle name="20% - Accent1 6 2 2 3 2 3 2" xfId="41689"/>
    <cellStyle name="20% - Accent1 6 2 2 3 2 4" xfId="32045"/>
    <cellStyle name="20% - Accent1 6 2 2 3 3" xfId="17027"/>
    <cellStyle name="20% - Accent1 6 2 2 3 3 2" xfId="26743"/>
    <cellStyle name="20% - Accent1 6 2 2 3 3 2 2" xfId="46497"/>
    <cellStyle name="20% - Accent1 6 2 2 3 3 3" xfId="36853"/>
    <cellStyle name="20% - Accent1 6 2 2 3 4" xfId="21933"/>
    <cellStyle name="20% - Accent1 6 2 2 3 4 2" xfId="41688"/>
    <cellStyle name="20% - Accent1 6 2 2 3 5" xfId="32044"/>
    <cellStyle name="20% - Accent1 6 2 2 4" xfId="1727"/>
    <cellStyle name="20% - Accent1 6 2 2 4 2" xfId="17029"/>
    <cellStyle name="20% - Accent1 6 2 2 4 2 2" xfId="26745"/>
    <cellStyle name="20% - Accent1 6 2 2 4 2 2 2" xfId="46499"/>
    <cellStyle name="20% - Accent1 6 2 2 4 2 3" xfId="36855"/>
    <cellStyle name="20% - Accent1 6 2 2 4 3" xfId="21935"/>
    <cellStyle name="20% - Accent1 6 2 2 4 3 2" xfId="41690"/>
    <cellStyle name="20% - Accent1 6 2 2 4 4" xfId="32046"/>
    <cellStyle name="20% - Accent1 6 2 2 5" xfId="15369"/>
    <cellStyle name="20% - Accent1 6 2 2 5 2" xfId="20241"/>
    <cellStyle name="20% - Accent1 6 2 2 5 2 2" xfId="29955"/>
    <cellStyle name="20% - Accent1 6 2 2 5 2 2 2" xfId="49708"/>
    <cellStyle name="20% - Accent1 6 2 2 5 2 3" xfId="40064"/>
    <cellStyle name="20% - Accent1 6 2 2 5 3" xfId="25143"/>
    <cellStyle name="20% - Accent1 6 2 2 5 3 2" xfId="44897"/>
    <cellStyle name="20% - Accent1 6 2 2 5 4" xfId="35253"/>
    <cellStyle name="20% - Accent1 6 2 2 6" xfId="16038"/>
    <cellStyle name="20% - Accent1 6 2 2 6 2" xfId="25754"/>
    <cellStyle name="20% - Accent1 6 2 2 6 2 2" xfId="45508"/>
    <cellStyle name="20% - Accent1 6 2 2 6 3" xfId="35864"/>
    <cellStyle name="20% - Accent1 6 2 2 7" xfId="20944"/>
    <cellStyle name="20% - Accent1 6 2 2 7 2" xfId="40699"/>
    <cellStyle name="20% - Accent1 6 2 2 8" xfId="30387"/>
    <cellStyle name="20% - Accent1 6 2 2 8 2" xfId="50135"/>
    <cellStyle name="20% - Accent1 6 2 2 9" xfId="31055"/>
    <cellStyle name="20% - Accent1 6 2 3" xfId="692"/>
    <cellStyle name="20% - Accent1 6 2 3 2" xfId="1728"/>
    <cellStyle name="20% - Accent1 6 2 3 2 2" xfId="1729"/>
    <cellStyle name="20% - Accent1 6 2 3 2 2 2" xfId="1730"/>
    <cellStyle name="20% - Accent1 6 2 3 2 2 2 2" xfId="17032"/>
    <cellStyle name="20% - Accent1 6 2 3 2 2 2 2 2" xfId="26748"/>
    <cellStyle name="20% - Accent1 6 2 3 2 2 2 2 2 2" xfId="46502"/>
    <cellStyle name="20% - Accent1 6 2 3 2 2 2 2 3" xfId="36858"/>
    <cellStyle name="20% - Accent1 6 2 3 2 2 2 3" xfId="21938"/>
    <cellStyle name="20% - Accent1 6 2 3 2 2 2 3 2" xfId="41693"/>
    <cellStyle name="20% - Accent1 6 2 3 2 2 2 4" xfId="32049"/>
    <cellStyle name="20% - Accent1 6 2 3 2 2 3" xfId="17031"/>
    <cellStyle name="20% - Accent1 6 2 3 2 2 3 2" xfId="26747"/>
    <cellStyle name="20% - Accent1 6 2 3 2 2 3 2 2" xfId="46501"/>
    <cellStyle name="20% - Accent1 6 2 3 2 2 3 3" xfId="36857"/>
    <cellStyle name="20% - Accent1 6 2 3 2 2 4" xfId="21937"/>
    <cellStyle name="20% - Accent1 6 2 3 2 2 4 2" xfId="41692"/>
    <cellStyle name="20% - Accent1 6 2 3 2 2 5" xfId="32048"/>
    <cellStyle name="20% - Accent1 6 2 3 2 3" xfId="1731"/>
    <cellStyle name="20% - Accent1 6 2 3 2 3 2" xfId="17033"/>
    <cellStyle name="20% - Accent1 6 2 3 2 3 2 2" xfId="26749"/>
    <cellStyle name="20% - Accent1 6 2 3 2 3 2 2 2" xfId="46503"/>
    <cellStyle name="20% - Accent1 6 2 3 2 3 2 3" xfId="36859"/>
    <cellStyle name="20% - Accent1 6 2 3 2 3 3" xfId="21939"/>
    <cellStyle name="20% - Accent1 6 2 3 2 3 3 2" xfId="41694"/>
    <cellStyle name="20% - Accent1 6 2 3 2 3 4" xfId="32050"/>
    <cellStyle name="20% - Accent1 6 2 3 2 4" xfId="17030"/>
    <cellStyle name="20% - Accent1 6 2 3 2 4 2" xfId="26746"/>
    <cellStyle name="20% - Accent1 6 2 3 2 4 2 2" xfId="46500"/>
    <cellStyle name="20% - Accent1 6 2 3 2 4 3" xfId="36856"/>
    <cellStyle name="20% - Accent1 6 2 3 2 5" xfId="21936"/>
    <cellStyle name="20% - Accent1 6 2 3 2 5 2" xfId="41691"/>
    <cellStyle name="20% - Accent1 6 2 3 2 6" xfId="32047"/>
    <cellStyle name="20% - Accent1 6 2 3 3" xfId="1732"/>
    <cellStyle name="20% - Accent1 6 2 3 3 2" xfId="1733"/>
    <cellStyle name="20% - Accent1 6 2 3 3 2 2" xfId="17035"/>
    <cellStyle name="20% - Accent1 6 2 3 3 2 2 2" xfId="26751"/>
    <cellStyle name="20% - Accent1 6 2 3 3 2 2 2 2" xfId="46505"/>
    <cellStyle name="20% - Accent1 6 2 3 3 2 2 3" xfId="36861"/>
    <cellStyle name="20% - Accent1 6 2 3 3 2 3" xfId="21941"/>
    <cellStyle name="20% - Accent1 6 2 3 3 2 3 2" xfId="41696"/>
    <cellStyle name="20% - Accent1 6 2 3 3 2 4" xfId="32052"/>
    <cellStyle name="20% - Accent1 6 2 3 3 3" xfId="17034"/>
    <cellStyle name="20% - Accent1 6 2 3 3 3 2" xfId="26750"/>
    <cellStyle name="20% - Accent1 6 2 3 3 3 2 2" xfId="46504"/>
    <cellStyle name="20% - Accent1 6 2 3 3 3 3" xfId="36860"/>
    <cellStyle name="20% - Accent1 6 2 3 3 4" xfId="21940"/>
    <cellStyle name="20% - Accent1 6 2 3 3 4 2" xfId="41695"/>
    <cellStyle name="20% - Accent1 6 2 3 3 5" xfId="32051"/>
    <cellStyle name="20% - Accent1 6 2 3 4" xfId="1734"/>
    <cellStyle name="20% - Accent1 6 2 3 4 2" xfId="17036"/>
    <cellStyle name="20% - Accent1 6 2 3 4 2 2" xfId="26752"/>
    <cellStyle name="20% - Accent1 6 2 3 4 2 2 2" xfId="46506"/>
    <cellStyle name="20% - Accent1 6 2 3 4 2 3" xfId="36862"/>
    <cellStyle name="20% - Accent1 6 2 3 4 3" xfId="21942"/>
    <cellStyle name="20% - Accent1 6 2 3 4 3 2" xfId="41697"/>
    <cellStyle name="20% - Accent1 6 2 3 4 4" xfId="32053"/>
    <cellStyle name="20% - Accent1 6 2 3 5" xfId="16039"/>
    <cellStyle name="20% - Accent1 6 2 3 5 2" xfId="25755"/>
    <cellStyle name="20% - Accent1 6 2 3 5 2 2" xfId="45509"/>
    <cellStyle name="20% - Accent1 6 2 3 5 3" xfId="35865"/>
    <cellStyle name="20% - Accent1 6 2 3 6" xfId="20945"/>
    <cellStyle name="20% - Accent1 6 2 3 6 2" xfId="40700"/>
    <cellStyle name="20% - Accent1 6 2 3 7" xfId="31056"/>
    <cellStyle name="20% - Accent1 6 2 4" xfId="1735"/>
    <cellStyle name="20% - Accent1 6 2 4 2" xfId="1736"/>
    <cellStyle name="20% - Accent1 6 2 4 2 2" xfId="1737"/>
    <cellStyle name="20% - Accent1 6 2 4 2 2 2" xfId="1738"/>
    <cellStyle name="20% - Accent1 6 2 4 2 2 2 2" xfId="17040"/>
    <cellStyle name="20% - Accent1 6 2 4 2 2 2 2 2" xfId="26756"/>
    <cellStyle name="20% - Accent1 6 2 4 2 2 2 2 2 2" xfId="46510"/>
    <cellStyle name="20% - Accent1 6 2 4 2 2 2 2 3" xfId="36866"/>
    <cellStyle name="20% - Accent1 6 2 4 2 2 2 3" xfId="21946"/>
    <cellStyle name="20% - Accent1 6 2 4 2 2 2 3 2" xfId="41701"/>
    <cellStyle name="20% - Accent1 6 2 4 2 2 2 4" xfId="32057"/>
    <cellStyle name="20% - Accent1 6 2 4 2 2 3" xfId="17039"/>
    <cellStyle name="20% - Accent1 6 2 4 2 2 3 2" xfId="26755"/>
    <cellStyle name="20% - Accent1 6 2 4 2 2 3 2 2" xfId="46509"/>
    <cellStyle name="20% - Accent1 6 2 4 2 2 3 3" xfId="36865"/>
    <cellStyle name="20% - Accent1 6 2 4 2 2 4" xfId="21945"/>
    <cellStyle name="20% - Accent1 6 2 4 2 2 4 2" xfId="41700"/>
    <cellStyle name="20% - Accent1 6 2 4 2 2 5" xfId="32056"/>
    <cellStyle name="20% - Accent1 6 2 4 2 3" xfId="1739"/>
    <cellStyle name="20% - Accent1 6 2 4 2 3 2" xfId="17041"/>
    <cellStyle name="20% - Accent1 6 2 4 2 3 2 2" xfId="26757"/>
    <cellStyle name="20% - Accent1 6 2 4 2 3 2 2 2" xfId="46511"/>
    <cellStyle name="20% - Accent1 6 2 4 2 3 2 3" xfId="36867"/>
    <cellStyle name="20% - Accent1 6 2 4 2 3 3" xfId="21947"/>
    <cellStyle name="20% - Accent1 6 2 4 2 3 3 2" xfId="41702"/>
    <cellStyle name="20% - Accent1 6 2 4 2 3 4" xfId="32058"/>
    <cellStyle name="20% - Accent1 6 2 4 2 4" xfId="17038"/>
    <cellStyle name="20% - Accent1 6 2 4 2 4 2" xfId="26754"/>
    <cellStyle name="20% - Accent1 6 2 4 2 4 2 2" xfId="46508"/>
    <cellStyle name="20% - Accent1 6 2 4 2 4 3" xfId="36864"/>
    <cellStyle name="20% - Accent1 6 2 4 2 5" xfId="21944"/>
    <cellStyle name="20% - Accent1 6 2 4 2 5 2" xfId="41699"/>
    <cellStyle name="20% - Accent1 6 2 4 2 6" xfId="32055"/>
    <cellStyle name="20% - Accent1 6 2 4 3" xfId="1740"/>
    <cellStyle name="20% - Accent1 6 2 4 3 2" xfId="1741"/>
    <cellStyle name="20% - Accent1 6 2 4 3 2 2" xfId="17043"/>
    <cellStyle name="20% - Accent1 6 2 4 3 2 2 2" xfId="26759"/>
    <cellStyle name="20% - Accent1 6 2 4 3 2 2 2 2" xfId="46513"/>
    <cellStyle name="20% - Accent1 6 2 4 3 2 2 3" xfId="36869"/>
    <cellStyle name="20% - Accent1 6 2 4 3 2 3" xfId="21949"/>
    <cellStyle name="20% - Accent1 6 2 4 3 2 3 2" xfId="41704"/>
    <cellStyle name="20% - Accent1 6 2 4 3 2 4" xfId="32060"/>
    <cellStyle name="20% - Accent1 6 2 4 3 3" xfId="17042"/>
    <cellStyle name="20% - Accent1 6 2 4 3 3 2" xfId="26758"/>
    <cellStyle name="20% - Accent1 6 2 4 3 3 2 2" xfId="46512"/>
    <cellStyle name="20% - Accent1 6 2 4 3 3 3" xfId="36868"/>
    <cellStyle name="20% - Accent1 6 2 4 3 4" xfId="21948"/>
    <cellStyle name="20% - Accent1 6 2 4 3 4 2" xfId="41703"/>
    <cellStyle name="20% - Accent1 6 2 4 3 5" xfId="32059"/>
    <cellStyle name="20% - Accent1 6 2 4 4" xfId="1742"/>
    <cellStyle name="20% - Accent1 6 2 4 4 2" xfId="17044"/>
    <cellStyle name="20% - Accent1 6 2 4 4 2 2" xfId="26760"/>
    <cellStyle name="20% - Accent1 6 2 4 4 2 2 2" xfId="46514"/>
    <cellStyle name="20% - Accent1 6 2 4 4 2 3" xfId="36870"/>
    <cellStyle name="20% - Accent1 6 2 4 4 3" xfId="21950"/>
    <cellStyle name="20% - Accent1 6 2 4 4 3 2" xfId="41705"/>
    <cellStyle name="20% - Accent1 6 2 4 4 4" xfId="32061"/>
    <cellStyle name="20% - Accent1 6 2 4 5" xfId="17037"/>
    <cellStyle name="20% - Accent1 6 2 4 5 2" xfId="26753"/>
    <cellStyle name="20% - Accent1 6 2 4 5 2 2" xfId="46507"/>
    <cellStyle name="20% - Accent1 6 2 4 5 3" xfId="36863"/>
    <cellStyle name="20% - Accent1 6 2 4 6" xfId="21943"/>
    <cellStyle name="20% - Accent1 6 2 4 6 2" xfId="41698"/>
    <cellStyle name="20% - Accent1 6 2 4 7" xfId="32054"/>
    <cellStyle name="20% - Accent1 6 2 5" xfId="1743"/>
    <cellStyle name="20% - Accent1 6 2 5 2" xfId="1744"/>
    <cellStyle name="20% - Accent1 6 2 5 2 2" xfId="1745"/>
    <cellStyle name="20% - Accent1 6 2 5 2 2 2" xfId="17047"/>
    <cellStyle name="20% - Accent1 6 2 5 2 2 2 2" xfId="26763"/>
    <cellStyle name="20% - Accent1 6 2 5 2 2 2 2 2" xfId="46517"/>
    <cellStyle name="20% - Accent1 6 2 5 2 2 2 3" xfId="36873"/>
    <cellStyle name="20% - Accent1 6 2 5 2 2 3" xfId="21953"/>
    <cellStyle name="20% - Accent1 6 2 5 2 2 3 2" xfId="41708"/>
    <cellStyle name="20% - Accent1 6 2 5 2 2 4" xfId="32064"/>
    <cellStyle name="20% - Accent1 6 2 5 2 3" xfId="17046"/>
    <cellStyle name="20% - Accent1 6 2 5 2 3 2" xfId="26762"/>
    <cellStyle name="20% - Accent1 6 2 5 2 3 2 2" xfId="46516"/>
    <cellStyle name="20% - Accent1 6 2 5 2 3 3" xfId="36872"/>
    <cellStyle name="20% - Accent1 6 2 5 2 4" xfId="21952"/>
    <cellStyle name="20% - Accent1 6 2 5 2 4 2" xfId="41707"/>
    <cellStyle name="20% - Accent1 6 2 5 2 5" xfId="32063"/>
    <cellStyle name="20% - Accent1 6 2 5 3" xfId="1746"/>
    <cellStyle name="20% - Accent1 6 2 5 3 2" xfId="17048"/>
    <cellStyle name="20% - Accent1 6 2 5 3 2 2" xfId="26764"/>
    <cellStyle name="20% - Accent1 6 2 5 3 2 2 2" xfId="46518"/>
    <cellStyle name="20% - Accent1 6 2 5 3 2 3" xfId="36874"/>
    <cellStyle name="20% - Accent1 6 2 5 3 3" xfId="21954"/>
    <cellStyle name="20% - Accent1 6 2 5 3 3 2" xfId="41709"/>
    <cellStyle name="20% - Accent1 6 2 5 3 4" xfId="32065"/>
    <cellStyle name="20% - Accent1 6 2 5 4" xfId="17045"/>
    <cellStyle name="20% - Accent1 6 2 5 4 2" xfId="26761"/>
    <cellStyle name="20% - Accent1 6 2 5 4 2 2" xfId="46515"/>
    <cellStyle name="20% - Accent1 6 2 5 4 3" xfId="36871"/>
    <cellStyle name="20% - Accent1 6 2 5 5" xfId="21951"/>
    <cellStyle name="20% - Accent1 6 2 5 5 2" xfId="41706"/>
    <cellStyle name="20% - Accent1 6 2 5 6" xfId="32062"/>
    <cellStyle name="20% - Accent1 6 2 6" xfId="1747"/>
    <cellStyle name="20% - Accent1 6 2 6 2" xfId="1748"/>
    <cellStyle name="20% - Accent1 6 2 6 2 2" xfId="17050"/>
    <cellStyle name="20% - Accent1 6 2 6 2 2 2" xfId="26766"/>
    <cellStyle name="20% - Accent1 6 2 6 2 2 2 2" xfId="46520"/>
    <cellStyle name="20% - Accent1 6 2 6 2 2 3" xfId="36876"/>
    <cellStyle name="20% - Accent1 6 2 6 2 3" xfId="21956"/>
    <cellStyle name="20% - Accent1 6 2 6 2 3 2" xfId="41711"/>
    <cellStyle name="20% - Accent1 6 2 6 2 4" xfId="32067"/>
    <cellStyle name="20% - Accent1 6 2 6 3" xfId="17049"/>
    <cellStyle name="20% - Accent1 6 2 6 3 2" xfId="26765"/>
    <cellStyle name="20% - Accent1 6 2 6 3 2 2" xfId="46519"/>
    <cellStyle name="20% - Accent1 6 2 6 3 3" xfId="36875"/>
    <cellStyle name="20% - Accent1 6 2 6 4" xfId="21955"/>
    <cellStyle name="20% - Accent1 6 2 6 4 2" xfId="41710"/>
    <cellStyle name="20% - Accent1 6 2 6 5" xfId="32066"/>
    <cellStyle name="20% - Accent1 6 2 7" xfId="1749"/>
    <cellStyle name="20% - Accent1 6 2 7 2" xfId="17051"/>
    <cellStyle name="20% - Accent1 6 2 7 2 2" xfId="26767"/>
    <cellStyle name="20% - Accent1 6 2 7 2 2 2" xfId="46521"/>
    <cellStyle name="20% - Accent1 6 2 7 2 3" xfId="36877"/>
    <cellStyle name="20% - Accent1 6 2 7 3" xfId="21957"/>
    <cellStyle name="20% - Accent1 6 2 7 3 2" xfId="41712"/>
    <cellStyle name="20% - Accent1 6 2 7 4" xfId="32068"/>
    <cellStyle name="20% - Accent1 6 2 8" xfId="1750"/>
    <cellStyle name="20% - Accent1 6 2 8 2" xfId="17052"/>
    <cellStyle name="20% - Accent1 6 2 8 2 2" xfId="26768"/>
    <cellStyle name="20% - Accent1 6 2 8 2 2 2" xfId="46522"/>
    <cellStyle name="20% - Accent1 6 2 8 2 3" xfId="36878"/>
    <cellStyle name="20% - Accent1 6 2 8 3" xfId="21958"/>
    <cellStyle name="20% - Accent1 6 2 8 3 2" xfId="41713"/>
    <cellStyle name="20% - Accent1 6 2 8 4" xfId="32069"/>
    <cellStyle name="20% - Accent1 6 2 9" xfId="1751"/>
    <cellStyle name="20% - Accent1 6 2 9 2" xfId="17053"/>
    <cellStyle name="20% - Accent1 6 2 9 2 2" xfId="26769"/>
    <cellStyle name="20% - Accent1 6 2 9 2 2 2" xfId="46523"/>
    <cellStyle name="20% - Accent1 6 2 9 2 3" xfId="36879"/>
    <cellStyle name="20% - Accent1 6 2 9 3" xfId="21959"/>
    <cellStyle name="20% - Accent1 6 2 9 3 2" xfId="41714"/>
    <cellStyle name="20% - Accent1 6 2 9 4" xfId="32070"/>
    <cellStyle name="20% - Accent1 6 3" xfId="693"/>
    <cellStyle name="20% - Accent1 6 3 2" xfId="1752"/>
    <cellStyle name="20% - Accent1 6 3 2 2" xfId="1753"/>
    <cellStyle name="20% - Accent1 6 3 2 2 2" xfId="1754"/>
    <cellStyle name="20% - Accent1 6 3 2 2 2 2" xfId="17056"/>
    <cellStyle name="20% - Accent1 6 3 2 2 2 2 2" xfId="26772"/>
    <cellStyle name="20% - Accent1 6 3 2 2 2 2 2 2" xfId="46526"/>
    <cellStyle name="20% - Accent1 6 3 2 2 2 2 3" xfId="36882"/>
    <cellStyle name="20% - Accent1 6 3 2 2 2 3" xfId="21962"/>
    <cellStyle name="20% - Accent1 6 3 2 2 2 3 2" xfId="41717"/>
    <cellStyle name="20% - Accent1 6 3 2 2 2 4" xfId="32073"/>
    <cellStyle name="20% - Accent1 6 3 2 2 3" xfId="17055"/>
    <cellStyle name="20% - Accent1 6 3 2 2 3 2" xfId="26771"/>
    <cellStyle name="20% - Accent1 6 3 2 2 3 2 2" xfId="46525"/>
    <cellStyle name="20% - Accent1 6 3 2 2 3 3" xfId="36881"/>
    <cellStyle name="20% - Accent1 6 3 2 2 4" xfId="21961"/>
    <cellStyle name="20% - Accent1 6 3 2 2 4 2" xfId="41716"/>
    <cellStyle name="20% - Accent1 6 3 2 2 5" xfId="32072"/>
    <cellStyle name="20% - Accent1 6 3 2 3" xfId="1755"/>
    <cellStyle name="20% - Accent1 6 3 2 3 2" xfId="17057"/>
    <cellStyle name="20% - Accent1 6 3 2 3 2 2" xfId="26773"/>
    <cellStyle name="20% - Accent1 6 3 2 3 2 2 2" xfId="46527"/>
    <cellStyle name="20% - Accent1 6 3 2 3 2 3" xfId="36883"/>
    <cellStyle name="20% - Accent1 6 3 2 3 3" xfId="21963"/>
    <cellStyle name="20% - Accent1 6 3 2 3 3 2" xfId="41718"/>
    <cellStyle name="20% - Accent1 6 3 2 3 4" xfId="32074"/>
    <cellStyle name="20% - Accent1 6 3 2 4" xfId="17054"/>
    <cellStyle name="20% - Accent1 6 3 2 4 2" xfId="26770"/>
    <cellStyle name="20% - Accent1 6 3 2 4 2 2" xfId="46524"/>
    <cellStyle name="20% - Accent1 6 3 2 4 3" xfId="36880"/>
    <cellStyle name="20% - Accent1 6 3 2 5" xfId="21960"/>
    <cellStyle name="20% - Accent1 6 3 2 5 2" xfId="41715"/>
    <cellStyle name="20% - Accent1 6 3 2 6" xfId="32071"/>
    <cellStyle name="20% - Accent1 6 3 3" xfId="1756"/>
    <cellStyle name="20% - Accent1 6 3 3 2" xfId="1757"/>
    <cellStyle name="20% - Accent1 6 3 3 2 2" xfId="17059"/>
    <cellStyle name="20% - Accent1 6 3 3 2 2 2" xfId="26775"/>
    <cellStyle name="20% - Accent1 6 3 3 2 2 2 2" xfId="46529"/>
    <cellStyle name="20% - Accent1 6 3 3 2 2 3" xfId="36885"/>
    <cellStyle name="20% - Accent1 6 3 3 2 3" xfId="21965"/>
    <cellStyle name="20% - Accent1 6 3 3 2 3 2" xfId="41720"/>
    <cellStyle name="20% - Accent1 6 3 3 2 4" xfId="32076"/>
    <cellStyle name="20% - Accent1 6 3 3 3" xfId="17058"/>
    <cellStyle name="20% - Accent1 6 3 3 3 2" xfId="26774"/>
    <cellStyle name="20% - Accent1 6 3 3 3 2 2" xfId="46528"/>
    <cellStyle name="20% - Accent1 6 3 3 3 3" xfId="36884"/>
    <cellStyle name="20% - Accent1 6 3 3 4" xfId="21964"/>
    <cellStyle name="20% - Accent1 6 3 3 4 2" xfId="41719"/>
    <cellStyle name="20% - Accent1 6 3 3 5" xfId="32075"/>
    <cellStyle name="20% - Accent1 6 3 4" xfId="1758"/>
    <cellStyle name="20% - Accent1 6 3 4 2" xfId="17060"/>
    <cellStyle name="20% - Accent1 6 3 4 2 2" xfId="26776"/>
    <cellStyle name="20% - Accent1 6 3 4 2 2 2" xfId="46530"/>
    <cellStyle name="20% - Accent1 6 3 4 2 3" xfId="36886"/>
    <cellStyle name="20% - Accent1 6 3 4 3" xfId="21966"/>
    <cellStyle name="20% - Accent1 6 3 4 3 2" xfId="41721"/>
    <cellStyle name="20% - Accent1 6 3 4 4" xfId="32077"/>
    <cellStyle name="20% - Accent1 6 3 5" xfId="15370"/>
    <cellStyle name="20% - Accent1 6 3 5 2" xfId="20242"/>
    <cellStyle name="20% - Accent1 6 3 5 2 2" xfId="29956"/>
    <cellStyle name="20% - Accent1 6 3 5 2 2 2" xfId="49709"/>
    <cellStyle name="20% - Accent1 6 3 5 2 3" xfId="40065"/>
    <cellStyle name="20% - Accent1 6 3 5 3" xfId="25144"/>
    <cellStyle name="20% - Accent1 6 3 5 3 2" xfId="44898"/>
    <cellStyle name="20% - Accent1 6 3 5 4" xfId="35254"/>
    <cellStyle name="20% - Accent1 6 3 6" xfId="16040"/>
    <cellStyle name="20% - Accent1 6 3 6 2" xfId="25756"/>
    <cellStyle name="20% - Accent1 6 3 6 2 2" xfId="45510"/>
    <cellStyle name="20% - Accent1 6 3 6 3" xfId="35866"/>
    <cellStyle name="20% - Accent1 6 3 7" xfId="20946"/>
    <cellStyle name="20% - Accent1 6 3 7 2" xfId="40701"/>
    <cellStyle name="20% - Accent1 6 3 8" xfId="30388"/>
    <cellStyle name="20% - Accent1 6 3 8 2" xfId="50136"/>
    <cellStyle name="20% - Accent1 6 3 9" xfId="31057"/>
    <cellStyle name="20% - Accent1 6 4" xfId="694"/>
    <cellStyle name="20% - Accent1 6 4 2" xfId="1759"/>
    <cellStyle name="20% - Accent1 6 4 2 2" xfId="1760"/>
    <cellStyle name="20% - Accent1 6 4 2 2 2" xfId="1761"/>
    <cellStyle name="20% - Accent1 6 4 2 2 2 2" xfId="17063"/>
    <cellStyle name="20% - Accent1 6 4 2 2 2 2 2" xfId="26779"/>
    <cellStyle name="20% - Accent1 6 4 2 2 2 2 2 2" xfId="46533"/>
    <cellStyle name="20% - Accent1 6 4 2 2 2 2 3" xfId="36889"/>
    <cellStyle name="20% - Accent1 6 4 2 2 2 3" xfId="21969"/>
    <cellStyle name="20% - Accent1 6 4 2 2 2 3 2" xfId="41724"/>
    <cellStyle name="20% - Accent1 6 4 2 2 2 4" xfId="32080"/>
    <cellStyle name="20% - Accent1 6 4 2 2 3" xfId="17062"/>
    <cellStyle name="20% - Accent1 6 4 2 2 3 2" xfId="26778"/>
    <cellStyle name="20% - Accent1 6 4 2 2 3 2 2" xfId="46532"/>
    <cellStyle name="20% - Accent1 6 4 2 2 3 3" xfId="36888"/>
    <cellStyle name="20% - Accent1 6 4 2 2 4" xfId="21968"/>
    <cellStyle name="20% - Accent1 6 4 2 2 4 2" xfId="41723"/>
    <cellStyle name="20% - Accent1 6 4 2 2 5" xfId="32079"/>
    <cellStyle name="20% - Accent1 6 4 2 3" xfId="1762"/>
    <cellStyle name="20% - Accent1 6 4 2 3 2" xfId="17064"/>
    <cellStyle name="20% - Accent1 6 4 2 3 2 2" xfId="26780"/>
    <cellStyle name="20% - Accent1 6 4 2 3 2 2 2" xfId="46534"/>
    <cellStyle name="20% - Accent1 6 4 2 3 2 3" xfId="36890"/>
    <cellStyle name="20% - Accent1 6 4 2 3 3" xfId="21970"/>
    <cellStyle name="20% - Accent1 6 4 2 3 3 2" xfId="41725"/>
    <cellStyle name="20% - Accent1 6 4 2 3 4" xfId="32081"/>
    <cellStyle name="20% - Accent1 6 4 2 4" xfId="17061"/>
    <cellStyle name="20% - Accent1 6 4 2 4 2" xfId="26777"/>
    <cellStyle name="20% - Accent1 6 4 2 4 2 2" xfId="46531"/>
    <cellStyle name="20% - Accent1 6 4 2 4 3" xfId="36887"/>
    <cellStyle name="20% - Accent1 6 4 2 5" xfId="21967"/>
    <cellStyle name="20% - Accent1 6 4 2 5 2" xfId="41722"/>
    <cellStyle name="20% - Accent1 6 4 2 6" xfId="32078"/>
    <cellStyle name="20% - Accent1 6 4 3" xfId="1763"/>
    <cellStyle name="20% - Accent1 6 4 3 2" xfId="1764"/>
    <cellStyle name="20% - Accent1 6 4 3 2 2" xfId="17066"/>
    <cellStyle name="20% - Accent1 6 4 3 2 2 2" xfId="26782"/>
    <cellStyle name="20% - Accent1 6 4 3 2 2 2 2" xfId="46536"/>
    <cellStyle name="20% - Accent1 6 4 3 2 2 3" xfId="36892"/>
    <cellStyle name="20% - Accent1 6 4 3 2 3" xfId="21972"/>
    <cellStyle name="20% - Accent1 6 4 3 2 3 2" xfId="41727"/>
    <cellStyle name="20% - Accent1 6 4 3 2 4" xfId="32083"/>
    <cellStyle name="20% - Accent1 6 4 3 3" xfId="17065"/>
    <cellStyle name="20% - Accent1 6 4 3 3 2" xfId="26781"/>
    <cellStyle name="20% - Accent1 6 4 3 3 2 2" xfId="46535"/>
    <cellStyle name="20% - Accent1 6 4 3 3 3" xfId="36891"/>
    <cellStyle name="20% - Accent1 6 4 3 4" xfId="21971"/>
    <cellStyle name="20% - Accent1 6 4 3 4 2" xfId="41726"/>
    <cellStyle name="20% - Accent1 6 4 3 5" xfId="32082"/>
    <cellStyle name="20% - Accent1 6 4 4" xfId="1765"/>
    <cellStyle name="20% - Accent1 6 4 4 2" xfId="17067"/>
    <cellStyle name="20% - Accent1 6 4 4 2 2" xfId="26783"/>
    <cellStyle name="20% - Accent1 6 4 4 2 2 2" xfId="46537"/>
    <cellStyle name="20% - Accent1 6 4 4 2 3" xfId="36893"/>
    <cellStyle name="20% - Accent1 6 4 4 3" xfId="21973"/>
    <cellStyle name="20% - Accent1 6 4 4 3 2" xfId="41728"/>
    <cellStyle name="20% - Accent1 6 4 4 4" xfId="32084"/>
    <cellStyle name="20% - Accent1 6 4 5" xfId="16041"/>
    <cellStyle name="20% - Accent1 6 4 5 2" xfId="25757"/>
    <cellStyle name="20% - Accent1 6 4 5 2 2" xfId="45511"/>
    <cellStyle name="20% - Accent1 6 4 5 3" xfId="35867"/>
    <cellStyle name="20% - Accent1 6 4 6" xfId="20947"/>
    <cellStyle name="20% - Accent1 6 4 6 2" xfId="40702"/>
    <cellStyle name="20% - Accent1 6 4 7" xfId="31058"/>
    <cellStyle name="20% - Accent1 6 5" xfId="1766"/>
    <cellStyle name="20% - Accent1 6 5 2" xfId="1767"/>
    <cellStyle name="20% - Accent1 6 5 2 2" xfId="1768"/>
    <cellStyle name="20% - Accent1 6 5 2 2 2" xfId="1769"/>
    <cellStyle name="20% - Accent1 6 5 2 2 2 2" xfId="17071"/>
    <cellStyle name="20% - Accent1 6 5 2 2 2 2 2" xfId="26787"/>
    <cellStyle name="20% - Accent1 6 5 2 2 2 2 2 2" xfId="46541"/>
    <cellStyle name="20% - Accent1 6 5 2 2 2 2 3" xfId="36897"/>
    <cellStyle name="20% - Accent1 6 5 2 2 2 3" xfId="21977"/>
    <cellStyle name="20% - Accent1 6 5 2 2 2 3 2" xfId="41732"/>
    <cellStyle name="20% - Accent1 6 5 2 2 2 4" xfId="32088"/>
    <cellStyle name="20% - Accent1 6 5 2 2 3" xfId="17070"/>
    <cellStyle name="20% - Accent1 6 5 2 2 3 2" xfId="26786"/>
    <cellStyle name="20% - Accent1 6 5 2 2 3 2 2" xfId="46540"/>
    <cellStyle name="20% - Accent1 6 5 2 2 3 3" xfId="36896"/>
    <cellStyle name="20% - Accent1 6 5 2 2 4" xfId="21976"/>
    <cellStyle name="20% - Accent1 6 5 2 2 4 2" xfId="41731"/>
    <cellStyle name="20% - Accent1 6 5 2 2 5" xfId="32087"/>
    <cellStyle name="20% - Accent1 6 5 2 3" xfId="1770"/>
    <cellStyle name="20% - Accent1 6 5 2 3 2" xfId="17072"/>
    <cellStyle name="20% - Accent1 6 5 2 3 2 2" xfId="26788"/>
    <cellStyle name="20% - Accent1 6 5 2 3 2 2 2" xfId="46542"/>
    <cellStyle name="20% - Accent1 6 5 2 3 2 3" xfId="36898"/>
    <cellStyle name="20% - Accent1 6 5 2 3 3" xfId="21978"/>
    <cellStyle name="20% - Accent1 6 5 2 3 3 2" xfId="41733"/>
    <cellStyle name="20% - Accent1 6 5 2 3 4" xfId="32089"/>
    <cellStyle name="20% - Accent1 6 5 2 4" xfId="17069"/>
    <cellStyle name="20% - Accent1 6 5 2 4 2" xfId="26785"/>
    <cellStyle name="20% - Accent1 6 5 2 4 2 2" xfId="46539"/>
    <cellStyle name="20% - Accent1 6 5 2 4 3" xfId="36895"/>
    <cellStyle name="20% - Accent1 6 5 2 5" xfId="21975"/>
    <cellStyle name="20% - Accent1 6 5 2 5 2" xfId="41730"/>
    <cellStyle name="20% - Accent1 6 5 2 6" xfId="32086"/>
    <cellStyle name="20% - Accent1 6 5 3" xfId="1771"/>
    <cellStyle name="20% - Accent1 6 5 3 2" xfId="1772"/>
    <cellStyle name="20% - Accent1 6 5 3 2 2" xfId="17074"/>
    <cellStyle name="20% - Accent1 6 5 3 2 2 2" xfId="26790"/>
    <cellStyle name="20% - Accent1 6 5 3 2 2 2 2" xfId="46544"/>
    <cellStyle name="20% - Accent1 6 5 3 2 2 3" xfId="36900"/>
    <cellStyle name="20% - Accent1 6 5 3 2 3" xfId="21980"/>
    <cellStyle name="20% - Accent1 6 5 3 2 3 2" xfId="41735"/>
    <cellStyle name="20% - Accent1 6 5 3 2 4" xfId="32091"/>
    <cellStyle name="20% - Accent1 6 5 3 3" xfId="17073"/>
    <cellStyle name="20% - Accent1 6 5 3 3 2" xfId="26789"/>
    <cellStyle name="20% - Accent1 6 5 3 3 2 2" xfId="46543"/>
    <cellStyle name="20% - Accent1 6 5 3 3 3" xfId="36899"/>
    <cellStyle name="20% - Accent1 6 5 3 4" xfId="21979"/>
    <cellStyle name="20% - Accent1 6 5 3 4 2" xfId="41734"/>
    <cellStyle name="20% - Accent1 6 5 3 5" xfId="32090"/>
    <cellStyle name="20% - Accent1 6 5 4" xfId="1773"/>
    <cellStyle name="20% - Accent1 6 5 4 2" xfId="17075"/>
    <cellStyle name="20% - Accent1 6 5 4 2 2" xfId="26791"/>
    <cellStyle name="20% - Accent1 6 5 4 2 2 2" xfId="46545"/>
    <cellStyle name="20% - Accent1 6 5 4 2 3" xfId="36901"/>
    <cellStyle name="20% - Accent1 6 5 4 3" xfId="21981"/>
    <cellStyle name="20% - Accent1 6 5 4 3 2" xfId="41736"/>
    <cellStyle name="20% - Accent1 6 5 4 4" xfId="32092"/>
    <cellStyle name="20% - Accent1 6 5 5" xfId="17068"/>
    <cellStyle name="20% - Accent1 6 5 5 2" xfId="26784"/>
    <cellStyle name="20% - Accent1 6 5 5 2 2" xfId="46538"/>
    <cellStyle name="20% - Accent1 6 5 5 3" xfId="36894"/>
    <cellStyle name="20% - Accent1 6 5 6" xfId="21974"/>
    <cellStyle name="20% - Accent1 6 5 6 2" xfId="41729"/>
    <cellStyle name="20% - Accent1 6 5 7" xfId="32085"/>
    <cellStyle name="20% - Accent1 6 6" xfId="1774"/>
    <cellStyle name="20% - Accent1 6 6 2" xfId="1775"/>
    <cellStyle name="20% - Accent1 6 6 2 2" xfId="1776"/>
    <cellStyle name="20% - Accent1 6 6 2 2 2" xfId="17078"/>
    <cellStyle name="20% - Accent1 6 6 2 2 2 2" xfId="26794"/>
    <cellStyle name="20% - Accent1 6 6 2 2 2 2 2" xfId="46548"/>
    <cellStyle name="20% - Accent1 6 6 2 2 2 3" xfId="36904"/>
    <cellStyle name="20% - Accent1 6 6 2 2 3" xfId="21984"/>
    <cellStyle name="20% - Accent1 6 6 2 2 3 2" xfId="41739"/>
    <cellStyle name="20% - Accent1 6 6 2 2 4" xfId="32095"/>
    <cellStyle name="20% - Accent1 6 6 2 3" xfId="17077"/>
    <cellStyle name="20% - Accent1 6 6 2 3 2" xfId="26793"/>
    <cellStyle name="20% - Accent1 6 6 2 3 2 2" xfId="46547"/>
    <cellStyle name="20% - Accent1 6 6 2 3 3" xfId="36903"/>
    <cellStyle name="20% - Accent1 6 6 2 4" xfId="21983"/>
    <cellStyle name="20% - Accent1 6 6 2 4 2" xfId="41738"/>
    <cellStyle name="20% - Accent1 6 6 2 5" xfId="32094"/>
    <cellStyle name="20% - Accent1 6 6 3" xfId="1777"/>
    <cellStyle name="20% - Accent1 6 6 3 2" xfId="17079"/>
    <cellStyle name="20% - Accent1 6 6 3 2 2" xfId="26795"/>
    <cellStyle name="20% - Accent1 6 6 3 2 2 2" xfId="46549"/>
    <cellStyle name="20% - Accent1 6 6 3 2 3" xfId="36905"/>
    <cellStyle name="20% - Accent1 6 6 3 3" xfId="21985"/>
    <cellStyle name="20% - Accent1 6 6 3 3 2" xfId="41740"/>
    <cellStyle name="20% - Accent1 6 6 3 4" xfId="32096"/>
    <cellStyle name="20% - Accent1 6 6 4" xfId="17076"/>
    <cellStyle name="20% - Accent1 6 6 4 2" xfId="26792"/>
    <cellStyle name="20% - Accent1 6 6 4 2 2" xfId="46546"/>
    <cellStyle name="20% - Accent1 6 6 4 3" xfId="36902"/>
    <cellStyle name="20% - Accent1 6 6 5" xfId="21982"/>
    <cellStyle name="20% - Accent1 6 6 5 2" xfId="41737"/>
    <cellStyle name="20% - Accent1 6 6 6" xfId="32093"/>
    <cellStyle name="20% - Accent1 6 7" xfId="1778"/>
    <cellStyle name="20% - Accent1 6 7 2" xfId="1779"/>
    <cellStyle name="20% - Accent1 6 7 2 2" xfId="17081"/>
    <cellStyle name="20% - Accent1 6 7 2 2 2" xfId="26797"/>
    <cellStyle name="20% - Accent1 6 7 2 2 2 2" xfId="46551"/>
    <cellStyle name="20% - Accent1 6 7 2 2 3" xfId="36907"/>
    <cellStyle name="20% - Accent1 6 7 2 3" xfId="21987"/>
    <cellStyle name="20% - Accent1 6 7 2 3 2" xfId="41742"/>
    <cellStyle name="20% - Accent1 6 7 2 4" xfId="32098"/>
    <cellStyle name="20% - Accent1 6 7 3" xfId="17080"/>
    <cellStyle name="20% - Accent1 6 7 3 2" xfId="26796"/>
    <cellStyle name="20% - Accent1 6 7 3 2 2" xfId="46550"/>
    <cellStyle name="20% - Accent1 6 7 3 3" xfId="36906"/>
    <cellStyle name="20% - Accent1 6 7 4" xfId="21986"/>
    <cellStyle name="20% - Accent1 6 7 4 2" xfId="41741"/>
    <cellStyle name="20% - Accent1 6 7 5" xfId="32097"/>
    <cellStyle name="20% - Accent1 6 8" xfId="1780"/>
    <cellStyle name="20% - Accent1 6 8 2" xfId="1781"/>
    <cellStyle name="20% - Accent1 6 8 2 2" xfId="17083"/>
    <cellStyle name="20% - Accent1 6 8 2 2 2" xfId="26799"/>
    <cellStyle name="20% - Accent1 6 8 2 2 2 2" xfId="46553"/>
    <cellStyle name="20% - Accent1 6 8 2 2 3" xfId="36909"/>
    <cellStyle name="20% - Accent1 6 8 2 3" xfId="21989"/>
    <cellStyle name="20% - Accent1 6 8 2 3 2" xfId="41744"/>
    <cellStyle name="20% - Accent1 6 8 2 4" xfId="32100"/>
    <cellStyle name="20% - Accent1 6 8 3" xfId="17082"/>
    <cellStyle name="20% - Accent1 6 8 3 2" xfId="26798"/>
    <cellStyle name="20% - Accent1 6 8 3 2 2" xfId="46552"/>
    <cellStyle name="20% - Accent1 6 8 3 3" xfId="36908"/>
    <cellStyle name="20% - Accent1 6 8 4" xfId="21988"/>
    <cellStyle name="20% - Accent1 6 8 4 2" xfId="41743"/>
    <cellStyle name="20% - Accent1 6 8 5" xfId="32099"/>
    <cellStyle name="20% - Accent1 6 9" xfId="1782"/>
    <cellStyle name="20% - Accent1 6 9 2" xfId="17084"/>
    <cellStyle name="20% - Accent1 6 9 2 2" xfId="26800"/>
    <cellStyle name="20% - Accent1 6 9 2 2 2" xfId="46554"/>
    <cellStyle name="20% - Accent1 6 9 2 3" xfId="36910"/>
    <cellStyle name="20% - Accent1 6 9 3" xfId="21990"/>
    <cellStyle name="20% - Accent1 6 9 3 2" xfId="41745"/>
    <cellStyle name="20% - Accent1 6 9 4" xfId="32101"/>
    <cellStyle name="20% - Accent1 7" xfId="16"/>
    <cellStyle name="20% - Accent1 7 10" xfId="30806"/>
    <cellStyle name="20% - Accent1 7 2" xfId="17"/>
    <cellStyle name="20% - Accent1 7 2 2" xfId="695"/>
    <cellStyle name="20% - Accent1 7 2 2 2" xfId="1783"/>
    <cellStyle name="20% - Accent1 7 2 2 2 2" xfId="1784"/>
    <cellStyle name="20% - Accent1 7 2 2 2 2 2" xfId="17086"/>
    <cellStyle name="20% - Accent1 7 2 2 2 2 2 2" xfId="26802"/>
    <cellStyle name="20% - Accent1 7 2 2 2 2 2 2 2" xfId="46556"/>
    <cellStyle name="20% - Accent1 7 2 2 2 2 2 3" xfId="36912"/>
    <cellStyle name="20% - Accent1 7 2 2 2 2 3" xfId="21992"/>
    <cellStyle name="20% - Accent1 7 2 2 2 2 3 2" xfId="41747"/>
    <cellStyle name="20% - Accent1 7 2 2 2 2 4" xfId="32103"/>
    <cellStyle name="20% - Accent1 7 2 2 2 3" xfId="17085"/>
    <cellStyle name="20% - Accent1 7 2 2 2 3 2" xfId="26801"/>
    <cellStyle name="20% - Accent1 7 2 2 2 3 2 2" xfId="46555"/>
    <cellStyle name="20% - Accent1 7 2 2 2 3 3" xfId="36911"/>
    <cellStyle name="20% - Accent1 7 2 2 2 4" xfId="21991"/>
    <cellStyle name="20% - Accent1 7 2 2 2 4 2" xfId="41746"/>
    <cellStyle name="20% - Accent1 7 2 2 2 5" xfId="32102"/>
    <cellStyle name="20% - Accent1 7 2 2 3" xfId="1785"/>
    <cellStyle name="20% - Accent1 7 2 2 3 2" xfId="17087"/>
    <cellStyle name="20% - Accent1 7 2 2 3 2 2" xfId="26803"/>
    <cellStyle name="20% - Accent1 7 2 2 3 2 2 2" xfId="46557"/>
    <cellStyle name="20% - Accent1 7 2 2 3 2 3" xfId="36913"/>
    <cellStyle name="20% - Accent1 7 2 2 3 3" xfId="21993"/>
    <cellStyle name="20% - Accent1 7 2 2 3 3 2" xfId="41748"/>
    <cellStyle name="20% - Accent1 7 2 2 3 4" xfId="32104"/>
    <cellStyle name="20% - Accent1 7 2 2 4" xfId="15373"/>
    <cellStyle name="20% - Accent1 7 2 2 4 2" xfId="20245"/>
    <cellStyle name="20% - Accent1 7 2 2 4 2 2" xfId="29959"/>
    <cellStyle name="20% - Accent1 7 2 2 4 2 2 2" xfId="49712"/>
    <cellStyle name="20% - Accent1 7 2 2 4 2 3" xfId="40068"/>
    <cellStyle name="20% - Accent1 7 2 2 4 3" xfId="25147"/>
    <cellStyle name="20% - Accent1 7 2 2 4 3 2" xfId="44901"/>
    <cellStyle name="20% - Accent1 7 2 2 4 4" xfId="35257"/>
    <cellStyle name="20% - Accent1 7 2 2 5" xfId="16042"/>
    <cellStyle name="20% - Accent1 7 2 2 5 2" xfId="25758"/>
    <cellStyle name="20% - Accent1 7 2 2 5 2 2" xfId="45512"/>
    <cellStyle name="20% - Accent1 7 2 2 5 3" xfId="35868"/>
    <cellStyle name="20% - Accent1 7 2 2 6" xfId="20948"/>
    <cellStyle name="20% - Accent1 7 2 2 6 2" xfId="40703"/>
    <cellStyle name="20% - Accent1 7 2 2 7" xfId="30391"/>
    <cellStyle name="20% - Accent1 7 2 2 7 2" xfId="50139"/>
    <cellStyle name="20% - Accent1 7 2 2 8" xfId="31059"/>
    <cellStyle name="20% - Accent1 7 2 3" xfId="696"/>
    <cellStyle name="20% - Accent1 7 2 3 2" xfId="1786"/>
    <cellStyle name="20% - Accent1 7 2 3 2 2" xfId="17088"/>
    <cellStyle name="20% - Accent1 7 2 3 2 2 2" xfId="26804"/>
    <cellStyle name="20% - Accent1 7 2 3 2 2 2 2" xfId="46558"/>
    <cellStyle name="20% - Accent1 7 2 3 2 2 3" xfId="36914"/>
    <cellStyle name="20% - Accent1 7 2 3 2 3" xfId="21994"/>
    <cellStyle name="20% - Accent1 7 2 3 2 3 2" xfId="41749"/>
    <cellStyle name="20% - Accent1 7 2 3 2 4" xfId="32105"/>
    <cellStyle name="20% - Accent1 7 2 3 3" xfId="16043"/>
    <cellStyle name="20% - Accent1 7 2 3 3 2" xfId="25759"/>
    <cellStyle name="20% - Accent1 7 2 3 3 2 2" xfId="45513"/>
    <cellStyle name="20% - Accent1 7 2 3 3 3" xfId="35869"/>
    <cellStyle name="20% - Accent1 7 2 3 4" xfId="20949"/>
    <cellStyle name="20% - Accent1 7 2 3 4 2" xfId="40704"/>
    <cellStyle name="20% - Accent1 7 2 3 5" xfId="31060"/>
    <cellStyle name="20% - Accent1 7 2 4" xfId="1787"/>
    <cellStyle name="20% - Accent1 7 2 4 2" xfId="17089"/>
    <cellStyle name="20% - Accent1 7 2 4 2 2" xfId="26805"/>
    <cellStyle name="20% - Accent1 7 2 4 2 2 2" xfId="46559"/>
    <cellStyle name="20% - Accent1 7 2 4 2 3" xfId="36915"/>
    <cellStyle name="20% - Accent1 7 2 4 3" xfId="21995"/>
    <cellStyle name="20% - Accent1 7 2 4 3 2" xfId="41750"/>
    <cellStyle name="20% - Accent1 7 2 4 4" xfId="32106"/>
    <cellStyle name="20% - Accent1 7 2 5" xfId="15372"/>
    <cellStyle name="20% - Accent1 7 2 5 2" xfId="20244"/>
    <cellStyle name="20% - Accent1 7 2 5 2 2" xfId="29958"/>
    <cellStyle name="20% - Accent1 7 2 5 2 2 2" xfId="49711"/>
    <cellStyle name="20% - Accent1 7 2 5 2 3" xfId="40067"/>
    <cellStyle name="20% - Accent1 7 2 5 3" xfId="25146"/>
    <cellStyle name="20% - Accent1 7 2 5 3 2" xfId="44900"/>
    <cellStyle name="20% - Accent1 7 2 5 4" xfId="35256"/>
    <cellStyle name="20% - Accent1 7 2 6" xfId="15824"/>
    <cellStyle name="20% - Accent1 7 2 6 2" xfId="25540"/>
    <cellStyle name="20% - Accent1 7 2 6 2 2" xfId="45294"/>
    <cellStyle name="20% - Accent1 7 2 6 3" xfId="35650"/>
    <cellStyle name="20% - Accent1 7 2 7" xfId="20696"/>
    <cellStyle name="20% - Accent1 7 2 7 2" xfId="40476"/>
    <cellStyle name="20% - Accent1 7 2 8" xfId="30390"/>
    <cellStyle name="20% - Accent1 7 2 8 2" xfId="50138"/>
    <cellStyle name="20% - Accent1 7 2 9" xfId="30807"/>
    <cellStyle name="20% - Accent1 7 3" xfId="697"/>
    <cellStyle name="20% - Accent1 7 3 2" xfId="1788"/>
    <cellStyle name="20% - Accent1 7 3 2 2" xfId="1789"/>
    <cellStyle name="20% - Accent1 7 3 2 2 2" xfId="17091"/>
    <cellStyle name="20% - Accent1 7 3 2 2 2 2" xfId="26807"/>
    <cellStyle name="20% - Accent1 7 3 2 2 2 2 2" xfId="46561"/>
    <cellStyle name="20% - Accent1 7 3 2 2 2 3" xfId="36917"/>
    <cellStyle name="20% - Accent1 7 3 2 2 3" xfId="21997"/>
    <cellStyle name="20% - Accent1 7 3 2 2 3 2" xfId="41752"/>
    <cellStyle name="20% - Accent1 7 3 2 2 4" xfId="32108"/>
    <cellStyle name="20% - Accent1 7 3 2 3" xfId="17090"/>
    <cellStyle name="20% - Accent1 7 3 2 3 2" xfId="26806"/>
    <cellStyle name="20% - Accent1 7 3 2 3 2 2" xfId="46560"/>
    <cellStyle name="20% - Accent1 7 3 2 3 3" xfId="36916"/>
    <cellStyle name="20% - Accent1 7 3 2 4" xfId="21996"/>
    <cellStyle name="20% - Accent1 7 3 2 4 2" xfId="41751"/>
    <cellStyle name="20% - Accent1 7 3 2 5" xfId="32107"/>
    <cellStyle name="20% - Accent1 7 3 3" xfId="1790"/>
    <cellStyle name="20% - Accent1 7 3 3 2" xfId="17092"/>
    <cellStyle name="20% - Accent1 7 3 3 2 2" xfId="26808"/>
    <cellStyle name="20% - Accent1 7 3 3 2 2 2" xfId="46562"/>
    <cellStyle name="20% - Accent1 7 3 3 2 3" xfId="36918"/>
    <cellStyle name="20% - Accent1 7 3 3 3" xfId="21998"/>
    <cellStyle name="20% - Accent1 7 3 3 3 2" xfId="41753"/>
    <cellStyle name="20% - Accent1 7 3 3 4" xfId="32109"/>
    <cellStyle name="20% - Accent1 7 3 4" xfId="15374"/>
    <cellStyle name="20% - Accent1 7 3 4 2" xfId="20246"/>
    <cellStyle name="20% - Accent1 7 3 4 2 2" xfId="29960"/>
    <cellStyle name="20% - Accent1 7 3 4 2 2 2" xfId="49713"/>
    <cellStyle name="20% - Accent1 7 3 4 2 3" xfId="40069"/>
    <cellStyle name="20% - Accent1 7 3 4 3" xfId="25148"/>
    <cellStyle name="20% - Accent1 7 3 4 3 2" xfId="44902"/>
    <cellStyle name="20% - Accent1 7 3 4 4" xfId="35258"/>
    <cellStyle name="20% - Accent1 7 3 5" xfId="16044"/>
    <cellStyle name="20% - Accent1 7 3 5 2" xfId="25760"/>
    <cellStyle name="20% - Accent1 7 3 5 2 2" xfId="45514"/>
    <cellStyle name="20% - Accent1 7 3 5 3" xfId="35870"/>
    <cellStyle name="20% - Accent1 7 3 6" xfId="20950"/>
    <cellStyle name="20% - Accent1 7 3 6 2" xfId="40705"/>
    <cellStyle name="20% - Accent1 7 3 7" xfId="30392"/>
    <cellStyle name="20% - Accent1 7 3 7 2" xfId="50140"/>
    <cellStyle name="20% - Accent1 7 3 8" xfId="31061"/>
    <cellStyle name="20% - Accent1 7 4" xfId="698"/>
    <cellStyle name="20% - Accent1 7 4 2" xfId="1791"/>
    <cellStyle name="20% - Accent1 7 4 2 2" xfId="17093"/>
    <cellStyle name="20% - Accent1 7 4 2 2 2" xfId="26809"/>
    <cellStyle name="20% - Accent1 7 4 2 2 2 2" xfId="46563"/>
    <cellStyle name="20% - Accent1 7 4 2 2 3" xfId="36919"/>
    <cellStyle name="20% - Accent1 7 4 2 3" xfId="21999"/>
    <cellStyle name="20% - Accent1 7 4 2 3 2" xfId="41754"/>
    <cellStyle name="20% - Accent1 7 4 2 4" xfId="32110"/>
    <cellStyle name="20% - Accent1 7 4 3" xfId="16045"/>
    <cellStyle name="20% - Accent1 7 4 3 2" xfId="25761"/>
    <cellStyle name="20% - Accent1 7 4 3 2 2" xfId="45515"/>
    <cellStyle name="20% - Accent1 7 4 3 3" xfId="35871"/>
    <cellStyle name="20% - Accent1 7 4 4" xfId="20951"/>
    <cellStyle name="20% - Accent1 7 4 4 2" xfId="40706"/>
    <cellStyle name="20% - Accent1 7 4 5" xfId="31062"/>
    <cellStyle name="20% - Accent1 7 5" xfId="1792"/>
    <cellStyle name="20% - Accent1 7 5 2" xfId="17094"/>
    <cellStyle name="20% - Accent1 7 5 2 2" xfId="26810"/>
    <cellStyle name="20% - Accent1 7 5 2 2 2" xfId="46564"/>
    <cellStyle name="20% - Accent1 7 5 2 3" xfId="36920"/>
    <cellStyle name="20% - Accent1 7 5 3" xfId="22000"/>
    <cellStyle name="20% - Accent1 7 5 3 2" xfId="41755"/>
    <cellStyle name="20% - Accent1 7 5 4" xfId="32111"/>
    <cellStyle name="20% - Accent1 7 6" xfId="15371"/>
    <cellStyle name="20% - Accent1 7 6 2" xfId="20243"/>
    <cellStyle name="20% - Accent1 7 6 2 2" xfId="29957"/>
    <cellStyle name="20% - Accent1 7 6 2 2 2" xfId="49710"/>
    <cellStyle name="20% - Accent1 7 6 2 3" xfId="40066"/>
    <cellStyle name="20% - Accent1 7 6 3" xfId="25145"/>
    <cellStyle name="20% - Accent1 7 6 3 2" xfId="44899"/>
    <cellStyle name="20% - Accent1 7 6 4" xfId="35255"/>
    <cellStyle name="20% - Accent1 7 7" xfId="15823"/>
    <cellStyle name="20% - Accent1 7 7 2" xfId="25539"/>
    <cellStyle name="20% - Accent1 7 7 2 2" xfId="45293"/>
    <cellStyle name="20% - Accent1 7 7 3" xfId="35649"/>
    <cellStyle name="20% - Accent1 7 8" xfId="20695"/>
    <cellStyle name="20% - Accent1 7 8 2" xfId="40475"/>
    <cellStyle name="20% - Accent1 7 9" xfId="30389"/>
    <cellStyle name="20% - Accent1 7 9 2" xfId="50137"/>
    <cellStyle name="20% - Accent1 8" xfId="18"/>
    <cellStyle name="20% - Accent1 8 10" xfId="30808"/>
    <cellStyle name="20% - Accent1 8 2" xfId="19"/>
    <cellStyle name="20% - Accent1 8 2 2" xfId="699"/>
    <cellStyle name="20% - Accent1 8 2 2 2" xfId="1793"/>
    <cellStyle name="20% - Accent1 8 2 2 2 2" xfId="1794"/>
    <cellStyle name="20% - Accent1 8 2 2 2 2 2" xfId="17096"/>
    <cellStyle name="20% - Accent1 8 2 2 2 2 2 2" xfId="26812"/>
    <cellStyle name="20% - Accent1 8 2 2 2 2 2 2 2" xfId="46566"/>
    <cellStyle name="20% - Accent1 8 2 2 2 2 2 3" xfId="36922"/>
    <cellStyle name="20% - Accent1 8 2 2 2 2 3" xfId="22002"/>
    <cellStyle name="20% - Accent1 8 2 2 2 2 3 2" xfId="41757"/>
    <cellStyle name="20% - Accent1 8 2 2 2 2 4" xfId="32113"/>
    <cellStyle name="20% - Accent1 8 2 2 2 3" xfId="17095"/>
    <cellStyle name="20% - Accent1 8 2 2 2 3 2" xfId="26811"/>
    <cellStyle name="20% - Accent1 8 2 2 2 3 2 2" xfId="46565"/>
    <cellStyle name="20% - Accent1 8 2 2 2 3 3" xfId="36921"/>
    <cellStyle name="20% - Accent1 8 2 2 2 4" xfId="22001"/>
    <cellStyle name="20% - Accent1 8 2 2 2 4 2" xfId="41756"/>
    <cellStyle name="20% - Accent1 8 2 2 2 5" xfId="32112"/>
    <cellStyle name="20% - Accent1 8 2 2 3" xfId="1795"/>
    <cellStyle name="20% - Accent1 8 2 2 3 2" xfId="17097"/>
    <cellStyle name="20% - Accent1 8 2 2 3 2 2" xfId="26813"/>
    <cellStyle name="20% - Accent1 8 2 2 3 2 2 2" xfId="46567"/>
    <cellStyle name="20% - Accent1 8 2 2 3 2 3" xfId="36923"/>
    <cellStyle name="20% - Accent1 8 2 2 3 3" xfId="22003"/>
    <cellStyle name="20% - Accent1 8 2 2 3 3 2" xfId="41758"/>
    <cellStyle name="20% - Accent1 8 2 2 3 4" xfId="32114"/>
    <cellStyle name="20% - Accent1 8 2 2 4" xfId="15377"/>
    <cellStyle name="20% - Accent1 8 2 2 4 2" xfId="20249"/>
    <cellStyle name="20% - Accent1 8 2 2 4 2 2" xfId="29963"/>
    <cellStyle name="20% - Accent1 8 2 2 4 2 2 2" xfId="49716"/>
    <cellStyle name="20% - Accent1 8 2 2 4 2 3" xfId="40072"/>
    <cellStyle name="20% - Accent1 8 2 2 4 3" xfId="25151"/>
    <cellStyle name="20% - Accent1 8 2 2 4 3 2" xfId="44905"/>
    <cellStyle name="20% - Accent1 8 2 2 4 4" xfId="35261"/>
    <cellStyle name="20% - Accent1 8 2 2 5" xfId="16046"/>
    <cellStyle name="20% - Accent1 8 2 2 5 2" xfId="25762"/>
    <cellStyle name="20% - Accent1 8 2 2 5 2 2" xfId="45516"/>
    <cellStyle name="20% - Accent1 8 2 2 5 3" xfId="35872"/>
    <cellStyle name="20% - Accent1 8 2 2 6" xfId="20952"/>
    <cellStyle name="20% - Accent1 8 2 2 6 2" xfId="40707"/>
    <cellStyle name="20% - Accent1 8 2 2 7" xfId="30395"/>
    <cellStyle name="20% - Accent1 8 2 2 7 2" xfId="50143"/>
    <cellStyle name="20% - Accent1 8 2 2 8" xfId="31063"/>
    <cellStyle name="20% - Accent1 8 2 3" xfId="700"/>
    <cellStyle name="20% - Accent1 8 2 3 2" xfId="1796"/>
    <cellStyle name="20% - Accent1 8 2 3 2 2" xfId="17098"/>
    <cellStyle name="20% - Accent1 8 2 3 2 2 2" xfId="26814"/>
    <cellStyle name="20% - Accent1 8 2 3 2 2 2 2" xfId="46568"/>
    <cellStyle name="20% - Accent1 8 2 3 2 2 3" xfId="36924"/>
    <cellStyle name="20% - Accent1 8 2 3 2 3" xfId="22004"/>
    <cellStyle name="20% - Accent1 8 2 3 2 3 2" xfId="41759"/>
    <cellStyle name="20% - Accent1 8 2 3 2 4" xfId="32115"/>
    <cellStyle name="20% - Accent1 8 2 3 3" xfId="16047"/>
    <cellStyle name="20% - Accent1 8 2 3 3 2" xfId="25763"/>
    <cellStyle name="20% - Accent1 8 2 3 3 2 2" xfId="45517"/>
    <cellStyle name="20% - Accent1 8 2 3 3 3" xfId="35873"/>
    <cellStyle name="20% - Accent1 8 2 3 4" xfId="20953"/>
    <cellStyle name="20% - Accent1 8 2 3 4 2" xfId="40708"/>
    <cellStyle name="20% - Accent1 8 2 3 5" xfId="31064"/>
    <cellStyle name="20% - Accent1 8 2 4" xfId="1797"/>
    <cellStyle name="20% - Accent1 8 2 4 2" xfId="17099"/>
    <cellStyle name="20% - Accent1 8 2 4 2 2" xfId="26815"/>
    <cellStyle name="20% - Accent1 8 2 4 2 2 2" xfId="46569"/>
    <cellStyle name="20% - Accent1 8 2 4 2 3" xfId="36925"/>
    <cellStyle name="20% - Accent1 8 2 4 3" xfId="22005"/>
    <cellStyle name="20% - Accent1 8 2 4 3 2" xfId="41760"/>
    <cellStyle name="20% - Accent1 8 2 4 4" xfId="32116"/>
    <cellStyle name="20% - Accent1 8 2 5" xfId="15376"/>
    <cellStyle name="20% - Accent1 8 2 5 2" xfId="20248"/>
    <cellStyle name="20% - Accent1 8 2 5 2 2" xfId="29962"/>
    <cellStyle name="20% - Accent1 8 2 5 2 2 2" xfId="49715"/>
    <cellStyle name="20% - Accent1 8 2 5 2 3" xfId="40071"/>
    <cellStyle name="20% - Accent1 8 2 5 3" xfId="25150"/>
    <cellStyle name="20% - Accent1 8 2 5 3 2" xfId="44904"/>
    <cellStyle name="20% - Accent1 8 2 5 4" xfId="35260"/>
    <cellStyle name="20% - Accent1 8 2 6" xfId="15826"/>
    <cellStyle name="20% - Accent1 8 2 6 2" xfId="25542"/>
    <cellStyle name="20% - Accent1 8 2 6 2 2" xfId="45296"/>
    <cellStyle name="20% - Accent1 8 2 6 3" xfId="35652"/>
    <cellStyle name="20% - Accent1 8 2 7" xfId="20698"/>
    <cellStyle name="20% - Accent1 8 2 7 2" xfId="40478"/>
    <cellStyle name="20% - Accent1 8 2 8" xfId="30394"/>
    <cellStyle name="20% - Accent1 8 2 8 2" xfId="50142"/>
    <cellStyle name="20% - Accent1 8 2 9" xfId="30809"/>
    <cellStyle name="20% - Accent1 8 3" xfId="701"/>
    <cellStyle name="20% - Accent1 8 3 2" xfId="1798"/>
    <cellStyle name="20% - Accent1 8 3 2 2" xfId="1799"/>
    <cellStyle name="20% - Accent1 8 3 2 2 2" xfId="17101"/>
    <cellStyle name="20% - Accent1 8 3 2 2 2 2" xfId="26817"/>
    <cellStyle name="20% - Accent1 8 3 2 2 2 2 2" xfId="46571"/>
    <cellStyle name="20% - Accent1 8 3 2 2 2 3" xfId="36927"/>
    <cellStyle name="20% - Accent1 8 3 2 2 3" xfId="22007"/>
    <cellStyle name="20% - Accent1 8 3 2 2 3 2" xfId="41762"/>
    <cellStyle name="20% - Accent1 8 3 2 2 4" xfId="32118"/>
    <cellStyle name="20% - Accent1 8 3 2 3" xfId="17100"/>
    <cellStyle name="20% - Accent1 8 3 2 3 2" xfId="26816"/>
    <cellStyle name="20% - Accent1 8 3 2 3 2 2" xfId="46570"/>
    <cellStyle name="20% - Accent1 8 3 2 3 3" xfId="36926"/>
    <cellStyle name="20% - Accent1 8 3 2 4" xfId="22006"/>
    <cellStyle name="20% - Accent1 8 3 2 4 2" xfId="41761"/>
    <cellStyle name="20% - Accent1 8 3 2 5" xfId="32117"/>
    <cellStyle name="20% - Accent1 8 3 3" xfId="1800"/>
    <cellStyle name="20% - Accent1 8 3 3 2" xfId="17102"/>
    <cellStyle name="20% - Accent1 8 3 3 2 2" xfId="26818"/>
    <cellStyle name="20% - Accent1 8 3 3 2 2 2" xfId="46572"/>
    <cellStyle name="20% - Accent1 8 3 3 2 3" xfId="36928"/>
    <cellStyle name="20% - Accent1 8 3 3 3" xfId="22008"/>
    <cellStyle name="20% - Accent1 8 3 3 3 2" xfId="41763"/>
    <cellStyle name="20% - Accent1 8 3 3 4" xfId="32119"/>
    <cellStyle name="20% - Accent1 8 3 4" xfId="15378"/>
    <cellStyle name="20% - Accent1 8 3 4 2" xfId="20250"/>
    <cellStyle name="20% - Accent1 8 3 4 2 2" xfId="29964"/>
    <cellStyle name="20% - Accent1 8 3 4 2 2 2" xfId="49717"/>
    <cellStyle name="20% - Accent1 8 3 4 2 3" xfId="40073"/>
    <cellStyle name="20% - Accent1 8 3 4 3" xfId="25152"/>
    <cellStyle name="20% - Accent1 8 3 4 3 2" xfId="44906"/>
    <cellStyle name="20% - Accent1 8 3 4 4" xfId="35262"/>
    <cellStyle name="20% - Accent1 8 3 5" xfId="16048"/>
    <cellStyle name="20% - Accent1 8 3 5 2" xfId="25764"/>
    <cellStyle name="20% - Accent1 8 3 5 2 2" xfId="45518"/>
    <cellStyle name="20% - Accent1 8 3 5 3" xfId="35874"/>
    <cellStyle name="20% - Accent1 8 3 6" xfId="20954"/>
    <cellStyle name="20% - Accent1 8 3 6 2" xfId="40709"/>
    <cellStyle name="20% - Accent1 8 3 7" xfId="30396"/>
    <cellStyle name="20% - Accent1 8 3 7 2" xfId="50144"/>
    <cellStyle name="20% - Accent1 8 3 8" xfId="31065"/>
    <cellStyle name="20% - Accent1 8 4" xfId="702"/>
    <cellStyle name="20% - Accent1 8 4 2" xfId="1801"/>
    <cellStyle name="20% - Accent1 8 4 2 2" xfId="17103"/>
    <cellStyle name="20% - Accent1 8 4 2 2 2" xfId="26819"/>
    <cellStyle name="20% - Accent1 8 4 2 2 2 2" xfId="46573"/>
    <cellStyle name="20% - Accent1 8 4 2 2 3" xfId="36929"/>
    <cellStyle name="20% - Accent1 8 4 2 3" xfId="22009"/>
    <cellStyle name="20% - Accent1 8 4 2 3 2" xfId="41764"/>
    <cellStyle name="20% - Accent1 8 4 2 4" xfId="32120"/>
    <cellStyle name="20% - Accent1 8 4 3" xfId="16049"/>
    <cellStyle name="20% - Accent1 8 4 3 2" xfId="25765"/>
    <cellStyle name="20% - Accent1 8 4 3 2 2" xfId="45519"/>
    <cellStyle name="20% - Accent1 8 4 3 3" xfId="35875"/>
    <cellStyle name="20% - Accent1 8 4 4" xfId="20955"/>
    <cellStyle name="20% - Accent1 8 4 4 2" xfId="40710"/>
    <cellStyle name="20% - Accent1 8 4 5" xfId="31066"/>
    <cellStyle name="20% - Accent1 8 5" xfId="1802"/>
    <cellStyle name="20% - Accent1 8 5 2" xfId="17104"/>
    <cellStyle name="20% - Accent1 8 5 2 2" xfId="26820"/>
    <cellStyle name="20% - Accent1 8 5 2 2 2" xfId="46574"/>
    <cellStyle name="20% - Accent1 8 5 2 3" xfId="36930"/>
    <cellStyle name="20% - Accent1 8 5 3" xfId="22010"/>
    <cellStyle name="20% - Accent1 8 5 3 2" xfId="41765"/>
    <cellStyle name="20% - Accent1 8 5 4" xfId="32121"/>
    <cellStyle name="20% - Accent1 8 6" xfId="15375"/>
    <cellStyle name="20% - Accent1 8 6 2" xfId="20247"/>
    <cellStyle name="20% - Accent1 8 6 2 2" xfId="29961"/>
    <cellStyle name="20% - Accent1 8 6 2 2 2" xfId="49714"/>
    <cellStyle name="20% - Accent1 8 6 2 3" xfId="40070"/>
    <cellStyle name="20% - Accent1 8 6 3" xfId="25149"/>
    <cellStyle name="20% - Accent1 8 6 3 2" xfId="44903"/>
    <cellStyle name="20% - Accent1 8 6 4" xfId="35259"/>
    <cellStyle name="20% - Accent1 8 7" xfId="15825"/>
    <cellStyle name="20% - Accent1 8 7 2" xfId="25541"/>
    <cellStyle name="20% - Accent1 8 7 2 2" xfId="45295"/>
    <cellStyle name="20% - Accent1 8 7 3" xfId="35651"/>
    <cellStyle name="20% - Accent1 8 8" xfId="20697"/>
    <cellStyle name="20% - Accent1 8 8 2" xfId="40477"/>
    <cellStyle name="20% - Accent1 8 9" xfId="30393"/>
    <cellStyle name="20% - Accent1 8 9 2" xfId="50141"/>
    <cellStyle name="20% - Accent1 9" xfId="20"/>
    <cellStyle name="20% - Accent1 9 2" xfId="703"/>
    <cellStyle name="20% - Accent1 9 2 2" xfId="1803"/>
    <cellStyle name="20% - Accent1 9 2 2 2" xfId="1804"/>
    <cellStyle name="20% - Accent1 9 2 2 2 2" xfId="17106"/>
    <cellStyle name="20% - Accent1 9 2 2 2 2 2" xfId="26822"/>
    <cellStyle name="20% - Accent1 9 2 2 2 2 2 2" xfId="46576"/>
    <cellStyle name="20% - Accent1 9 2 2 2 2 3" xfId="36932"/>
    <cellStyle name="20% - Accent1 9 2 2 2 3" xfId="22012"/>
    <cellStyle name="20% - Accent1 9 2 2 2 3 2" xfId="41767"/>
    <cellStyle name="20% - Accent1 9 2 2 2 4" xfId="32123"/>
    <cellStyle name="20% - Accent1 9 2 2 3" xfId="17105"/>
    <cellStyle name="20% - Accent1 9 2 2 3 2" xfId="26821"/>
    <cellStyle name="20% - Accent1 9 2 2 3 2 2" xfId="46575"/>
    <cellStyle name="20% - Accent1 9 2 2 3 3" xfId="36931"/>
    <cellStyle name="20% - Accent1 9 2 2 4" xfId="22011"/>
    <cellStyle name="20% - Accent1 9 2 2 4 2" xfId="41766"/>
    <cellStyle name="20% - Accent1 9 2 2 5" xfId="32122"/>
    <cellStyle name="20% - Accent1 9 2 3" xfId="1805"/>
    <cellStyle name="20% - Accent1 9 2 3 2" xfId="17107"/>
    <cellStyle name="20% - Accent1 9 2 3 2 2" xfId="26823"/>
    <cellStyle name="20% - Accent1 9 2 3 2 2 2" xfId="46577"/>
    <cellStyle name="20% - Accent1 9 2 3 2 3" xfId="36933"/>
    <cellStyle name="20% - Accent1 9 2 3 3" xfId="22013"/>
    <cellStyle name="20% - Accent1 9 2 3 3 2" xfId="41768"/>
    <cellStyle name="20% - Accent1 9 2 3 4" xfId="32124"/>
    <cellStyle name="20% - Accent1 9 2 4" xfId="15380"/>
    <cellStyle name="20% - Accent1 9 2 4 2" xfId="20252"/>
    <cellStyle name="20% - Accent1 9 2 4 2 2" xfId="29966"/>
    <cellStyle name="20% - Accent1 9 2 4 2 2 2" xfId="49719"/>
    <cellStyle name="20% - Accent1 9 2 4 2 3" xfId="40075"/>
    <cellStyle name="20% - Accent1 9 2 4 3" xfId="25154"/>
    <cellStyle name="20% - Accent1 9 2 4 3 2" xfId="44908"/>
    <cellStyle name="20% - Accent1 9 2 4 4" xfId="35264"/>
    <cellStyle name="20% - Accent1 9 2 5" xfId="16050"/>
    <cellStyle name="20% - Accent1 9 2 5 2" xfId="25766"/>
    <cellStyle name="20% - Accent1 9 2 5 2 2" xfId="45520"/>
    <cellStyle name="20% - Accent1 9 2 5 3" xfId="35876"/>
    <cellStyle name="20% - Accent1 9 2 6" xfId="20956"/>
    <cellStyle name="20% - Accent1 9 2 6 2" xfId="40711"/>
    <cellStyle name="20% - Accent1 9 2 7" xfId="30398"/>
    <cellStyle name="20% - Accent1 9 2 7 2" xfId="50146"/>
    <cellStyle name="20% - Accent1 9 2 8" xfId="31067"/>
    <cellStyle name="20% - Accent1 9 3" xfId="704"/>
    <cellStyle name="20% - Accent1 9 3 2" xfId="1806"/>
    <cellStyle name="20% - Accent1 9 3 2 2" xfId="17108"/>
    <cellStyle name="20% - Accent1 9 3 2 2 2" xfId="26824"/>
    <cellStyle name="20% - Accent1 9 3 2 2 2 2" xfId="46578"/>
    <cellStyle name="20% - Accent1 9 3 2 2 3" xfId="36934"/>
    <cellStyle name="20% - Accent1 9 3 2 3" xfId="22014"/>
    <cellStyle name="20% - Accent1 9 3 2 3 2" xfId="41769"/>
    <cellStyle name="20% - Accent1 9 3 2 4" xfId="32125"/>
    <cellStyle name="20% - Accent1 9 3 3" xfId="16051"/>
    <cellStyle name="20% - Accent1 9 3 3 2" xfId="25767"/>
    <cellStyle name="20% - Accent1 9 3 3 2 2" xfId="45521"/>
    <cellStyle name="20% - Accent1 9 3 3 3" xfId="35877"/>
    <cellStyle name="20% - Accent1 9 3 4" xfId="20957"/>
    <cellStyle name="20% - Accent1 9 3 4 2" xfId="40712"/>
    <cellStyle name="20% - Accent1 9 3 5" xfId="31068"/>
    <cellStyle name="20% - Accent1 9 4" xfId="1807"/>
    <cellStyle name="20% - Accent1 9 4 2" xfId="17109"/>
    <cellStyle name="20% - Accent1 9 4 2 2" xfId="26825"/>
    <cellStyle name="20% - Accent1 9 4 2 2 2" xfId="46579"/>
    <cellStyle name="20% - Accent1 9 4 2 3" xfId="36935"/>
    <cellStyle name="20% - Accent1 9 4 3" xfId="22015"/>
    <cellStyle name="20% - Accent1 9 4 3 2" xfId="41770"/>
    <cellStyle name="20% - Accent1 9 4 4" xfId="32126"/>
    <cellStyle name="20% - Accent1 9 5" xfId="15379"/>
    <cellStyle name="20% - Accent1 9 5 2" xfId="20251"/>
    <cellStyle name="20% - Accent1 9 5 2 2" xfId="29965"/>
    <cellStyle name="20% - Accent1 9 5 2 2 2" xfId="49718"/>
    <cellStyle name="20% - Accent1 9 5 2 3" xfId="40074"/>
    <cellStyle name="20% - Accent1 9 5 3" xfId="25153"/>
    <cellStyle name="20% - Accent1 9 5 3 2" xfId="44907"/>
    <cellStyle name="20% - Accent1 9 5 4" xfId="35263"/>
    <cellStyle name="20% - Accent1 9 6" xfId="15827"/>
    <cellStyle name="20% - Accent1 9 6 2" xfId="25543"/>
    <cellStyle name="20% - Accent1 9 6 2 2" xfId="45297"/>
    <cellStyle name="20% - Accent1 9 6 3" xfId="35653"/>
    <cellStyle name="20% - Accent1 9 7" xfId="20699"/>
    <cellStyle name="20% - Accent1 9 7 2" xfId="40479"/>
    <cellStyle name="20% - Accent1 9 8" xfId="30397"/>
    <cellStyle name="20% - Accent1 9 8 2" xfId="50145"/>
    <cellStyle name="20% - Accent1 9 9" xfId="30810"/>
    <cellStyle name="20% - Accent2" xfId="21" builtinId="34" customBuiltin="1"/>
    <cellStyle name="20% - Accent2 10" xfId="22"/>
    <cellStyle name="20% - Accent2 10 2" xfId="705"/>
    <cellStyle name="20% - Accent2 10 2 2" xfId="1808"/>
    <cellStyle name="20% - Accent2 10 2 2 2" xfId="1809"/>
    <cellStyle name="20% - Accent2 10 2 2 2 2" xfId="17111"/>
    <cellStyle name="20% - Accent2 10 2 2 2 2 2" xfId="26827"/>
    <cellStyle name="20% - Accent2 10 2 2 2 2 2 2" xfId="46581"/>
    <cellStyle name="20% - Accent2 10 2 2 2 2 3" xfId="36937"/>
    <cellStyle name="20% - Accent2 10 2 2 2 3" xfId="22017"/>
    <cellStyle name="20% - Accent2 10 2 2 2 3 2" xfId="41772"/>
    <cellStyle name="20% - Accent2 10 2 2 2 4" xfId="32128"/>
    <cellStyle name="20% - Accent2 10 2 2 3" xfId="17110"/>
    <cellStyle name="20% - Accent2 10 2 2 3 2" xfId="26826"/>
    <cellStyle name="20% - Accent2 10 2 2 3 2 2" xfId="46580"/>
    <cellStyle name="20% - Accent2 10 2 2 3 3" xfId="36936"/>
    <cellStyle name="20% - Accent2 10 2 2 4" xfId="22016"/>
    <cellStyle name="20% - Accent2 10 2 2 4 2" xfId="41771"/>
    <cellStyle name="20% - Accent2 10 2 2 5" xfId="32127"/>
    <cellStyle name="20% - Accent2 10 2 3" xfId="1810"/>
    <cellStyle name="20% - Accent2 10 2 3 2" xfId="17112"/>
    <cellStyle name="20% - Accent2 10 2 3 2 2" xfId="26828"/>
    <cellStyle name="20% - Accent2 10 2 3 2 2 2" xfId="46582"/>
    <cellStyle name="20% - Accent2 10 2 3 2 3" xfId="36938"/>
    <cellStyle name="20% - Accent2 10 2 3 3" xfId="22018"/>
    <cellStyle name="20% - Accent2 10 2 3 3 2" xfId="41773"/>
    <cellStyle name="20% - Accent2 10 2 3 4" xfId="32129"/>
    <cellStyle name="20% - Accent2 10 2 4" xfId="16052"/>
    <cellStyle name="20% - Accent2 10 2 4 2" xfId="25768"/>
    <cellStyle name="20% - Accent2 10 2 4 2 2" xfId="45522"/>
    <cellStyle name="20% - Accent2 10 2 4 3" xfId="35878"/>
    <cellStyle name="20% - Accent2 10 2 5" xfId="20958"/>
    <cellStyle name="20% - Accent2 10 2 5 2" xfId="40713"/>
    <cellStyle name="20% - Accent2 10 2 6" xfId="31069"/>
    <cellStyle name="20% - Accent2 10 3" xfId="706"/>
    <cellStyle name="20% - Accent2 10 3 2" xfId="1811"/>
    <cellStyle name="20% - Accent2 10 3 2 2" xfId="17113"/>
    <cellStyle name="20% - Accent2 10 3 2 2 2" xfId="26829"/>
    <cellStyle name="20% - Accent2 10 3 2 2 2 2" xfId="46583"/>
    <cellStyle name="20% - Accent2 10 3 2 2 3" xfId="36939"/>
    <cellStyle name="20% - Accent2 10 3 2 3" xfId="22019"/>
    <cellStyle name="20% - Accent2 10 3 2 3 2" xfId="41774"/>
    <cellStyle name="20% - Accent2 10 3 2 4" xfId="32130"/>
    <cellStyle name="20% - Accent2 10 3 3" xfId="16053"/>
    <cellStyle name="20% - Accent2 10 3 3 2" xfId="25769"/>
    <cellStyle name="20% - Accent2 10 3 3 2 2" xfId="45523"/>
    <cellStyle name="20% - Accent2 10 3 3 3" xfId="35879"/>
    <cellStyle name="20% - Accent2 10 3 4" xfId="20959"/>
    <cellStyle name="20% - Accent2 10 3 4 2" xfId="40714"/>
    <cellStyle name="20% - Accent2 10 3 5" xfId="31070"/>
    <cellStyle name="20% - Accent2 10 4" xfId="1812"/>
    <cellStyle name="20% - Accent2 10 4 2" xfId="17114"/>
    <cellStyle name="20% - Accent2 10 4 2 2" xfId="26830"/>
    <cellStyle name="20% - Accent2 10 4 2 2 2" xfId="46584"/>
    <cellStyle name="20% - Accent2 10 4 2 3" xfId="36940"/>
    <cellStyle name="20% - Accent2 10 4 3" xfId="22020"/>
    <cellStyle name="20% - Accent2 10 4 3 2" xfId="41775"/>
    <cellStyle name="20% - Accent2 10 4 4" xfId="32131"/>
    <cellStyle name="20% - Accent2 10 5" xfId="15382"/>
    <cellStyle name="20% - Accent2 10 5 2" xfId="20254"/>
    <cellStyle name="20% - Accent2 10 5 2 2" xfId="29968"/>
    <cellStyle name="20% - Accent2 10 5 2 2 2" xfId="49721"/>
    <cellStyle name="20% - Accent2 10 5 2 3" xfId="40077"/>
    <cellStyle name="20% - Accent2 10 5 3" xfId="25156"/>
    <cellStyle name="20% - Accent2 10 5 3 2" xfId="44910"/>
    <cellStyle name="20% - Accent2 10 5 4" xfId="35266"/>
    <cellStyle name="20% - Accent2 10 6" xfId="15829"/>
    <cellStyle name="20% - Accent2 10 6 2" xfId="25545"/>
    <cellStyle name="20% - Accent2 10 6 2 2" xfId="45299"/>
    <cellStyle name="20% - Accent2 10 6 3" xfId="35655"/>
    <cellStyle name="20% - Accent2 10 7" xfId="20701"/>
    <cellStyle name="20% - Accent2 10 7 2" xfId="40481"/>
    <cellStyle name="20% - Accent2 10 8" xfId="30399"/>
    <cellStyle name="20% - Accent2 10 8 2" xfId="50147"/>
    <cellStyle name="20% - Accent2 10 9" xfId="30812"/>
    <cellStyle name="20% - Accent2 11" xfId="23"/>
    <cellStyle name="20% - Accent2 11 2" xfId="707"/>
    <cellStyle name="20% - Accent2 11 2 2" xfId="16054"/>
    <cellStyle name="20% - Accent2 11 2 2 2" xfId="25770"/>
    <cellStyle name="20% - Accent2 11 2 2 2 2" xfId="45524"/>
    <cellStyle name="20% - Accent2 11 2 2 3" xfId="35880"/>
    <cellStyle name="20% - Accent2 11 2 3" xfId="20960"/>
    <cellStyle name="20% - Accent2 11 2 3 2" xfId="40715"/>
    <cellStyle name="20% - Accent2 11 2 4" xfId="31071"/>
    <cellStyle name="20% - Accent2 11 3" xfId="15383"/>
    <cellStyle name="20% - Accent2 11 3 2" xfId="20255"/>
    <cellStyle name="20% - Accent2 11 3 2 2" xfId="29969"/>
    <cellStyle name="20% - Accent2 11 3 2 2 2" xfId="49722"/>
    <cellStyle name="20% - Accent2 11 3 2 3" xfId="40078"/>
    <cellStyle name="20% - Accent2 11 3 3" xfId="25157"/>
    <cellStyle name="20% - Accent2 11 3 3 2" xfId="44911"/>
    <cellStyle name="20% - Accent2 11 3 4" xfId="35267"/>
    <cellStyle name="20% - Accent2 11 4" xfId="15828"/>
    <cellStyle name="20% - Accent2 11 4 2" xfId="25544"/>
    <cellStyle name="20% - Accent2 11 4 2 2" xfId="45298"/>
    <cellStyle name="20% - Accent2 11 4 3" xfId="35654"/>
    <cellStyle name="20% - Accent2 11 5" xfId="20702"/>
    <cellStyle name="20% - Accent2 11 5 2" xfId="40482"/>
    <cellStyle name="20% - Accent2 11 6" xfId="30400"/>
    <cellStyle name="20% - Accent2 11 6 2" xfId="50148"/>
    <cellStyle name="20% - Accent2 11 7" xfId="30813"/>
    <cellStyle name="20% - Accent2 12" xfId="708"/>
    <cellStyle name="20% - Accent2 12 2" xfId="16055"/>
    <cellStyle name="20% - Accent2 12 2 2" xfId="25771"/>
    <cellStyle name="20% - Accent2 12 2 2 2" xfId="45525"/>
    <cellStyle name="20% - Accent2 12 2 3" xfId="35881"/>
    <cellStyle name="20% - Accent2 12 3" xfId="20961"/>
    <cellStyle name="20% - Accent2 12 3 2" xfId="40716"/>
    <cellStyle name="20% - Accent2 12 4" xfId="31072"/>
    <cellStyle name="20% - Accent2 13" xfId="709"/>
    <cellStyle name="20% - Accent2 13 2" xfId="16056"/>
    <cellStyle name="20% - Accent2 13 2 2" xfId="25772"/>
    <cellStyle name="20% - Accent2 13 2 2 2" xfId="45526"/>
    <cellStyle name="20% - Accent2 13 2 3" xfId="35882"/>
    <cellStyle name="20% - Accent2 13 3" xfId="20962"/>
    <cellStyle name="20% - Accent2 13 3 2" xfId="40717"/>
    <cellStyle name="20% - Accent2 13 4" xfId="31073"/>
    <cellStyle name="20% - Accent2 14" xfId="710"/>
    <cellStyle name="20% - Accent2 14 2" xfId="16057"/>
    <cellStyle name="20% - Accent2 14 2 2" xfId="25773"/>
    <cellStyle name="20% - Accent2 14 2 2 2" xfId="45527"/>
    <cellStyle name="20% - Accent2 14 2 3" xfId="35883"/>
    <cellStyle name="20% - Accent2 14 3" xfId="20963"/>
    <cellStyle name="20% - Accent2 14 3 2" xfId="40718"/>
    <cellStyle name="20% - Accent2 14 4" xfId="31074"/>
    <cellStyle name="20% - Accent2 15" xfId="15317"/>
    <cellStyle name="20% - Accent2 15 2" xfId="20214"/>
    <cellStyle name="20% - Accent2 15 2 2" xfId="29928"/>
    <cellStyle name="20% - Accent2 15 2 2 2" xfId="49681"/>
    <cellStyle name="20% - Accent2 15 2 3" xfId="40037"/>
    <cellStyle name="20% - Accent2 15 3" xfId="25116"/>
    <cellStyle name="20% - Accent2 15 3 2" xfId="44870"/>
    <cellStyle name="20% - Accent2 15 4" xfId="35226"/>
    <cellStyle name="20% - Accent2 16" xfId="15381"/>
    <cellStyle name="20% - Accent2 16 2" xfId="20253"/>
    <cellStyle name="20% - Accent2 16 2 2" xfId="29967"/>
    <cellStyle name="20% - Accent2 16 2 2 2" xfId="49720"/>
    <cellStyle name="20% - Accent2 16 2 3" xfId="40076"/>
    <cellStyle name="20% - Accent2 16 3" xfId="25155"/>
    <cellStyle name="20% - Accent2 16 3 2" xfId="44909"/>
    <cellStyle name="20% - Accent2 16 4" xfId="35265"/>
    <cellStyle name="20% - Accent2 17" xfId="15802"/>
    <cellStyle name="20% - Accent2 17 2" xfId="25518"/>
    <cellStyle name="20% - Accent2 17 2 2" xfId="45272"/>
    <cellStyle name="20% - Accent2 17 3" xfId="35628"/>
    <cellStyle name="20% - Accent2 18" xfId="20650"/>
    <cellStyle name="20% - Accent2 18 2" xfId="30334"/>
    <cellStyle name="20% - Accent2 18 2 2" xfId="50086"/>
    <cellStyle name="20% - Accent2 18 3" xfId="40442"/>
    <cellStyle name="20% - Accent2 19" xfId="20667"/>
    <cellStyle name="20% - Accent2 19 2" xfId="30344"/>
    <cellStyle name="20% - Accent2 19 2 2" xfId="50093"/>
    <cellStyle name="20% - Accent2 19 3" xfId="40449"/>
    <cellStyle name="20% - Accent2 2" xfId="24"/>
    <cellStyle name="20% - Accent2 2 10" xfId="1813"/>
    <cellStyle name="20% - Accent2 2 10 2" xfId="1814"/>
    <cellStyle name="20% - Accent2 2 10 2 2" xfId="17116"/>
    <cellStyle name="20% - Accent2 2 10 2 2 2" xfId="26832"/>
    <cellStyle name="20% - Accent2 2 10 2 2 2 2" xfId="46586"/>
    <cellStyle name="20% - Accent2 2 10 2 2 3" xfId="36942"/>
    <cellStyle name="20% - Accent2 2 10 2 3" xfId="22022"/>
    <cellStyle name="20% - Accent2 2 10 2 3 2" xfId="41777"/>
    <cellStyle name="20% - Accent2 2 10 2 4" xfId="32133"/>
    <cellStyle name="20% - Accent2 2 10 3" xfId="17115"/>
    <cellStyle name="20% - Accent2 2 10 3 2" xfId="26831"/>
    <cellStyle name="20% - Accent2 2 10 3 2 2" xfId="46585"/>
    <cellStyle name="20% - Accent2 2 10 3 3" xfId="36941"/>
    <cellStyle name="20% - Accent2 2 10 4" xfId="22021"/>
    <cellStyle name="20% - Accent2 2 10 4 2" xfId="41776"/>
    <cellStyle name="20% - Accent2 2 10 5" xfId="32132"/>
    <cellStyle name="20% - Accent2 2 11" xfId="1815"/>
    <cellStyle name="20% - Accent2 2 11 2" xfId="17117"/>
    <cellStyle name="20% - Accent2 2 11 2 2" xfId="26833"/>
    <cellStyle name="20% - Accent2 2 11 2 2 2" xfId="46587"/>
    <cellStyle name="20% - Accent2 2 11 2 3" xfId="36943"/>
    <cellStyle name="20% - Accent2 2 11 3" xfId="22023"/>
    <cellStyle name="20% - Accent2 2 11 3 2" xfId="41778"/>
    <cellStyle name="20% - Accent2 2 11 4" xfId="32134"/>
    <cellStyle name="20% - Accent2 2 12" xfId="1816"/>
    <cellStyle name="20% - Accent2 2 12 2" xfId="17118"/>
    <cellStyle name="20% - Accent2 2 12 2 2" xfId="26834"/>
    <cellStyle name="20% - Accent2 2 12 2 2 2" xfId="46588"/>
    <cellStyle name="20% - Accent2 2 12 2 3" xfId="36944"/>
    <cellStyle name="20% - Accent2 2 12 3" xfId="22024"/>
    <cellStyle name="20% - Accent2 2 12 3 2" xfId="41779"/>
    <cellStyle name="20% - Accent2 2 12 4" xfId="32135"/>
    <cellStyle name="20% - Accent2 2 13" xfId="1817"/>
    <cellStyle name="20% - Accent2 2 13 2" xfId="17119"/>
    <cellStyle name="20% - Accent2 2 13 2 2" xfId="26835"/>
    <cellStyle name="20% - Accent2 2 13 2 2 2" xfId="46589"/>
    <cellStyle name="20% - Accent2 2 13 2 3" xfId="36945"/>
    <cellStyle name="20% - Accent2 2 13 3" xfId="22025"/>
    <cellStyle name="20% - Accent2 2 13 3 2" xfId="41780"/>
    <cellStyle name="20% - Accent2 2 13 4" xfId="32136"/>
    <cellStyle name="20% - Accent2 2 2" xfId="25"/>
    <cellStyle name="20% - Accent2 2 2 10" xfId="1818"/>
    <cellStyle name="20% - Accent2 2 2 10 2" xfId="17120"/>
    <cellStyle name="20% - Accent2 2 2 10 2 2" xfId="26836"/>
    <cellStyle name="20% - Accent2 2 2 10 2 2 2" xfId="46590"/>
    <cellStyle name="20% - Accent2 2 2 10 2 3" xfId="36946"/>
    <cellStyle name="20% - Accent2 2 2 10 3" xfId="22026"/>
    <cellStyle name="20% - Accent2 2 2 10 3 2" xfId="41781"/>
    <cellStyle name="20% - Accent2 2 2 10 4" xfId="32137"/>
    <cellStyle name="20% - Accent2 2 2 11" xfId="1819"/>
    <cellStyle name="20% - Accent2 2 2 11 2" xfId="17121"/>
    <cellStyle name="20% - Accent2 2 2 11 2 2" xfId="26837"/>
    <cellStyle name="20% - Accent2 2 2 11 2 2 2" xfId="46591"/>
    <cellStyle name="20% - Accent2 2 2 11 2 3" xfId="36947"/>
    <cellStyle name="20% - Accent2 2 2 11 3" xfId="22027"/>
    <cellStyle name="20% - Accent2 2 2 11 3 2" xfId="41782"/>
    <cellStyle name="20% - Accent2 2 2 11 4" xfId="32138"/>
    <cellStyle name="20% - Accent2 2 2 12" xfId="1820"/>
    <cellStyle name="20% - Accent2 2 2 12 2" xfId="17122"/>
    <cellStyle name="20% - Accent2 2 2 12 2 2" xfId="26838"/>
    <cellStyle name="20% - Accent2 2 2 12 2 2 2" xfId="46592"/>
    <cellStyle name="20% - Accent2 2 2 12 2 3" xfId="36948"/>
    <cellStyle name="20% - Accent2 2 2 12 3" xfId="22028"/>
    <cellStyle name="20% - Accent2 2 2 12 3 2" xfId="41783"/>
    <cellStyle name="20% - Accent2 2 2 12 4" xfId="32139"/>
    <cellStyle name="20% - Accent2 2 2 2" xfId="1821"/>
    <cellStyle name="20% - Accent2 2 2 2 10" xfId="1822"/>
    <cellStyle name="20% - Accent2 2 2 2 10 2" xfId="17124"/>
    <cellStyle name="20% - Accent2 2 2 2 10 2 2" xfId="26840"/>
    <cellStyle name="20% - Accent2 2 2 2 10 2 2 2" xfId="46594"/>
    <cellStyle name="20% - Accent2 2 2 2 10 2 3" xfId="36950"/>
    <cellStyle name="20% - Accent2 2 2 2 10 3" xfId="22030"/>
    <cellStyle name="20% - Accent2 2 2 2 10 3 2" xfId="41785"/>
    <cellStyle name="20% - Accent2 2 2 2 10 4" xfId="32141"/>
    <cellStyle name="20% - Accent2 2 2 2 11" xfId="17123"/>
    <cellStyle name="20% - Accent2 2 2 2 11 2" xfId="26839"/>
    <cellStyle name="20% - Accent2 2 2 2 11 2 2" xfId="46593"/>
    <cellStyle name="20% - Accent2 2 2 2 11 3" xfId="36949"/>
    <cellStyle name="20% - Accent2 2 2 2 12" xfId="22029"/>
    <cellStyle name="20% - Accent2 2 2 2 12 2" xfId="41784"/>
    <cellStyle name="20% - Accent2 2 2 2 13" xfId="32140"/>
    <cellStyle name="20% - Accent2 2 2 2 2" xfId="1823"/>
    <cellStyle name="20% - Accent2 2 2 2 2 10" xfId="32142"/>
    <cellStyle name="20% - Accent2 2 2 2 2 2" xfId="1824"/>
    <cellStyle name="20% - Accent2 2 2 2 2 2 2" xfId="1825"/>
    <cellStyle name="20% - Accent2 2 2 2 2 2 2 2" xfId="1826"/>
    <cellStyle name="20% - Accent2 2 2 2 2 2 2 2 2" xfId="1827"/>
    <cellStyle name="20% - Accent2 2 2 2 2 2 2 2 2 2" xfId="17129"/>
    <cellStyle name="20% - Accent2 2 2 2 2 2 2 2 2 2 2" xfId="26845"/>
    <cellStyle name="20% - Accent2 2 2 2 2 2 2 2 2 2 2 2" xfId="46599"/>
    <cellStyle name="20% - Accent2 2 2 2 2 2 2 2 2 2 3" xfId="36955"/>
    <cellStyle name="20% - Accent2 2 2 2 2 2 2 2 2 3" xfId="22035"/>
    <cellStyle name="20% - Accent2 2 2 2 2 2 2 2 2 3 2" xfId="41790"/>
    <cellStyle name="20% - Accent2 2 2 2 2 2 2 2 2 4" xfId="32146"/>
    <cellStyle name="20% - Accent2 2 2 2 2 2 2 2 3" xfId="17128"/>
    <cellStyle name="20% - Accent2 2 2 2 2 2 2 2 3 2" xfId="26844"/>
    <cellStyle name="20% - Accent2 2 2 2 2 2 2 2 3 2 2" xfId="46598"/>
    <cellStyle name="20% - Accent2 2 2 2 2 2 2 2 3 3" xfId="36954"/>
    <cellStyle name="20% - Accent2 2 2 2 2 2 2 2 4" xfId="22034"/>
    <cellStyle name="20% - Accent2 2 2 2 2 2 2 2 4 2" xfId="41789"/>
    <cellStyle name="20% - Accent2 2 2 2 2 2 2 2 5" xfId="32145"/>
    <cellStyle name="20% - Accent2 2 2 2 2 2 2 3" xfId="1828"/>
    <cellStyle name="20% - Accent2 2 2 2 2 2 2 3 2" xfId="17130"/>
    <cellStyle name="20% - Accent2 2 2 2 2 2 2 3 2 2" xfId="26846"/>
    <cellStyle name="20% - Accent2 2 2 2 2 2 2 3 2 2 2" xfId="46600"/>
    <cellStyle name="20% - Accent2 2 2 2 2 2 2 3 2 3" xfId="36956"/>
    <cellStyle name="20% - Accent2 2 2 2 2 2 2 3 3" xfId="22036"/>
    <cellStyle name="20% - Accent2 2 2 2 2 2 2 3 3 2" xfId="41791"/>
    <cellStyle name="20% - Accent2 2 2 2 2 2 2 3 4" xfId="32147"/>
    <cellStyle name="20% - Accent2 2 2 2 2 2 2 4" xfId="17127"/>
    <cellStyle name="20% - Accent2 2 2 2 2 2 2 4 2" xfId="26843"/>
    <cellStyle name="20% - Accent2 2 2 2 2 2 2 4 2 2" xfId="46597"/>
    <cellStyle name="20% - Accent2 2 2 2 2 2 2 4 3" xfId="36953"/>
    <cellStyle name="20% - Accent2 2 2 2 2 2 2 5" xfId="22033"/>
    <cellStyle name="20% - Accent2 2 2 2 2 2 2 5 2" xfId="41788"/>
    <cellStyle name="20% - Accent2 2 2 2 2 2 2 6" xfId="32144"/>
    <cellStyle name="20% - Accent2 2 2 2 2 2 3" xfId="1829"/>
    <cellStyle name="20% - Accent2 2 2 2 2 2 3 2" xfId="1830"/>
    <cellStyle name="20% - Accent2 2 2 2 2 2 3 2 2" xfId="17132"/>
    <cellStyle name="20% - Accent2 2 2 2 2 2 3 2 2 2" xfId="26848"/>
    <cellStyle name="20% - Accent2 2 2 2 2 2 3 2 2 2 2" xfId="46602"/>
    <cellStyle name="20% - Accent2 2 2 2 2 2 3 2 2 3" xfId="36958"/>
    <cellStyle name="20% - Accent2 2 2 2 2 2 3 2 3" xfId="22038"/>
    <cellStyle name="20% - Accent2 2 2 2 2 2 3 2 3 2" xfId="41793"/>
    <cellStyle name="20% - Accent2 2 2 2 2 2 3 2 4" xfId="32149"/>
    <cellStyle name="20% - Accent2 2 2 2 2 2 3 3" xfId="17131"/>
    <cellStyle name="20% - Accent2 2 2 2 2 2 3 3 2" xfId="26847"/>
    <cellStyle name="20% - Accent2 2 2 2 2 2 3 3 2 2" xfId="46601"/>
    <cellStyle name="20% - Accent2 2 2 2 2 2 3 3 3" xfId="36957"/>
    <cellStyle name="20% - Accent2 2 2 2 2 2 3 4" xfId="22037"/>
    <cellStyle name="20% - Accent2 2 2 2 2 2 3 4 2" xfId="41792"/>
    <cellStyle name="20% - Accent2 2 2 2 2 2 3 5" xfId="32148"/>
    <cellStyle name="20% - Accent2 2 2 2 2 2 4" xfId="1831"/>
    <cellStyle name="20% - Accent2 2 2 2 2 2 4 2" xfId="17133"/>
    <cellStyle name="20% - Accent2 2 2 2 2 2 4 2 2" xfId="26849"/>
    <cellStyle name="20% - Accent2 2 2 2 2 2 4 2 2 2" xfId="46603"/>
    <cellStyle name="20% - Accent2 2 2 2 2 2 4 2 3" xfId="36959"/>
    <cellStyle name="20% - Accent2 2 2 2 2 2 4 3" xfId="22039"/>
    <cellStyle name="20% - Accent2 2 2 2 2 2 4 3 2" xfId="41794"/>
    <cellStyle name="20% - Accent2 2 2 2 2 2 4 4" xfId="32150"/>
    <cellStyle name="20% - Accent2 2 2 2 2 2 5" xfId="17126"/>
    <cellStyle name="20% - Accent2 2 2 2 2 2 5 2" xfId="26842"/>
    <cellStyle name="20% - Accent2 2 2 2 2 2 5 2 2" xfId="46596"/>
    <cellStyle name="20% - Accent2 2 2 2 2 2 5 3" xfId="36952"/>
    <cellStyle name="20% - Accent2 2 2 2 2 2 6" xfId="22032"/>
    <cellStyle name="20% - Accent2 2 2 2 2 2 6 2" xfId="41787"/>
    <cellStyle name="20% - Accent2 2 2 2 2 2 7" xfId="32143"/>
    <cellStyle name="20% - Accent2 2 2 2 2 3" xfId="1832"/>
    <cellStyle name="20% - Accent2 2 2 2 2 3 2" xfId="1833"/>
    <cellStyle name="20% - Accent2 2 2 2 2 3 2 2" xfId="1834"/>
    <cellStyle name="20% - Accent2 2 2 2 2 3 2 2 2" xfId="17136"/>
    <cellStyle name="20% - Accent2 2 2 2 2 3 2 2 2 2" xfId="26852"/>
    <cellStyle name="20% - Accent2 2 2 2 2 3 2 2 2 2 2" xfId="46606"/>
    <cellStyle name="20% - Accent2 2 2 2 2 3 2 2 2 3" xfId="36962"/>
    <cellStyle name="20% - Accent2 2 2 2 2 3 2 2 3" xfId="22042"/>
    <cellStyle name="20% - Accent2 2 2 2 2 3 2 2 3 2" xfId="41797"/>
    <cellStyle name="20% - Accent2 2 2 2 2 3 2 2 4" xfId="32153"/>
    <cellStyle name="20% - Accent2 2 2 2 2 3 2 3" xfId="17135"/>
    <cellStyle name="20% - Accent2 2 2 2 2 3 2 3 2" xfId="26851"/>
    <cellStyle name="20% - Accent2 2 2 2 2 3 2 3 2 2" xfId="46605"/>
    <cellStyle name="20% - Accent2 2 2 2 2 3 2 3 3" xfId="36961"/>
    <cellStyle name="20% - Accent2 2 2 2 2 3 2 4" xfId="22041"/>
    <cellStyle name="20% - Accent2 2 2 2 2 3 2 4 2" xfId="41796"/>
    <cellStyle name="20% - Accent2 2 2 2 2 3 2 5" xfId="32152"/>
    <cellStyle name="20% - Accent2 2 2 2 2 3 3" xfId="1835"/>
    <cellStyle name="20% - Accent2 2 2 2 2 3 3 2" xfId="17137"/>
    <cellStyle name="20% - Accent2 2 2 2 2 3 3 2 2" xfId="26853"/>
    <cellStyle name="20% - Accent2 2 2 2 2 3 3 2 2 2" xfId="46607"/>
    <cellStyle name="20% - Accent2 2 2 2 2 3 3 2 3" xfId="36963"/>
    <cellStyle name="20% - Accent2 2 2 2 2 3 3 3" xfId="22043"/>
    <cellStyle name="20% - Accent2 2 2 2 2 3 3 3 2" xfId="41798"/>
    <cellStyle name="20% - Accent2 2 2 2 2 3 3 4" xfId="32154"/>
    <cellStyle name="20% - Accent2 2 2 2 2 3 4" xfId="17134"/>
    <cellStyle name="20% - Accent2 2 2 2 2 3 4 2" xfId="26850"/>
    <cellStyle name="20% - Accent2 2 2 2 2 3 4 2 2" xfId="46604"/>
    <cellStyle name="20% - Accent2 2 2 2 2 3 4 3" xfId="36960"/>
    <cellStyle name="20% - Accent2 2 2 2 2 3 5" xfId="22040"/>
    <cellStyle name="20% - Accent2 2 2 2 2 3 5 2" xfId="41795"/>
    <cellStyle name="20% - Accent2 2 2 2 2 3 6" xfId="32151"/>
    <cellStyle name="20% - Accent2 2 2 2 2 4" xfId="1836"/>
    <cellStyle name="20% - Accent2 2 2 2 2 4 2" xfId="1837"/>
    <cellStyle name="20% - Accent2 2 2 2 2 4 2 2" xfId="17139"/>
    <cellStyle name="20% - Accent2 2 2 2 2 4 2 2 2" xfId="26855"/>
    <cellStyle name="20% - Accent2 2 2 2 2 4 2 2 2 2" xfId="46609"/>
    <cellStyle name="20% - Accent2 2 2 2 2 4 2 2 3" xfId="36965"/>
    <cellStyle name="20% - Accent2 2 2 2 2 4 2 3" xfId="22045"/>
    <cellStyle name="20% - Accent2 2 2 2 2 4 2 3 2" xfId="41800"/>
    <cellStyle name="20% - Accent2 2 2 2 2 4 2 4" xfId="32156"/>
    <cellStyle name="20% - Accent2 2 2 2 2 4 3" xfId="17138"/>
    <cellStyle name="20% - Accent2 2 2 2 2 4 3 2" xfId="26854"/>
    <cellStyle name="20% - Accent2 2 2 2 2 4 3 2 2" xfId="46608"/>
    <cellStyle name="20% - Accent2 2 2 2 2 4 3 3" xfId="36964"/>
    <cellStyle name="20% - Accent2 2 2 2 2 4 4" xfId="22044"/>
    <cellStyle name="20% - Accent2 2 2 2 2 4 4 2" xfId="41799"/>
    <cellStyle name="20% - Accent2 2 2 2 2 4 5" xfId="32155"/>
    <cellStyle name="20% - Accent2 2 2 2 2 5" xfId="1838"/>
    <cellStyle name="20% - Accent2 2 2 2 2 5 2" xfId="17140"/>
    <cellStyle name="20% - Accent2 2 2 2 2 5 2 2" xfId="26856"/>
    <cellStyle name="20% - Accent2 2 2 2 2 5 2 2 2" xfId="46610"/>
    <cellStyle name="20% - Accent2 2 2 2 2 5 2 3" xfId="36966"/>
    <cellStyle name="20% - Accent2 2 2 2 2 5 3" xfId="22046"/>
    <cellStyle name="20% - Accent2 2 2 2 2 5 3 2" xfId="41801"/>
    <cellStyle name="20% - Accent2 2 2 2 2 5 4" xfId="32157"/>
    <cellStyle name="20% - Accent2 2 2 2 2 6" xfId="1839"/>
    <cellStyle name="20% - Accent2 2 2 2 2 6 2" xfId="17141"/>
    <cellStyle name="20% - Accent2 2 2 2 2 6 2 2" xfId="26857"/>
    <cellStyle name="20% - Accent2 2 2 2 2 6 2 2 2" xfId="46611"/>
    <cellStyle name="20% - Accent2 2 2 2 2 6 2 3" xfId="36967"/>
    <cellStyle name="20% - Accent2 2 2 2 2 6 3" xfId="22047"/>
    <cellStyle name="20% - Accent2 2 2 2 2 6 3 2" xfId="41802"/>
    <cellStyle name="20% - Accent2 2 2 2 2 6 4" xfId="32158"/>
    <cellStyle name="20% - Accent2 2 2 2 2 7" xfId="1840"/>
    <cellStyle name="20% - Accent2 2 2 2 2 7 2" xfId="17142"/>
    <cellStyle name="20% - Accent2 2 2 2 2 7 2 2" xfId="26858"/>
    <cellStyle name="20% - Accent2 2 2 2 2 7 2 2 2" xfId="46612"/>
    <cellStyle name="20% - Accent2 2 2 2 2 7 2 3" xfId="36968"/>
    <cellStyle name="20% - Accent2 2 2 2 2 7 3" xfId="22048"/>
    <cellStyle name="20% - Accent2 2 2 2 2 7 3 2" xfId="41803"/>
    <cellStyle name="20% - Accent2 2 2 2 2 7 4" xfId="32159"/>
    <cellStyle name="20% - Accent2 2 2 2 2 8" xfId="17125"/>
    <cellStyle name="20% - Accent2 2 2 2 2 8 2" xfId="26841"/>
    <cellStyle name="20% - Accent2 2 2 2 2 8 2 2" xfId="46595"/>
    <cellStyle name="20% - Accent2 2 2 2 2 8 3" xfId="36951"/>
    <cellStyle name="20% - Accent2 2 2 2 2 9" xfId="22031"/>
    <cellStyle name="20% - Accent2 2 2 2 2 9 2" xfId="41786"/>
    <cellStyle name="20% - Accent2 2 2 2 3" xfId="1841"/>
    <cellStyle name="20% - Accent2 2 2 2 3 2" xfId="1842"/>
    <cellStyle name="20% - Accent2 2 2 2 3 2 2" xfId="1843"/>
    <cellStyle name="20% - Accent2 2 2 2 3 2 2 2" xfId="1844"/>
    <cellStyle name="20% - Accent2 2 2 2 3 2 2 2 2" xfId="17146"/>
    <cellStyle name="20% - Accent2 2 2 2 3 2 2 2 2 2" xfId="26862"/>
    <cellStyle name="20% - Accent2 2 2 2 3 2 2 2 2 2 2" xfId="46616"/>
    <cellStyle name="20% - Accent2 2 2 2 3 2 2 2 2 3" xfId="36972"/>
    <cellStyle name="20% - Accent2 2 2 2 3 2 2 2 3" xfId="22052"/>
    <cellStyle name="20% - Accent2 2 2 2 3 2 2 2 3 2" xfId="41807"/>
    <cellStyle name="20% - Accent2 2 2 2 3 2 2 2 4" xfId="32163"/>
    <cellStyle name="20% - Accent2 2 2 2 3 2 2 3" xfId="17145"/>
    <cellStyle name="20% - Accent2 2 2 2 3 2 2 3 2" xfId="26861"/>
    <cellStyle name="20% - Accent2 2 2 2 3 2 2 3 2 2" xfId="46615"/>
    <cellStyle name="20% - Accent2 2 2 2 3 2 2 3 3" xfId="36971"/>
    <cellStyle name="20% - Accent2 2 2 2 3 2 2 4" xfId="22051"/>
    <cellStyle name="20% - Accent2 2 2 2 3 2 2 4 2" xfId="41806"/>
    <cellStyle name="20% - Accent2 2 2 2 3 2 2 5" xfId="32162"/>
    <cellStyle name="20% - Accent2 2 2 2 3 2 3" xfId="1845"/>
    <cellStyle name="20% - Accent2 2 2 2 3 2 3 2" xfId="17147"/>
    <cellStyle name="20% - Accent2 2 2 2 3 2 3 2 2" xfId="26863"/>
    <cellStyle name="20% - Accent2 2 2 2 3 2 3 2 2 2" xfId="46617"/>
    <cellStyle name="20% - Accent2 2 2 2 3 2 3 2 3" xfId="36973"/>
    <cellStyle name="20% - Accent2 2 2 2 3 2 3 3" xfId="22053"/>
    <cellStyle name="20% - Accent2 2 2 2 3 2 3 3 2" xfId="41808"/>
    <cellStyle name="20% - Accent2 2 2 2 3 2 3 4" xfId="32164"/>
    <cellStyle name="20% - Accent2 2 2 2 3 2 4" xfId="17144"/>
    <cellStyle name="20% - Accent2 2 2 2 3 2 4 2" xfId="26860"/>
    <cellStyle name="20% - Accent2 2 2 2 3 2 4 2 2" xfId="46614"/>
    <cellStyle name="20% - Accent2 2 2 2 3 2 4 3" xfId="36970"/>
    <cellStyle name="20% - Accent2 2 2 2 3 2 5" xfId="22050"/>
    <cellStyle name="20% - Accent2 2 2 2 3 2 5 2" xfId="41805"/>
    <cellStyle name="20% - Accent2 2 2 2 3 2 6" xfId="32161"/>
    <cellStyle name="20% - Accent2 2 2 2 3 3" xfId="1846"/>
    <cellStyle name="20% - Accent2 2 2 2 3 3 2" xfId="1847"/>
    <cellStyle name="20% - Accent2 2 2 2 3 3 2 2" xfId="17149"/>
    <cellStyle name="20% - Accent2 2 2 2 3 3 2 2 2" xfId="26865"/>
    <cellStyle name="20% - Accent2 2 2 2 3 3 2 2 2 2" xfId="46619"/>
    <cellStyle name="20% - Accent2 2 2 2 3 3 2 2 3" xfId="36975"/>
    <cellStyle name="20% - Accent2 2 2 2 3 3 2 3" xfId="22055"/>
    <cellStyle name="20% - Accent2 2 2 2 3 3 2 3 2" xfId="41810"/>
    <cellStyle name="20% - Accent2 2 2 2 3 3 2 4" xfId="32166"/>
    <cellStyle name="20% - Accent2 2 2 2 3 3 3" xfId="17148"/>
    <cellStyle name="20% - Accent2 2 2 2 3 3 3 2" xfId="26864"/>
    <cellStyle name="20% - Accent2 2 2 2 3 3 3 2 2" xfId="46618"/>
    <cellStyle name="20% - Accent2 2 2 2 3 3 3 3" xfId="36974"/>
    <cellStyle name="20% - Accent2 2 2 2 3 3 4" xfId="22054"/>
    <cellStyle name="20% - Accent2 2 2 2 3 3 4 2" xfId="41809"/>
    <cellStyle name="20% - Accent2 2 2 2 3 3 5" xfId="32165"/>
    <cellStyle name="20% - Accent2 2 2 2 3 4" xfId="1848"/>
    <cellStyle name="20% - Accent2 2 2 2 3 4 2" xfId="17150"/>
    <cellStyle name="20% - Accent2 2 2 2 3 4 2 2" xfId="26866"/>
    <cellStyle name="20% - Accent2 2 2 2 3 4 2 2 2" xfId="46620"/>
    <cellStyle name="20% - Accent2 2 2 2 3 4 2 3" xfId="36976"/>
    <cellStyle name="20% - Accent2 2 2 2 3 4 3" xfId="22056"/>
    <cellStyle name="20% - Accent2 2 2 2 3 4 3 2" xfId="41811"/>
    <cellStyle name="20% - Accent2 2 2 2 3 4 4" xfId="32167"/>
    <cellStyle name="20% - Accent2 2 2 2 3 5" xfId="17143"/>
    <cellStyle name="20% - Accent2 2 2 2 3 5 2" xfId="26859"/>
    <cellStyle name="20% - Accent2 2 2 2 3 5 2 2" xfId="46613"/>
    <cellStyle name="20% - Accent2 2 2 2 3 5 3" xfId="36969"/>
    <cellStyle name="20% - Accent2 2 2 2 3 6" xfId="22049"/>
    <cellStyle name="20% - Accent2 2 2 2 3 6 2" xfId="41804"/>
    <cellStyle name="20% - Accent2 2 2 2 3 7" xfId="32160"/>
    <cellStyle name="20% - Accent2 2 2 2 4" xfId="1849"/>
    <cellStyle name="20% - Accent2 2 2 2 4 2" xfId="1850"/>
    <cellStyle name="20% - Accent2 2 2 2 4 2 2" xfId="1851"/>
    <cellStyle name="20% - Accent2 2 2 2 4 2 2 2" xfId="1852"/>
    <cellStyle name="20% - Accent2 2 2 2 4 2 2 2 2" xfId="17154"/>
    <cellStyle name="20% - Accent2 2 2 2 4 2 2 2 2 2" xfId="26870"/>
    <cellStyle name="20% - Accent2 2 2 2 4 2 2 2 2 2 2" xfId="46624"/>
    <cellStyle name="20% - Accent2 2 2 2 4 2 2 2 2 3" xfId="36980"/>
    <cellStyle name="20% - Accent2 2 2 2 4 2 2 2 3" xfId="22060"/>
    <cellStyle name="20% - Accent2 2 2 2 4 2 2 2 3 2" xfId="41815"/>
    <cellStyle name="20% - Accent2 2 2 2 4 2 2 2 4" xfId="32171"/>
    <cellStyle name="20% - Accent2 2 2 2 4 2 2 3" xfId="17153"/>
    <cellStyle name="20% - Accent2 2 2 2 4 2 2 3 2" xfId="26869"/>
    <cellStyle name="20% - Accent2 2 2 2 4 2 2 3 2 2" xfId="46623"/>
    <cellStyle name="20% - Accent2 2 2 2 4 2 2 3 3" xfId="36979"/>
    <cellStyle name="20% - Accent2 2 2 2 4 2 2 4" xfId="22059"/>
    <cellStyle name="20% - Accent2 2 2 2 4 2 2 4 2" xfId="41814"/>
    <cellStyle name="20% - Accent2 2 2 2 4 2 2 5" xfId="32170"/>
    <cellStyle name="20% - Accent2 2 2 2 4 2 3" xfId="1853"/>
    <cellStyle name="20% - Accent2 2 2 2 4 2 3 2" xfId="17155"/>
    <cellStyle name="20% - Accent2 2 2 2 4 2 3 2 2" xfId="26871"/>
    <cellStyle name="20% - Accent2 2 2 2 4 2 3 2 2 2" xfId="46625"/>
    <cellStyle name="20% - Accent2 2 2 2 4 2 3 2 3" xfId="36981"/>
    <cellStyle name="20% - Accent2 2 2 2 4 2 3 3" xfId="22061"/>
    <cellStyle name="20% - Accent2 2 2 2 4 2 3 3 2" xfId="41816"/>
    <cellStyle name="20% - Accent2 2 2 2 4 2 3 4" xfId="32172"/>
    <cellStyle name="20% - Accent2 2 2 2 4 2 4" xfId="17152"/>
    <cellStyle name="20% - Accent2 2 2 2 4 2 4 2" xfId="26868"/>
    <cellStyle name="20% - Accent2 2 2 2 4 2 4 2 2" xfId="46622"/>
    <cellStyle name="20% - Accent2 2 2 2 4 2 4 3" xfId="36978"/>
    <cellStyle name="20% - Accent2 2 2 2 4 2 5" xfId="22058"/>
    <cellStyle name="20% - Accent2 2 2 2 4 2 5 2" xfId="41813"/>
    <cellStyle name="20% - Accent2 2 2 2 4 2 6" xfId="32169"/>
    <cellStyle name="20% - Accent2 2 2 2 4 3" xfId="1854"/>
    <cellStyle name="20% - Accent2 2 2 2 4 3 2" xfId="1855"/>
    <cellStyle name="20% - Accent2 2 2 2 4 3 2 2" xfId="17157"/>
    <cellStyle name="20% - Accent2 2 2 2 4 3 2 2 2" xfId="26873"/>
    <cellStyle name="20% - Accent2 2 2 2 4 3 2 2 2 2" xfId="46627"/>
    <cellStyle name="20% - Accent2 2 2 2 4 3 2 2 3" xfId="36983"/>
    <cellStyle name="20% - Accent2 2 2 2 4 3 2 3" xfId="22063"/>
    <cellStyle name="20% - Accent2 2 2 2 4 3 2 3 2" xfId="41818"/>
    <cellStyle name="20% - Accent2 2 2 2 4 3 2 4" xfId="32174"/>
    <cellStyle name="20% - Accent2 2 2 2 4 3 3" xfId="17156"/>
    <cellStyle name="20% - Accent2 2 2 2 4 3 3 2" xfId="26872"/>
    <cellStyle name="20% - Accent2 2 2 2 4 3 3 2 2" xfId="46626"/>
    <cellStyle name="20% - Accent2 2 2 2 4 3 3 3" xfId="36982"/>
    <cellStyle name="20% - Accent2 2 2 2 4 3 4" xfId="22062"/>
    <cellStyle name="20% - Accent2 2 2 2 4 3 4 2" xfId="41817"/>
    <cellStyle name="20% - Accent2 2 2 2 4 3 5" xfId="32173"/>
    <cellStyle name="20% - Accent2 2 2 2 4 4" xfId="1856"/>
    <cellStyle name="20% - Accent2 2 2 2 4 4 2" xfId="17158"/>
    <cellStyle name="20% - Accent2 2 2 2 4 4 2 2" xfId="26874"/>
    <cellStyle name="20% - Accent2 2 2 2 4 4 2 2 2" xfId="46628"/>
    <cellStyle name="20% - Accent2 2 2 2 4 4 2 3" xfId="36984"/>
    <cellStyle name="20% - Accent2 2 2 2 4 4 3" xfId="22064"/>
    <cellStyle name="20% - Accent2 2 2 2 4 4 3 2" xfId="41819"/>
    <cellStyle name="20% - Accent2 2 2 2 4 4 4" xfId="32175"/>
    <cellStyle name="20% - Accent2 2 2 2 4 5" xfId="17151"/>
    <cellStyle name="20% - Accent2 2 2 2 4 5 2" xfId="26867"/>
    <cellStyle name="20% - Accent2 2 2 2 4 5 2 2" xfId="46621"/>
    <cellStyle name="20% - Accent2 2 2 2 4 5 3" xfId="36977"/>
    <cellStyle name="20% - Accent2 2 2 2 4 6" xfId="22057"/>
    <cellStyle name="20% - Accent2 2 2 2 4 6 2" xfId="41812"/>
    <cellStyle name="20% - Accent2 2 2 2 4 7" xfId="32168"/>
    <cellStyle name="20% - Accent2 2 2 2 5" xfId="1857"/>
    <cellStyle name="20% - Accent2 2 2 2 5 2" xfId="1858"/>
    <cellStyle name="20% - Accent2 2 2 2 5 2 2" xfId="1859"/>
    <cellStyle name="20% - Accent2 2 2 2 5 2 2 2" xfId="17161"/>
    <cellStyle name="20% - Accent2 2 2 2 5 2 2 2 2" xfId="26877"/>
    <cellStyle name="20% - Accent2 2 2 2 5 2 2 2 2 2" xfId="46631"/>
    <cellStyle name="20% - Accent2 2 2 2 5 2 2 2 3" xfId="36987"/>
    <cellStyle name="20% - Accent2 2 2 2 5 2 2 3" xfId="22067"/>
    <cellStyle name="20% - Accent2 2 2 2 5 2 2 3 2" xfId="41822"/>
    <cellStyle name="20% - Accent2 2 2 2 5 2 2 4" xfId="32178"/>
    <cellStyle name="20% - Accent2 2 2 2 5 2 3" xfId="17160"/>
    <cellStyle name="20% - Accent2 2 2 2 5 2 3 2" xfId="26876"/>
    <cellStyle name="20% - Accent2 2 2 2 5 2 3 2 2" xfId="46630"/>
    <cellStyle name="20% - Accent2 2 2 2 5 2 3 3" xfId="36986"/>
    <cellStyle name="20% - Accent2 2 2 2 5 2 4" xfId="22066"/>
    <cellStyle name="20% - Accent2 2 2 2 5 2 4 2" xfId="41821"/>
    <cellStyle name="20% - Accent2 2 2 2 5 2 5" xfId="32177"/>
    <cellStyle name="20% - Accent2 2 2 2 5 3" xfId="1860"/>
    <cellStyle name="20% - Accent2 2 2 2 5 3 2" xfId="17162"/>
    <cellStyle name="20% - Accent2 2 2 2 5 3 2 2" xfId="26878"/>
    <cellStyle name="20% - Accent2 2 2 2 5 3 2 2 2" xfId="46632"/>
    <cellStyle name="20% - Accent2 2 2 2 5 3 2 3" xfId="36988"/>
    <cellStyle name="20% - Accent2 2 2 2 5 3 3" xfId="22068"/>
    <cellStyle name="20% - Accent2 2 2 2 5 3 3 2" xfId="41823"/>
    <cellStyle name="20% - Accent2 2 2 2 5 3 4" xfId="32179"/>
    <cellStyle name="20% - Accent2 2 2 2 5 4" xfId="17159"/>
    <cellStyle name="20% - Accent2 2 2 2 5 4 2" xfId="26875"/>
    <cellStyle name="20% - Accent2 2 2 2 5 4 2 2" xfId="46629"/>
    <cellStyle name="20% - Accent2 2 2 2 5 4 3" xfId="36985"/>
    <cellStyle name="20% - Accent2 2 2 2 5 5" xfId="22065"/>
    <cellStyle name="20% - Accent2 2 2 2 5 5 2" xfId="41820"/>
    <cellStyle name="20% - Accent2 2 2 2 5 6" xfId="32176"/>
    <cellStyle name="20% - Accent2 2 2 2 6" xfId="1861"/>
    <cellStyle name="20% - Accent2 2 2 2 6 2" xfId="1862"/>
    <cellStyle name="20% - Accent2 2 2 2 6 2 2" xfId="17164"/>
    <cellStyle name="20% - Accent2 2 2 2 6 2 2 2" xfId="26880"/>
    <cellStyle name="20% - Accent2 2 2 2 6 2 2 2 2" xfId="46634"/>
    <cellStyle name="20% - Accent2 2 2 2 6 2 2 3" xfId="36990"/>
    <cellStyle name="20% - Accent2 2 2 2 6 2 3" xfId="22070"/>
    <cellStyle name="20% - Accent2 2 2 2 6 2 3 2" xfId="41825"/>
    <cellStyle name="20% - Accent2 2 2 2 6 2 4" xfId="32181"/>
    <cellStyle name="20% - Accent2 2 2 2 6 3" xfId="17163"/>
    <cellStyle name="20% - Accent2 2 2 2 6 3 2" xfId="26879"/>
    <cellStyle name="20% - Accent2 2 2 2 6 3 2 2" xfId="46633"/>
    <cellStyle name="20% - Accent2 2 2 2 6 3 3" xfId="36989"/>
    <cellStyle name="20% - Accent2 2 2 2 6 4" xfId="22069"/>
    <cellStyle name="20% - Accent2 2 2 2 6 4 2" xfId="41824"/>
    <cellStyle name="20% - Accent2 2 2 2 6 5" xfId="32180"/>
    <cellStyle name="20% - Accent2 2 2 2 7" xfId="1863"/>
    <cellStyle name="20% - Accent2 2 2 2 7 2" xfId="1864"/>
    <cellStyle name="20% - Accent2 2 2 2 7 2 2" xfId="17166"/>
    <cellStyle name="20% - Accent2 2 2 2 7 2 2 2" xfId="26882"/>
    <cellStyle name="20% - Accent2 2 2 2 7 2 2 2 2" xfId="46636"/>
    <cellStyle name="20% - Accent2 2 2 2 7 2 2 3" xfId="36992"/>
    <cellStyle name="20% - Accent2 2 2 2 7 2 3" xfId="22072"/>
    <cellStyle name="20% - Accent2 2 2 2 7 2 3 2" xfId="41827"/>
    <cellStyle name="20% - Accent2 2 2 2 7 2 4" xfId="32183"/>
    <cellStyle name="20% - Accent2 2 2 2 7 3" xfId="17165"/>
    <cellStyle name="20% - Accent2 2 2 2 7 3 2" xfId="26881"/>
    <cellStyle name="20% - Accent2 2 2 2 7 3 2 2" xfId="46635"/>
    <cellStyle name="20% - Accent2 2 2 2 7 3 3" xfId="36991"/>
    <cellStyle name="20% - Accent2 2 2 2 7 4" xfId="22071"/>
    <cellStyle name="20% - Accent2 2 2 2 7 4 2" xfId="41826"/>
    <cellStyle name="20% - Accent2 2 2 2 7 5" xfId="32182"/>
    <cellStyle name="20% - Accent2 2 2 2 8" xfId="1865"/>
    <cellStyle name="20% - Accent2 2 2 2 8 2" xfId="17167"/>
    <cellStyle name="20% - Accent2 2 2 2 8 2 2" xfId="26883"/>
    <cellStyle name="20% - Accent2 2 2 2 8 2 2 2" xfId="46637"/>
    <cellStyle name="20% - Accent2 2 2 2 8 2 3" xfId="36993"/>
    <cellStyle name="20% - Accent2 2 2 2 8 3" xfId="22073"/>
    <cellStyle name="20% - Accent2 2 2 2 8 3 2" xfId="41828"/>
    <cellStyle name="20% - Accent2 2 2 2 8 4" xfId="32184"/>
    <cellStyle name="20% - Accent2 2 2 2 9" xfId="1866"/>
    <cellStyle name="20% - Accent2 2 2 2 9 2" xfId="17168"/>
    <cellStyle name="20% - Accent2 2 2 2 9 2 2" xfId="26884"/>
    <cellStyle name="20% - Accent2 2 2 2 9 2 2 2" xfId="46638"/>
    <cellStyle name="20% - Accent2 2 2 2 9 2 3" xfId="36994"/>
    <cellStyle name="20% - Accent2 2 2 2 9 3" xfId="22074"/>
    <cellStyle name="20% - Accent2 2 2 2 9 3 2" xfId="41829"/>
    <cellStyle name="20% - Accent2 2 2 2 9 4" xfId="32185"/>
    <cellStyle name="20% - Accent2 2 2 3" xfId="1867"/>
    <cellStyle name="20% - Accent2 2 2 3 10" xfId="32186"/>
    <cellStyle name="20% - Accent2 2 2 3 2" xfId="1868"/>
    <cellStyle name="20% - Accent2 2 2 3 2 2" xfId="1869"/>
    <cellStyle name="20% - Accent2 2 2 3 2 2 2" xfId="1870"/>
    <cellStyle name="20% - Accent2 2 2 3 2 2 2 2" xfId="1871"/>
    <cellStyle name="20% - Accent2 2 2 3 2 2 2 2 2" xfId="17173"/>
    <cellStyle name="20% - Accent2 2 2 3 2 2 2 2 2 2" xfId="26889"/>
    <cellStyle name="20% - Accent2 2 2 3 2 2 2 2 2 2 2" xfId="46643"/>
    <cellStyle name="20% - Accent2 2 2 3 2 2 2 2 2 3" xfId="36999"/>
    <cellStyle name="20% - Accent2 2 2 3 2 2 2 2 3" xfId="22079"/>
    <cellStyle name="20% - Accent2 2 2 3 2 2 2 2 3 2" xfId="41834"/>
    <cellStyle name="20% - Accent2 2 2 3 2 2 2 2 4" xfId="32190"/>
    <cellStyle name="20% - Accent2 2 2 3 2 2 2 3" xfId="17172"/>
    <cellStyle name="20% - Accent2 2 2 3 2 2 2 3 2" xfId="26888"/>
    <cellStyle name="20% - Accent2 2 2 3 2 2 2 3 2 2" xfId="46642"/>
    <cellStyle name="20% - Accent2 2 2 3 2 2 2 3 3" xfId="36998"/>
    <cellStyle name="20% - Accent2 2 2 3 2 2 2 4" xfId="22078"/>
    <cellStyle name="20% - Accent2 2 2 3 2 2 2 4 2" xfId="41833"/>
    <cellStyle name="20% - Accent2 2 2 3 2 2 2 5" xfId="32189"/>
    <cellStyle name="20% - Accent2 2 2 3 2 2 3" xfId="1872"/>
    <cellStyle name="20% - Accent2 2 2 3 2 2 3 2" xfId="17174"/>
    <cellStyle name="20% - Accent2 2 2 3 2 2 3 2 2" xfId="26890"/>
    <cellStyle name="20% - Accent2 2 2 3 2 2 3 2 2 2" xfId="46644"/>
    <cellStyle name="20% - Accent2 2 2 3 2 2 3 2 3" xfId="37000"/>
    <cellStyle name="20% - Accent2 2 2 3 2 2 3 3" xfId="22080"/>
    <cellStyle name="20% - Accent2 2 2 3 2 2 3 3 2" xfId="41835"/>
    <cellStyle name="20% - Accent2 2 2 3 2 2 3 4" xfId="32191"/>
    <cellStyle name="20% - Accent2 2 2 3 2 2 4" xfId="17171"/>
    <cellStyle name="20% - Accent2 2 2 3 2 2 4 2" xfId="26887"/>
    <cellStyle name="20% - Accent2 2 2 3 2 2 4 2 2" xfId="46641"/>
    <cellStyle name="20% - Accent2 2 2 3 2 2 4 3" xfId="36997"/>
    <cellStyle name="20% - Accent2 2 2 3 2 2 5" xfId="22077"/>
    <cellStyle name="20% - Accent2 2 2 3 2 2 5 2" xfId="41832"/>
    <cellStyle name="20% - Accent2 2 2 3 2 2 6" xfId="32188"/>
    <cellStyle name="20% - Accent2 2 2 3 2 3" xfId="1873"/>
    <cellStyle name="20% - Accent2 2 2 3 2 3 2" xfId="1874"/>
    <cellStyle name="20% - Accent2 2 2 3 2 3 2 2" xfId="17176"/>
    <cellStyle name="20% - Accent2 2 2 3 2 3 2 2 2" xfId="26892"/>
    <cellStyle name="20% - Accent2 2 2 3 2 3 2 2 2 2" xfId="46646"/>
    <cellStyle name="20% - Accent2 2 2 3 2 3 2 2 3" xfId="37002"/>
    <cellStyle name="20% - Accent2 2 2 3 2 3 2 3" xfId="22082"/>
    <cellStyle name="20% - Accent2 2 2 3 2 3 2 3 2" xfId="41837"/>
    <cellStyle name="20% - Accent2 2 2 3 2 3 2 4" xfId="32193"/>
    <cellStyle name="20% - Accent2 2 2 3 2 3 3" xfId="17175"/>
    <cellStyle name="20% - Accent2 2 2 3 2 3 3 2" xfId="26891"/>
    <cellStyle name="20% - Accent2 2 2 3 2 3 3 2 2" xfId="46645"/>
    <cellStyle name="20% - Accent2 2 2 3 2 3 3 3" xfId="37001"/>
    <cellStyle name="20% - Accent2 2 2 3 2 3 4" xfId="22081"/>
    <cellStyle name="20% - Accent2 2 2 3 2 3 4 2" xfId="41836"/>
    <cellStyle name="20% - Accent2 2 2 3 2 3 5" xfId="32192"/>
    <cellStyle name="20% - Accent2 2 2 3 2 4" xfId="1875"/>
    <cellStyle name="20% - Accent2 2 2 3 2 4 2" xfId="17177"/>
    <cellStyle name="20% - Accent2 2 2 3 2 4 2 2" xfId="26893"/>
    <cellStyle name="20% - Accent2 2 2 3 2 4 2 2 2" xfId="46647"/>
    <cellStyle name="20% - Accent2 2 2 3 2 4 2 3" xfId="37003"/>
    <cellStyle name="20% - Accent2 2 2 3 2 4 3" xfId="22083"/>
    <cellStyle name="20% - Accent2 2 2 3 2 4 3 2" xfId="41838"/>
    <cellStyle name="20% - Accent2 2 2 3 2 4 4" xfId="32194"/>
    <cellStyle name="20% - Accent2 2 2 3 2 5" xfId="17170"/>
    <cellStyle name="20% - Accent2 2 2 3 2 5 2" xfId="26886"/>
    <cellStyle name="20% - Accent2 2 2 3 2 5 2 2" xfId="46640"/>
    <cellStyle name="20% - Accent2 2 2 3 2 5 3" xfId="36996"/>
    <cellStyle name="20% - Accent2 2 2 3 2 6" xfId="22076"/>
    <cellStyle name="20% - Accent2 2 2 3 2 6 2" xfId="41831"/>
    <cellStyle name="20% - Accent2 2 2 3 2 7" xfId="32187"/>
    <cellStyle name="20% - Accent2 2 2 3 3" xfId="1876"/>
    <cellStyle name="20% - Accent2 2 2 3 3 2" xfId="1877"/>
    <cellStyle name="20% - Accent2 2 2 3 3 2 2" xfId="1878"/>
    <cellStyle name="20% - Accent2 2 2 3 3 2 2 2" xfId="17180"/>
    <cellStyle name="20% - Accent2 2 2 3 3 2 2 2 2" xfId="26896"/>
    <cellStyle name="20% - Accent2 2 2 3 3 2 2 2 2 2" xfId="46650"/>
    <cellStyle name="20% - Accent2 2 2 3 3 2 2 2 3" xfId="37006"/>
    <cellStyle name="20% - Accent2 2 2 3 3 2 2 3" xfId="22086"/>
    <cellStyle name="20% - Accent2 2 2 3 3 2 2 3 2" xfId="41841"/>
    <cellStyle name="20% - Accent2 2 2 3 3 2 2 4" xfId="32197"/>
    <cellStyle name="20% - Accent2 2 2 3 3 2 3" xfId="17179"/>
    <cellStyle name="20% - Accent2 2 2 3 3 2 3 2" xfId="26895"/>
    <cellStyle name="20% - Accent2 2 2 3 3 2 3 2 2" xfId="46649"/>
    <cellStyle name="20% - Accent2 2 2 3 3 2 3 3" xfId="37005"/>
    <cellStyle name="20% - Accent2 2 2 3 3 2 4" xfId="22085"/>
    <cellStyle name="20% - Accent2 2 2 3 3 2 4 2" xfId="41840"/>
    <cellStyle name="20% - Accent2 2 2 3 3 2 5" xfId="32196"/>
    <cellStyle name="20% - Accent2 2 2 3 3 3" xfId="1879"/>
    <cellStyle name="20% - Accent2 2 2 3 3 3 2" xfId="17181"/>
    <cellStyle name="20% - Accent2 2 2 3 3 3 2 2" xfId="26897"/>
    <cellStyle name="20% - Accent2 2 2 3 3 3 2 2 2" xfId="46651"/>
    <cellStyle name="20% - Accent2 2 2 3 3 3 2 3" xfId="37007"/>
    <cellStyle name="20% - Accent2 2 2 3 3 3 3" xfId="22087"/>
    <cellStyle name="20% - Accent2 2 2 3 3 3 3 2" xfId="41842"/>
    <cellStyle name="20% - Accent2 2 2 3 3 3 4" xfId="32198"/>
    <cellStyle name="20% - Accent2 2 2 3 3 4" xfId="17178"/>
    <cellStyle name="20% - Accent2 2 2 3 3 4 2" xfId="26894"/>
    <cellStyle name="20% - Accent2 2 2 3 3 4 2 2" xfId="46648"/>
    <cellStyle name="20% - Accent2 2 2 3 3 4 3" xfId="37004"/>
    <cellStyle name="20% - Accent2 2 2 3 3 5" xfId="22084"/>
    <cellStyle name="20% - Accent2 2 2 3 3 5 2" xfId="41839"/>
    <cellStyle name="20% - Accent2 2 2 3 3 6" xfId="32195"/>
    <cellStyle name="20% - Accent2 2 2 3 4" xfId="1880"/>
    <cellStyle name="20% - Accent2 2 2 3 4 2" xfId="1881"/>
    <cellStyle name="20% - Accent2 2 2 3 4 2 2" xfId="17183"/>
    <cellStyle name="20% - Accent2 2 2 3 4 2 2 2" xfId="26899"/>
    <cellStyle name="20% - Accent2 2 2 3 4 2 2 2 2" xfId="46653"/>
    <cellStyle name="20% - Accent2 2 2 3 4 2 2 3" xfId="37009"/>
    <cellStyle name="20% - Accent2 2 2 3 4 2 3" xfId="22089"/>
    <cellStyle name="20% - Accent2 2 2 3 4 2 3 2" xfId="41844"/>
    <cellStyle name="20% - Accent2 2 2 3 4 2 4" xfId="32200"/>
    <cellStyle name="20% - Accent2 2 2 3 4 3" xfId="17182"/>
    <cellStyle name="20% - Accent2 2 2 3 4 3 2" xfId="26898"/>
    <cellStyle name="20% - Accent2 2 2 3 4 3 2 2" xfId="46652"/>
    <cellStyle name="20% - Accent2 2 2 3 4 3 3" xfId="37008"/>
    <cellStyle name="20% - Accent2 2 2 3 4 4" xfId="22088"/>
    <cellStyle name="20% - Accent2 2 2 3 4 4 2" xfId="41843"/>
    <cellStyle name="20% - Accent2 2 2 3 4 5" xfId="32199"/>
    <cellStyle name="20% - Accent2 2 2 3 5" xfId="1882"/>
    <cellStyle name="20% - Accent2 2 2 3 5 2" xfId="17184"/>
    <cellStyle name="20% - Accent2 2 2 3 5 2 2" xfId="26900"/>
    <cellStyle name="20% - Accent2 2 2 3 5 2 2 2" xfId="46654"/>
    <cellStyle name="20% - Accent2 2 2 3 5 2 3" xfId="37010"/>
    <cellStyle name="20% - Accent2 2 2 3 5 3" xfId="22090"/>
    <cellStyle name="20% - Accent2 2 2 3 5 3 2" xfId="41845"/>
    <cellStyle name="20% - Accent2 2 2 3 5 4" xfId="32201"/>
    <cellStyle name="20% - Accent2 2 2 3 6" xfId="1883"/>
    <cellStyle name="20% - Accent2 2 2 3 6 2" xfId="17185"/>
    <cellStyle name="20% - Accent2 2 2 3 6 2 2" xfId="26901"/>
    <cellStyle name="20% - Accent2 2 2 3 6 2 2 2" xfId="46655"/>
    <cellStyle name="20% - Accent2 2 2 3 6 2 3" xfId="37011"/>
    <cellStyle name="20% - Accent2 2 2 3 6 3" xfId="22091"/>
    <cellStyle name="20% - Accent2 2 2 3 6 3 2" xfId="41846"/>
    <cellStyle name="20% - Accent2 2 2 3 6 4" xfId="32202"/>
    <cellStyle name="20% - Accent2 2 2 3 7" xfId="1884"/>
    <cellStyle name="20% - Accent2 2 2 3 7 2" xfId="17186"/>
    <cellStyle name="20% - Accent2 2 2 3 7 2 2" xfId="26902"/>
    <cellStyle name="20% - Accent2 2 2 3 7 2 2 2" xfId="46656"/>
    <cellStyle name="20% - Accent2 2 2 3 7 2 3" xfId="37012"/>
    <cellStyle name="20% - Accent2 2 2 3 7 3" xfId="22092"/>
    <cellStyle name="20% - Accent2 2 2 3 7 3 2" xfId="41847"/>
    <cellStyle name="20% - Accent2 2 2 3 7 4" xfId="32203"/>
    <cellStyle name="20% - Accent2 2 2 3 8" xfId="17169"/>
    <cellStyle name="20% - Accent2 2 2 3 8 2" xfId="26885"/>
    <cellStyle name="20% - Accent2 2 2 3 8 2 2" xfId="46639"/>
    <cellStyle name="20% - Accent2 2 2 3 8 3" xfId="36995"/>
    <cellStyle name="20% - Accent2 2 2 3 9" xfId="22075"/>
    <cellStyle name="20% - Accent2 2 2 3 9 2" xfId="41830"/>
    <cellStyle name="20% - Accent2 2 2 4" xfId="1885"/>
    <cellStyle name="20% - Accent2 2 2 4 2" xfId="1886"/>
    <cellStyle name="20% - Accent2 2 2 4 2 2" xfId="1887"/>
    <cellStyle name="20% - Accent2 2 2 4 2 2 2" xfId="1888"/>
    <cellStyle name="20% - Accent2 2 2 4 2 2 2 2" xfId="17190"/>
    <cellStyle name="20% - Accent2 2 2 4 2 2 2 2 2" xfId="26906"/>
    <cellStyle name="20% - Accent2 2 2 4 2 2 2 2 2 2" xfId="46660"/>
    <cellStyle name="20% - Accent2 2 2 4 2 2 2 2 3" xfId="37016"/>
    <cellStyle name="20% - Accent2 2 2 4 2 2 2 3" xfId="22096"/>
    <cellStyle name="20% - Accent2 2 2 4 2 2 2 3 2" xfId="41851"/>
    <cellStyle name="20% - Accent2 2 2 4 2 2 2 4" xfId="32207"/>
    <cellStyle name="20% - Accent2 2 2 4 2 2 3" xfId="17189"/>
    <cellStyle name="20% - Accent2 2 2 4 2 2 3 2" xfId="26905"/>
    <cellStyle name="20% - Accent2 2 2 4 2 2 3 2 2" xfId="46659"/>
    <cellStyle name="20% - Accent2 2 2 4 2 2 3 3" xfId="37015"/>
    <cellStyle name="20% - Accent2 2 2 4 2 2 4" xfId="22095"/>
    <cellStyle name="20% - Accent2 2 2 4 2 2 4 2" xfId="41850"/>
    <cellStyle name="20% - Accent2 2 2 4 2 2 5" xfId="32206"/>
    <cellStyle name="20% - Accent2 2 2 4 2 3" xfId="1889"/>
    <cellStyle name="20% - Accent2 2 2 4 2 3 2" xfId="17191"/>
    <cellStyle name="20% - Accent2 2 2 4 2 3 2 2" xfId="26907"/>
    <cellStyle name="20% - Accent2 2 2 4 2 3 2 2 2" xfId="46661"/>
    <cellStyle name="20% - Accent2 2 2 4 2 3 2 3" xfId="37017"/>
    <cellStyle name="20% - Accent2 2 2 4 2 3 3" xfId="22097"/>
    <cellStyle name="20% - Accent2 2 2 4 2 3 3 2" xfId="41852"/>
    <cellStyle name="20% - Accent2 2 2 4 2 3 4" xfId="32208"/>
    <cellStyle name="20% - Accent2 2 2 4 2 4" xfId="17188"/>
    <cellStyle name="20% - Accent2 2 2 4 2 4 2" xfId="26904"/>
    <cellStyle name="20% - Accent2 2 2 4 2 4 2 2" xfId="46658"/>
    <cellStyle name="20% - Accent2 2 2 4 2 4 3" xfId="37014"/>
    <cellStyle name="20% - Accent2 2 2 4 2 5" xfId="22094"/>
    <cellStyle name="20% - Accent2 2 2 4 2 5 2" xfId="41849"/>
    <cellStyle name="20% - Accent2 2 2 4 2 6" xfId="32205"/>
    <cellStyle name="20% - Accent2 2 2 4 3" xfId="1890"/>
    <cellStyle name="20% - Accent2 2 2 4 3 2" xfId="1891"/>
    <cellStyle name="20% - Accent2 2 2 4 3 2 2" xfId="17193"/>
    <cellStyle name="20% - Accent2 2 2 4 3 2 2 2" xfId="26909"/>
    <cellStyle name="20% - Accent2 2 2 4 3 2 2 2 2" xfId="46663"/>
    <cellStyle name="20% - Accent2 2 2 4 3 2 2 3" xfId="37019"/>
    <cellStyle name="20% - Accent2 2 2 4 3 2 3" xfId="22099"/>
    <cellStyle name="20% - Accent2 2 2 4 3 2 3 2" xfId="41854"/>
    <cellStyle name="20% - Accent2 2 2 4 3 2 4" xfId="32210"/>
    <cellStyle name="20% - Accent2 2 2 4 3 3" xfId="17192"/>
    <cellStyle name="20% - Accent2 2 2 4 3 3 2" xfId="26908"/>
    <cellStyle name="20% - Accent2 2 2 4 3 3 2 2" xfId="46662"/>
    <cellStyle name="20% - Accent2 2 2 4 3 3 3" xfId="37018"/>
    <cellStyle name="20% - Accent2 2 2 4 3 4" xfId="22098"/>
    <cellStyle name="20% - Accent2 2 2 4 3 4 2" xfId="41853"/>
    <cellStyle name="20% - Accent2 2 2 4 3 5" xfId="32209"/>
    <cellStyle name="20% - Accent2 2 2 4 4" xfId="1892"/>
    <cellStyle name="20% - Accent2 2 2 4 4 2" xfId="17194"/>
    <cellStyle name="20% - Accent2 2 2 4 4 2 2" xfId="26910"/>
    <cellStyle name="20% - Accent2 2 2 4 4 2 2 2" xfId="46664"/>
    <cellStyle name="20% - Accent2 2 2 4 4 2 3" xfId="37020"/>
    <cellStyle name="20% - Accent2 2 2 4 4 3" xfId="22100"/>
    <cellStyle name="20% - Accent2 2 2 4 4 3 2" xfId="41855"/>
    <cellStyle name="20% - Accent2 2 2 4 4 4" xfId="32211"/>
    <cellStyle name="20% - Accent2 2 2 4 5" xfId="17187"/>
    <cellStyle name="20% - Accent2 2 2 4 5 2" xfId="26903"/>
    <cellStyle name="20% - Accent2 2 2 4 5 2 2" xfId="46657"/>
    <cellStyle name="20% - Accent2 2 2 4 5 3" xfId="37013"/>
    <cellStyle name="20% - Accent2 2 2 4 6" xfId="22093"/>
    <cellStyle name="20% - Accent2 2 2 4 6 2" xfId="41848"/>
    <cellStyle name="20% - Accent2 2 2 4 7" xfId="32204"/>
    <cellStyle name="20% - Accent2 2 2 5" xfId="1893"/>
    <cellStyle name="20% - Accent2 2 2 5 2" xfId="1894"/>
    <cellStyle name="20% - Accent2 2 2 5 2 2" xfId="1895"/>
    <cellStyle name="20% - Accent2 2 2 5 2 2 2" xfId="1896"/>
    <cellStyle name="20% - Accent2 2 2 5 2 2 2 2" xfId="17198"/>
    <cellStyle name="20% - Accent2 2 2 5 2 2 2 2 2" xfId="26914"/>
    <cellStyle name="20% - Accent2 2 2 5 2 2 2 2 2 2" xfId="46668"/>
    <cellStyle name="20% - Accent2 2 2 5 2 2 2 2 3" xfId="37024"/>
    <cellStyle name="20% - Accent2 2 2 5 2 2 2 3" xfId="22104"/>
    <cellStyle name="20% - Accent2 2 2 5 2 2 2 3 2" xfId="41859"/>
    <cellStyle name="20% - Accent2 2 2 5 2 2 2 4" xfId="32215"/>
    <cellStyle name="20% - Accent2 2 2 5 2 2 3" xfId="17197"/>
    <cellStyle name="20% - Accent2 2 2 5 2 2 3 2" xfId="26913"/>
    <cellStyle name="20% - Accent2 2 2 5 2 2 3 2 2" xfId="46667"/>
    <cellStyle name="20% - Accent2 2 2 5 2 2 3 3" xfId="37023"/>
    <cellStyle name="20% - Accent2 2 2 5 2 2 4" xfId="22103"/>
    <cellStyle name="20% - Accent2 2 2 5 2 2 4 2" xfId="41858"/>
    <cellStyle name="20% - Accent2 2 2 5 2 2 5" xfId="32214"/>
    <cellStyle name="20% - Accent2 2 2 5 2 3" xfId="1897"/>
    <cellStyle name="20% - Accent2 2 2 5 2 3 2" xfId="17199"/>
    <cellStyle name="20% - Accent2 2 2 5 2 3 2 2" xfId="26915"/>
    <cellStyle name="20% - Accent2 2 2 5 2 3 2 2 2" xfId="46669"/>
    <cellStyle name="20% - Accent2 2 2 5 2 3 2 3" xfId="37025"/>
    <cellStyle name="20% - Accent2 2 2 5 2 3 3" xfId="22105"/>
    <cellStyle name="20% - Accent2 2 2 5 2 3 3 2" xfId="41860"/>
    <cellStyle name="20% - Accent2 2 2 5 2 3 4" xfId="32216"/>
    <cellStyle name="20% - Accent2 2 2 5 2 4" xfId="17196"/>
    <cellStyle name="20% - Accent2 2 2 5 2 4 2" xfId="26912"/>
    <cellStyle name="20% - Accent2 2 2 5 2 4 2 2" xfId="46666"/>
    <cellStyle name="20% - Accent2 2 2 5 2 4 3" xfId="37022"/>
    <cellStyle name="20% - Accent2 2 2 5 2 5" xfId="22102"/>
    <cellStyle name="20% - Accent2 2 2 5 2 5 2" xfId="41857"/>
    <cellStyle name="20% - Accent2 2 2 5 2 6" xfId="32213"/>
    <cellStyle name="20% - Accent2 2 2 5 3" xfId="1898"/>
    <cellStyle name="20% - Accent2 2 2 5 3 2" xfId="1899"/>
    <cellStyle name="20% - Accent2 2 2 5 3 2 2" xfId="17201"/>
    <cellStyle name="20% - Accent2 2 2 5 3 2 2 2" xfId="26917"/>
    <cellStyle name="20% - Accent2 2 2 5 3 2 2 2 2" xfId="46671"/>
    <cellStyle name="20% - Accent2 2 2 5 3 2 2 3" xfId="37027"/>
    <cellStyle name="20% - Accent2 2 2 5 3 2 3" xfId="22107"/>
    <cellStyle name="20% - Accent2 2 2 5 3 2 3 2" xfId="41862"/>
    <cellStyle name="20% - Accent2 2 2 5 3 2 4" xfId="32218"/>
    <cellStyle name="20% - Accent2 2 2 5 3 3" xfId="17200"/>
    <cellStyle name="20% - Accent2 2 2 5 3 3 2" xfId="26916"/>
    <cellStyle name="20% - Accent2 2 2 5 3 3 2 2" xfId="46670"/>
    <cellStyle name="20% - Accent2 2 2 5 3 3 3" xfId="37026"/>
    <cellStyle name="20% - Accent2 2 2 5 3 4" xfId="22106"/>
    <cellStyle name="20% - Accent2 2 2 5 3 4 2" xfId="41861"/>
    <cellStyle name="20% - Accent2 2 2 5 3 5" xfId="32217"/>
    <cellStyle name="20% - Accent2 2 2 5 4" xfId="1900"/>
    <cellStyle name="20% - Accent2 2 2 5 4 2" xfId="17202"/>
    <cellStyle name="20% - Accent2 2 2 5 4 2 2" xfId="26918"/>
    <cellStyle name="20% - Accent2 2 2 5 4 2 2 2" xfId="46672"/>
    <cellStyle name="20% - Accent2 2 2 5 4 2 3" xfId="37028"/>
    <cellStyle name="20% - Accent2 2 2 5 4 3" xfId="22108"/>
    <cellStyle name="20% - Accent2 2 2 5 4 3 2" xfId="41863"/>
    <cellStyle name="20% - Accent2 2 2 5 4 4" xfId="32219"/>
    <cellStyle name="20% - Accent2 2 2 5 5" xfId="17195"/>
    <cellStyle name="20% - Accent2 2 2 5 5 2" xfId="26911"/>
    <cellStyle name="20% - Accent2 2 2 5 5 2 2" xfId="46665"/>
    <cellStyle name="20% - Accent2 2 2 5 5 3" xfId="37021"/>
    <cellStyle name="20% - Accent2 2 2 5 6" xfId="22101"/>
    <cellStyle name="20% - Accent2 2 2 5 6 2" xfId="41856"/>
    <cellStyle name="20% - Accent2 2 2 5 7" xfId="32212"/>
    <cellStyle name="20% - Accent2 2 2 6" xfId="1901"/>
    <cellStyle name="20% - Accent2 2 2 7" xfId="1902"/>
    <cellStyle name="20% - Accent2 2 2 7 2" xfId="1903"/>
    <cellStyle name="20% - Accent2 2 2 7 2 2" xfId="1904"/>
    <cellStyle name="20% - Accent2 2 2 7 2 2 2" xfId="17205"/>
    <cellStyle name="20% - Accent2 2 2 7 2 2 2 2" xfId="26921"/>
    <cellStyle name="20% - Accent2 2 2 7 2 2 2 2 2" xfId="46675"/>
    <cellStyle name="20% - Accent2 2 2 7 2 2 2 3" xfId="37031"/>
    <cellStyle name="20% - Accent2 2 2 7 2 2 3" xfId="22111"/>
    <cellStyle name="20% - Accent2 2 2 7 2 2 3 2" xfId="41866"/>
    <cellStyle name="20% - Accent2 2 2 7 2 2 4" xfId="32222"/>
    <cellStyle name="20% - Accent2 2 2 7 2 3" xfId="17204"/>
    <cellStyle name="20% - Accent2 2 2 7 2 3 2" xfId="26920"/>
    <cellStyle name="20% - Accent2 2 2 7 2 3 2 2" xfId="46674"/>
    <cellStyle name="20% - Accent2 2 2 7 2 3 3" xfId="37030"/>
    <cellStyle name="20% - Accent2 2 2 7 2 4" xfId="22110"/>
    <cellStyle name="20% - Accent2 2 2 7 2 4 2" xfId="41865"/>
    <cellStyle name="20% - Accent2 2 2 7 2 5" xfId="32221"/>
    <cellStyle name="20% - Accent2 2 2 7 3" xfId="1905"/>
    <cellStyle name="20% - Accent2 2 2 7 3 2" xfId="17206"/>
    <cellStyle name="20% - Accent2 2 2 7 3 2 2" xfId="26922"/>
    <cellStyle name="20% - Accent2 2 2 7 3 2 2 2" xfId="46676"/>
    <cellStyle name="20% - Accent2 2 2 7 3 2 3" xfId="37032"/>
    <cellStyle name="20% - Accent2 2 2 7 3 3" xfId="22112"/>
    <cellStyle name="20% - Accent2 2 2 7 3 3 2" xfId="41867"/>
    <cellStyle name="20% - Accent2 2 2 7 3 4" xfId="32223"/>
    <cellStyle name="20% - Accent2 2 2 7 4" xfId="17203"/>
    <cellStyle name="20% - Accent2 2 2 7 4 2" xfId="26919"/>
    <cellStyle name="20% - Accent2 2 2 7 4 2 2" xfId="46673"/>
    <cellStyle name="20% - Accent2 2 2 7 4 3" xfId="37029"/>
    <cellStyle name="20% - Accent2 2 2 7 5" xfId="22109"/>
    <cellStyle name="20% - Accent2 2 2 7 5 2" xfId="41864"/>
    <cellStyle name="20% - Accent2 2 2 7 6" xfId="32220"/>
    <cellStyle name="20% - Accent2 2 2 8" xfId="1906"/>
    <cellStyle name="20% - Accent2 2 2 8 2" xfId="1907"/>
    <cellStyle name="20% - Accent2 2 2 8 2 2" xfId="17208"/>
    <cellStyle name="20% - Accent2 2 2 8 2 2 2" xfId="26924"/>
    <cellStyle name="20% - Accent2 2 2 8 2 2 2 2" xfId="46678"/>
    <cellStyle name="20% - Accent2 2 2 8 2 2 3" xfId="37034"/>
    <cellStyle name="20% - Accent2 2 2 8 2 3" xfId="22114"/>
    <cellStyle name="20% - Accent2 2 2 8 2 3 2" xfId="41869"/>
    <cellStyle name="20% - Accent2 2 2 8 2 4" xfId="32225"/>
    <cellStyle name="20% - Accent2 2 2 8 3" xfId="17207"/>
    <cellStyle name="20% - Accent2 2 2 8 3 2" xfId="26923"/>
    <cellStyle name="20% - Accent2 2 2 8 3 2 2" xfId="46677"/>
    <cellStyle name="20% - Accent2 2 2 8 3 3" xfId="37033"/>
    <cellStyle name="20% - Accent2 2 2 8 4" xfId="22113"/>
    <cellStyle name="20% - Accent2 2 2 8 4 2" xfId="41868"/>
    <cellStyle name="20% - Accent2 2 2 8 5" xfId="32224"/>
    <cellStyle name="20% - Accent2 2 2 9" xfId="1908"/>
    <cellStyle name="20% - Accent2 2 2 9 2" xfId="1909"/>
    <cellStyle name="20% - Accent2 2 2 9 2 2" xfId="17210"/>
    <cellStyle name="20% - Accent2 2 2 9 2 2 2" xfId="26926"/>
    <cellStyle name="20% - Accent2 2 2 9 2 2 2 2" xfId="46680"/>
    <cellStyle name="20% - Accent2 2 2 9 2 2 3" xfId="37036"/>
    <cellStyle name="20% - Accent2 2 2 9 2 3" xfId="22116"/>
    <cellStyle name="20% - Accent2 2 2 9 2 3 2" xfId="41871"/>
    <cellStyle name="20% - Accent2 2 2 9 2 4" xfId="32227"/>
    <cellStyle name="20% - Accent2 2 2 9 3" xfId="17209"/>
    <cellStyle name="20% - Accent2 2 2 9 3 2" xfId="26925"/>
    <cellStyle name="20% - Accent2 2 2 9 3 2 2" xfId="46679"/>
    <cellStyle name="20% - Accent2 2 2 9 3 3" xfId="37035"/>
    <cellStyle name="20% - Accent2 2 2 9 4" xfId="22115"/>
    <cellStyle name="20% - Accent2 2 2 9 4 2" xfId="41870"/>
    <cellStyle name="20% - Accent2 2 2 9 5" xfId="32226"/>
    <cellStyle name="20% - Accent2 2 3" xfId="26"/>
    <cellStyle name="20% - Accent2 2 3 10" xfId="1910"/>
    <cellStyle name="20% - Accent2 2 3 10 2" xfId="17211"/>
    <cellStyle name="20% - Accent2 2 3 10 2 2" xfId="26927"/>
    <cellStyle name="20% - Accent2 2 3 10 2 2 2" xfId="46681"/>
    <cellStyle name="20% - Accent2 2 3 10 2 3" xfId="37037"/>
    <cellStyle name="20% - Accent2 2 3 10 3" xfId="22117"/>
    <cellStyle name="20% - Accent2 2 3 10 3 2" xfId="41872"/>
    <cellStyle name="20% - Accent2 2 3 10 4" xfId="32228"/>
    <cellStyle name="20% - Accent2 2 3 11" xfId="15384"/>
    <cellStyle name="20% - Accent2 2 3 11 2" xfId="20256"/>
    <cellStyle name="20% - Accent2 2 3 11 2 2" xfId="29970"/>
    <cellStyle name="20% - Accent2 2 3 11 2 2 2" xfId="49723"/>
    <cellStyle name="20% - Accent2 2 3 11 2 3" xfId="40079"/>
    <cellStyle name="20% - Accent2 2 3 11 3" xfId="25158"/>
    <cellStyle name="20% - Accent2 2 3 11 3 2" xfId="44912"/>
    <cellStyle name="20% - Accent2 2 3 11 4" xfId="35268"/>
    <cellStyle name="20% - Accent2 2 3 12" xfId="15830"/>
    <cellStyle name="20% - Accent2 2 3 12 2" xfId="25546"/>
    <cellStyle name="20% - Accent2 2 3 12 2 2" xfId="45300"/>
    <cellStyle name="20% - Accent2 2 3 12 3" xfId="35656"/>
    <cellStyle name="20% - Accent2 2 3 13" xfId="20703"/>
    <cellStyle name="20% - Accent2 2 3 13 2" xfId="40483"/>
    <cellStyle name="20% - Accent2 2 3 14" xfId="30401"/>
    <cellStyle name="20% - Accent2 2 3 14 2" xfId="50149"/>
    <cellStyle name="20% - Accent2 2 3 15" xfId="30814"/>
    <cellStyle name="20% - Accent2 2 3 2" xfId="711"/>
    <cellStyle name="20% - Accent2 2 3 2 10" xfId="31075"/>
    <cellStyle name="20% - Accent2 2 3 2 2" xfId="1911"/>
    <cellStyle name="20% - Accent2 2 3 2 2 2" xfId="1912"/>
    <cellStyle name="20% - Accent2 2 3 2 2 2 2" xfId="1913"/>
    <cellStyle name="20% - Accent2 2 3 2 2 2 2 2" xfId="1914"/>
    <cellStyle name="20% - Accent2 2 3 2 2 2 2 2 2" xfId="17215"/>
    <cellStyle name="20% - Accent2 2 3 2 2 2 2 2 2 2" xfId="26931"/>
    <cellStyle name="20% - Accent2 2 3 2 2 2 2 2 2 2 2" xfId="46685"/>
    <cellStyle name="20% - Accent2 2 3 2 2 2 2 2 2 3" xfId="37041"/>
    <cellStyle name="20% - Accent2 2 3 2 2 2 2 2 3" xfId="22121"/>
    <cellStyle name="20% - Accent2 2 3 2 2 2 2 2 3 2" xfId="41876"/>
    <cellStyle name="20% - Accent2 2 3 2 2 2 2 2 4" xfId="32232"/>
    <cellStyle name="20% - Accent2 2 3 2 2 2 2 3" xfId="17214"/>
    <cellStyle name="20% - Accent2 2 3 2 2 2 2 3 2" xfId="26930"/>
    <cellStyle name="20% - Accent2 2 3 2 2 2 2 3 2 2" xfId="46684"/>
    <cellStyle name="20% - Accent2 2 3 2 2 2 2 3 3" xfId="37040"/>
    <cellStyle name="20% - Accent2 2 3 2 2 2 2 4" xfId="22120"/>
    <cellStyle name="20% - Accent2 2 3 2 2 2 2 4 2" xfId="41875"/>
    <cellStyle name="20% - Accent2 2 3 2 2 2 2 5" xfId="32231"/>
    <cellStyle name="20% - Accent2 2 3 2 2 2 3" xfId="1915"/>
    <cellStyle name="20% - Accent2 2 3 2 2 2 3 2" xfId="17216"/>
    <cellStyle name="20% - Accent2 2 3 2 2 2 3 2 2" xfId="26932"/>
    <cellStyle name="20% - Accent2 2 3 2 2 2 3 2 2 2" xfId="46686"/>
    <cellStyle name="20% - Accent2 2 3 2 2 2 3 2 3" xfId="37042"/>
    <cellStyle name="20% - Accent2 2 3 2 2 2 3 3" xfId="22122"/>
    <cellStyle name="20% - Accent2 2 3 2 2 2 3 3 2" xfId="41877"/>
    <cellStyle name="20% - Accent2 2 3 2 2 2 3 4" xfId="32233"/>
    <cellStyle name="20% - Accent2 2 3 2 2 2 4" xfId="17213"/>
    <cellStyle name="20% - Accent2 2 3 2 2 2 4 2" xfId="26929"/>
    <cellStyle name="20% - Accent2 2 3 2 2 2 4 2 2" xfId="46683"/>
    <cellStyle name="20% - Accent2 2 3 2 2 2 4 3" xfId="37039"/>
    <cellStyle name="20% - Accent2 2 3 2 2 2 5" xfId="22119"/>
    <cellStyle name="20% - Accent2 2 3 2 2 2 5 2" xfId="41874"/>
    <cellStyle name="20% - Accent2 2 3 2 2 2 6" xfId="32230"/>
    <cellStyle name="20% - Accent2 2 3 2 2 3" xfId="1916"/>
    <cellStyle name="20% - Accent2 2 3 2 2 3 2" xfId="1917"/>
    <cellStyle name="20% - Accent2 2 3 2 2 3 2 2" xfId="17218"/>
    <cellStyle name="20% - Accent2 2 3 2 2 3 2 2 2" xfId="26934"/>
    <cellStyle name="20% - Accent2 2 3 2 2 3 2 2 2 2" xfId="46688"/>
    <cellStyle name="20% - Accent2 2 3 2 2 3 2 2 3" xfId="37044"/>
    <cellStyle name="20% - Accent2 2 3 2 2 3 2 3" xfId="22124"/>
    <cellStyle name="20% - Accent2 2 3 2 2 3 2 3 2" xfId="41879"/>
    <cellStyle name="20% - Accent2 2 3 2 2 3 2 4" xfId="32235"/>
    <cellStyle name="20% - Accent2 2 3 2 2 3 3" xfId="17217"/>
    <cellStyle name="20% - Accent2 2 3 2 2 3 3 2" xfId="26933"/>
    <cellStyle name="20% - Accent2 2 3 2 2 3 3 2 2" xfId="46687"/>
    <cellStyle name="20% - Accent2 2 3 2 2 3 3 3" xfId="37043"/>
    <cellStyle name="20% - Accent2 2 3 2 2 3 4" xfId="22123"/>
    <cellStyle name="20% - Accent2 2 3 2 2 3 4 2" xfId="41878"/>
    <cellStyle name="20% - Accent2 2 3 2 2 3 5" xfId="32234"/>
    <cellStyle name="20% - Accent2 2 3 2 2 4" xfId="1918"/>
    <cellStyle name="20% - Accent2 2 3 2 2 4 2" xfId="17219"/>
    <cellStyle name="20% - Accent2 2 3 2 2 4 2 2" xfId="26935"/>
    <cellStyle name="20% - Accent2 2 3 2 2 4 2 2 2" xfId="46689"/>
    <cellStyle name="20% - Accent2 2 3 2 2 4 2 3" xfId="37045"/>
    <cellStyle name="20% - Accent2 2 3 2 2 4 3" xfId="22125"/>
    <cellStyle name="20% - Accent2 2 3 2 2 4 3 2" xfId="41880"/>
    <cellStyle name="20% - Accent2 2 3 2 2 4 4" xfId="32236"/>
    <cellStyle name="20% - Accent2 2 3 2 2 5" xfId="17212"/>
    <cellStyle name="20% - Accent2 2 3 2 2 5 2" xfId="26928"/>
    <cellStyle name="20% - Accent2 2 3 2 2 5 2 2" xfId="46682"/>
    <cellStyle name="20% - Accent2 2 3 2 2 5 3" xfId="37038"/>
    <cellStyle name="20% - Accent2 2 3 2 2 6" xfId="22118"/>
    <cellStyle name="20% - Accent2 2 3 2 2 6 2" xfId="41873"/>
    <cellStyle name="20% - Accent2 2 3 2 2 7" xfId="32229"/>
    <cellStyle name="20% - Accent2 2 3 2 3" xfId="1919"/>
    <cellStyle name="20% - Accent2 2 3 2 3 2" xfId="1920"/>
    <cellStyle name="20% - Accent2 2 3 2 3 2 2" xfId="1921"/>
    <cellStyle name="20% - Accent2 2 3 2 3 2 2 2" xfId="17222"/>
    <cellStyle name="20% - Accent2 2 3 2 3 2 2 2 2" xfId="26938"/>
    <cellStyle name="20% - Accent2 2 3 2 3 2 2 2 2 2" xfId="46692"/>
    <cellStyle name="20% - Accent2 2 3 2 3 2 2 2 3" xfId="37048"/>
    <cellStyle name="20% - Accent2 2 3 2 3 2 2 3" xfId="22128"/>
    <cellStyle name="20% - Accent2 2 3 2 3 2 2 3 2" xfId="41883"/>
    <cellStyle name="20% - Accent2 2 3 2 3 2 2 4" xfId="32239"/>
    <cellStyle name="20% - Accent2 2 3 2 3 2 3" xfId="17221"/>
    <cellStyle name="20% - Accent2 2 3 2 3 2 3 2" xfId="26937"/>
    <cellStyle name="20% - Accent2 2 3 2 3 2 3 2 2" xfId="46691"/>
    <cellStyle name="20% - Accent2 2 3 2 3 2 3 3" xfId="37047"/>
    <cellStyle name="20% - Accent2 2 3 2 3 2 4" xfId="22127"/>
    <cellStyle name="20% - Accent2 2 3 2 3 2 4 2" xfId="41882"/>
    <cellStyle name="20% - Accent2 2 3 2 3 2 5" xfId="32238"/>
    <cellStyle name="20% - Accent2 2 3 2 3 3" xfId="1922"/>
    <cellStyle name="20% - Accent2 2 3 2 3 3 2" xfId="17223"/>
    <cellStyle name="20% - Accent2 2 3 2 3 3 2 2" xfId="26939"/>
    <cellStyle name="20% - Accent2 2 3 2 3 3 2 2 2" xfId="46693"/>
    <cellStyle name="20% - Accent2 2 3 2 3 3 2 3" xfId="37049"/>
    <cellStyle name="20% - Accent2 2 3 2 3 3 3" xfId="22129"/>
    <cellStyle name="20% - Accent2 2 3 2 3 3 3 2" xfId="41884"/>
    <cellStyle name="20% - Accent2 2 3 2 3 3 4" xfId="32240"/>
    <cellStyle name="20% - Accent2 2 3 2 3 4" xfId="17220"/>
    <cellStyle name="20% - Accent2 2 3 2 3 4 2" xfId="26936"/>
    <cellStyle name="20% - Accent2 2 3 2 3 4 2 2" xfId="46690"/>
    <cellStyle name="20% - Accent2 2 3 2 3 4 3" xfId="37046"/>
    <cellStyle name="20% - Accent2 2 3 2 3 5" xfId="22126"/>
    <cellStyle name="20% - Accent2 2 3 2 3 5 2" xfId="41881"/>
    <cellStyle name="20% - Accent2 2 3 2 3 6" xfId="32237"/>
    <cellStyle name="20% - Accent2 2 3 2 4" xfId="1923"/>
    <cellStyle name="20% - Accent2 2 3 2 4 2" xfId="1924"/>
    <cellStyle name="20% - Accent2 2 3 2 4 2 2" xfId="17225"/>
    <cellStyle name="20% - Accent2 2 3 2 4 2 2 2" xfId="26941"/>
    <cellStyle name="20% - Accent2 2 3 2 4 2 2 2 2" xfId="46695"/>
    <cellStyle name="20% - Accent2 2 3 2 4 2 2 3" xfId="37051"/>
    <cellStyle name="20% - Accent2 2 3 2 4 2 3" xfId="22131"/>
    <cellStyle name="20% - Accent2 2 3 2 4 2 3 2" xfId="41886"/>
    <cellStyle name="20% - Accent2 2 3 2 4 2 4" xfId="32242"/>
    <cellStyle name="20% - Accent2 2 3 2 4 3" xfId="17224"/>
    <cellStyle name="20% - Accent2 2 3 2 4 3 2" xfId="26940"/>
    <cellStyle name="20% - Accent2 2 3 2 4 3 2 2" xfId="46694"/>
    <cellStyle name="20% - Accent2 2 3 2 4 3 3" xfId="37050"/>
    <cellStyle name="20% - Accent2 2 3 2 4 4" xfId="22130"/>
    <cellStyle name="20% - Accent2 2 3 2 4 4 2" xfId="41885"/>
    <cellStyle name="20% - Accent2 2 3 2 4 5" xfId="32241"/>
    <cellStyle name="20% - Accent2 2 3 2 5" xfId="1925"/>
    <cellStyle name="20% - Accent2 2 3 2 5 2" xfId="17226"/>
    <cellStyle name="20% - Accent2 2 3 2 5 2 2" xfId="26942"/>
    <cellStyle name="20% - Accent2 2 3 2 5 2 2 2" xfId="46696"/>
    <cellStyle name="20% - Accent2 2 3 2 5 2 3" xfId="37052"/>
    <cellStyle name="20% - Accent2 2 3 2 5 3" xfId="22132"/>
    <cellStyle name="20% - Accent2 2 3 2 5 3 2" xfId="41887"/>
    <cellStyle name="20% - Accent2 2 3 2 5 4" xfId="32243"/>
    <cellStyle name="20% - Accent2 2 3 2 6" xfId="1926"/>
    <cellStyle name="20% - Accent2 2 3 2 6 2" xfId="17227"/>
    <cellStyle name="20% - Accent2 2 3 2 6 2 2" xfId="26943"/>
    <cellStyle name="20% - Accent2 2 3 2 6 2 2 2" xfId="46697"/>
    <cellStyle name="20% - Accent2 2 3 2 6 2 3" xfId="37053"/>
    <cellStyle name="20% - Accent2 2 3 2 6 3" xfId="22133"/>
    <cellStyle name="20% - Accent2 2 3 2 6 3 2" xfId="41888"/>
    <cellStyle name="20% - Accent2 2 3 2 6 4" xfId="32244"/>
    <cellStyle name="20% - Accent2 2 3 2 7" xfId="1927"/>
    <cellStyle name="20% - Accent2 2 3 2 7 2" xfId="17228"/>
    <cellStyle name="20% - Accent2 2 3 2 7 2 2" xfId="26944"/>
    <cellStyle name="20% - Accent2 2 3 2 7 2 2 2" xfId="46698"/>
    <cellStyle name="20% - Accent2 2 3 2 7 2 3" xfId="37054"/>
    <cellStyle name="20% - Accent2 2 3 2 7 3" xfId="22134"/>
    <cellStyle name="20% - Accent2 2 3 2 7 3 2" xfId="41889"/>
    <cellStyle name="20% - Accent2 2 3 2 7 4" xfId="32245"/>
    <cellStyle name="20% - Accent2 2 3 2 8" xfId="16058"/>
    <cellStyle name="20% - Accent2 2 3 2 8 2" xfId="25774"/>
    <cellStyle name="20% - Accent2 2 3 2 8 2 2" xfId="45528"/>
    <cellStyle name="20% - Accent2 2 3 2 8 3" xfId="35884"/>
    <cellStyle name="20% - Accent2 2 3 2 9" xfId="20964"/>
    <cellStyle name="20% - Accent2 2 3 2 9 2" xfId="40719"/>
    <cellStyle name="20% - Accent2 2 3 3" xfId="1928"/>
    <cellStyle name="20% - Accent2 2 3 3 2" xfId="1929"/>
    <cellStyle name="20% - Accent2 2 3 3 2 2" xfId="1930"/>
    <cellStyle name="20% - Accent2 2 3 3 2 2 2" xfId="1931"/>
    <cellStyle name="20% - Accent2 2 3 3 2 2 2 2" xfId="17232"/>
    <cellStyle name="20% - Accent2 2 3 3 2 2 2 2 2" xfId="26948"/>
    <cellStyle name="20% - Accent2 2 3 3 2 2 2 2 2 2" xfId="46702"/>
    <cellStyle name="20% - Accent2 2 3 3 2 2 2 2 3" xfId="37058"/>
    <cellStyle name="20% - Accent2 2 3 3 2 2 2 3" xfId="22138"/>
    <cellStyle name="20% - Accent2 2 3 3 2 2 2 3 2" xfId="41893"/>
    <cellStyle name="20% - Accent2 2 3 3 2 2 2 4" xfId="32249"/>
    <cellStyle name="20% - Accent2 2 3 3 2 2 3" xfId="17231"/>
    <cellStyle name="20% - Accent2 2 3 3 2 2 3 2" xfId="26947"/>
    <cellStyle name="20% - Accent2 2 3 3 2 2 3 2 2" xfId="46701"/>
    <cellStyle name="20% - Accent2 2 3 3 2 2 3 3" xfId="37057"/>
    <cellStyle name="20% - Accent2 2 3 3 2 2 4" xfId="22137"/>
    <cellStyle name="20% - Accent2 2 3 3 2 2 4 2" xfId="41892"/>
    <cellStyle name="20% - Accent2 2 3 3 2 2 5" xfId="32248"/>
    <cellStyle name="20% - Accent2 2 3 3 2 3" xfId="1932"/>
    <cellStyle name="20% - Accent2 2 3 3 2 3 2" xfId="17233"/>
    <cellStyle name="20% - Accent2 2 3 3 2 3 2 2" xfId="26949"/>
    <cellStyle name="20% - Accent2 2 3 3 2 3 2 2 2" xfId="46703"/>
    <cellStyle name="20% - Accent2 2 3 3 2 3 2 3" xfId="37059"/>
    <cellStyle name="20% - Accent2 2 3 3 2 3 3" xfId="22139"/>
    <cellStyle name="20% - Accent2 2 3 3 2 3 3 2" xfId="41894"/>
    <cellStyle name="20% - Accent2 2 3 3 2 3 4" xfId="32250"/>
    <cellStyle name="20% - Accent2 2 3 3 2 4" xfId="17230"/>
    <cellStyle name="20% - Accent2 2 3 3 2 4 2" xfId="26946"/>
    <cellStyle name="20% - Accent2 2 3 3 2 4 2 2" xfId="46700"/>
    <cellStyle name="20% - Accent2 2 3 3 2 4 3" xfId="37056"/>
    <cellStyle name="20% - Accent2 2 3 3 2 5" xfId="22136"/>
    <cellStyle name="20% - Accent2 2 3 3 2 5 2" xfId="41891"/>
    <cellStyle name="20% - Accent2 2 3 3 2 6" xfId="32247"/>
    <cellStyle name="20% - Accent2 2 3 3 3" xfId="1933"/>
    <cellStyle name="20% - Accent2 2 3 3 3 2" xfId="1934"/>
    <cellStyle name="20% - Accent2 2 3 3 3 2 2" xfId="17235"/>
    <cellStyle name="20% - Accent2 2 3 3 3 2 2 2" xfId="26951"/>
    <cellStyle name="20% - Accent2 2 3 3 3 2 2 2 2" xfId="46705"/>
    <cellStyle name="20% - Accent2 2 3 3 3 2 2 3" xfId="37061"/>
    <cellStyle name="20% - Accent2 2 3 3 3 2 3" xfId="22141"/>
    <cellStyle name="20% - Accent2 2 3 3 3 2 3 2" xfId="41896"/>
    <cellStyle name="20% - Accent2 2 3 3 3 2 4" xfId="32252"/>
    <cellStyle name="20% - Accent2 2 3 3 3 3" xfId="17234"/>
    <cellStyle name="20% - Accent2 2 3 3 3 3 2" xfId="26950"/>
    <cellStyle name="20% - Accent2 2 3 3 3 3 2 2" xfId="46704"/>
    <cellStyle name="20% - Accent2 2 3 3 3 3 3" xfId="37060"/>
    <cellStyle name="20% - Accent2 2 3 3 3 4" xfId="22140"/>
    <cellStyle name="20% - Accent2 2 3 3 3 4 2" xfId="41895"/>
    <cellStyle name="20% - Accent2 2 3 3 3 5" xfId="32251"/>
    <cellStyle name="20% - Accent2 2 3 3 4" xfId="1935"/>
    <cellStyle name="20% - Accent2 2 3 3 4 2" xfId="17236"/>
    <cellStyle name="20% - Accent2 2 3 3 4 2 2" xfId="26952"/>
    <cellStyle name="20% - Accent2 2 3 3 4 2 2 2" xfId="46706"/>
    <cellStyle name="20% - Accent2 2 3 3 4 2 3" xfId="37062"/>
    <cellStyle name="20% - Accent2 2 3 3 4 3" xfId="22142"/>
    <cellStyle name="20% - Accent2 2 3 3 4 3 2" xfId="41897"/>
    <cellStyle name="20% - Accent2 2 3 3 4 4" xfId="32253"/>
    <cellStyle name="20% - Accent2 2 3 3 5" xfId="17229"/>
    <cellStyle name="20% - Accent2 2 3 3 5 2" xfId="26945"/>
    <cellStyle name="20% - Accent2 2 3 3 5 2 2" xfId="46699"/>
    <cellStyle name="20% - Accent2 2 3 3 5 3" xfId="37055"/>
    <cellStyle name="20% - Accent2 2 3 3 6" xfId="22135"/>
    <cellStyle name="20% - Accent2 2 3 3 6 2" xfId="41890"/>
    <cellStyle name="20% - Accent2 2 3 3 7" xfId="32246"/>
    <cellStyle name="20% - Accent2 2 3 4" xfId="1936"/>
    <cellStyle name="20% - Accent2 2 3 4 2" xfId="1937"/>
    <cellStyle name="20% - Accent2 2 3 4 2 2" xfId="1938"/>
    <cellStyle name="20% - Accent2 2 3 4 2 2 2" xfId="1939"/>
    <cellStyle name="20% - Accent2 2 3 4 2 2 2 2" xfId="17240"/>
    <cellStyle name="20% - Accent2 2 3 4 2 2 2 2 2" xfId="26956"/>
    <cellStyle name="20% - Accent2 2 3 4 2 2 2 2 2 2" xfId="46710"/>
    <cellStyle name="20% - Accent2 2 3 4 2 2 2 2 3" xfId="37066"/>
    <cellStyle name="20% - Accent2 2 3 4 2 2 2 3" xfId="22146"/>
    <cellStyle name="20% - Accent2 2 3 4 2 2 2 3 2" xfId="41901"/>
    <cellStyle name="20% - Accent2 2 3 4 2 2 2 4" xfId="32257"/>
    <cellStyle name="20% - Accent2 2 3 4 2 2 3" xfId="17239"/>
    <cellStyle name="20% - Accent2 2 3 4 2 2 3 2" xfId="26955"/>
    <cellStyle name="20% - Accent2 2 3 4 2 2 3 2 2" xfId="46709"/>
    <cellStyle name="20% - Accent2 2 3 4 2 2 3 3" xfId="37065"/>
    <cellStyle name="20% - Accent2 2 3 4 2 2 4" xfId="22145"/>
    <cellStyle name="20% - Accent2 2 3 4 2 2 4 2" xfId="41900"/>
    <cellStyle name="20% - Accent2 2 3 4 2 2 5" xfId="32256"/>
    <cellStyle name="20% - Accent2 2 3 4 2 3" xfId="1940"/>
    <cellStyle name="20% - Accent2 2 3 4 2 3 2" xfId="17241"/>
    <cellStyle name="20% - Accent2 2 3 4 2 3 2 2" xfId="26957"/>
    <cellStyle name="20% - Accent2 2 3 4 2 3 2 2 2" xfId="46711"/>
    <cellStyle name="20% - Accent2 2 3 4 2 3 2 3" xfId="37067"/>
    <cellStyle name="20% - Accent2 2 3 4 2 3 3" xfId="22147"/>
    <cellStyle name="20% - Accent2 2 3 4 2 3 3 2" xfId="41902"/>
    <cellStyle name="20% - Accent2 2 3 4 2 3 4" xfId="32258"/>
    <cellStyle name="20% - Accent2 2 3 4 2 4" xfId="17238"/>
    <cellStyle name="20% - Accent2 2 3 4 2 4 2" xfId="26954"/>
    <cellStyle name="20% - Accent2 2 3 4 2 4 2 2" xfId="46708"/>
    <cellStyle name="20% - Accent2 2 3 4 2 4 3" xfId="37064"/>
    <cellStyle name="20% - Accent2 2 3 4 2 5" xfId="22144"/>
    <cellStyle name="20% - Accent2 2 3 4 2 5 2" xfId="41899"/>
    <cellStyle name="20% - Accent2 2 3 4 2 6" xfId="32255"/>
    <cellStyle name="20% - Accent2 2 3 4 3" xfId="1941"/>
    <cellStyle name="20% - Accent2 2 3 4 3 2" xfId="1942"/>
    <cellStyle name="20% - Accent2 2 3 4 3 2 2" xfId="17243"/>
    <cellStyle name="20% - Accent2 2 3 4 3 2 2 2" xfId="26959"/>
    <cellStyle name="20% - Accent2 2 3 4 3 2 2 2 2" xfId="46713"/>
    <cellStyle name="20% - Accent2 2 3 4 3 2 2 3" xfId="37069"/>
    <cellStyle name="20% - Accent2 2 3 4 3 2 3" xfId="22149"/>
    <cellStyle name="20% - Accent2 2 3 4 3 2 3 2" xfId="41904"/>
    <cellStyle name="20% - Accent2 2 3 4 3 2 4" xfId="32260"/>
    <cellStyle name="20% - Accent2 2 3 4 3 3" xfId="17242"/>
    <cellStyle name="20% - Accent2 2 3 4 3 3 2" xfId="26958"/>
    <cellStyle name="20% - Accent2 2 3 4 3 3 2 2" xfId="46712"/>
    <cellStyle name="20% - Accent2 2 3 4 3 3 3" xfId="37068"/>
    <cellStyle name="20% - Accent2 2 3 4 3 4" xfId="22148"/>
    <cellStyle name="20% - Accent2 2 3 4 3 4 2" xfId="41903"/>
    <cellStyle name="20% - Accent2 2 3 4 3 5" xfId="32259"/>
    <cellStyle name="20% - Accent2 2 3 4 4" xfId="1943"/>
    <cellStyle name="20% - Accent2 2 3 4 4 2" xfId="17244"/>
    <cellStyle name="20% - Accent2 2 3 4 4 2 2" xfId="26960"/>
    <cellStyle name="20% - Accent2 2 3 4 4 2 2 2" xfId="46714"/>
    <cellStyle name="20% - Accent2 2 3 4 4 2 3" xfId="37070"/>
    <cellStyle name="20% - Accent2 2 3 4 4 3" xfId="22150"/>
    <cellStyle name="20% - Accent2 2 3 4 4 3 2" xfId="41905"/>
    <cellStyle name="20% - Accent2 2 3 4 4 4" xfId="32261"/>
    <cellStyle name="20% - Accent2 2 3 4 5" xfId="17237"/>
    <cellStyle name="20% - Accent2 2 3 4 5 2" xfId="26953"/>
    <cellStyle name="20% - Accent2 2 3 4 5 2 2" xfId="46707"/>
    <cellStyle name="20% - Accent2 2 3 4 5 3" xfId="37063"/>
    <cellStyle name="20% - Accent2 2 3 4 6" xfId="22143"/>
    <cellStyle name="20% - Accent2 2 3 4 6 2" xfId="41898"/>
    <cellStyle name="20% - Accent2 2 3 4 7" xfId="32254"/>
    <cellStyle name="20% - Accent2 2 3 5" xfId="1944"/>
    <cellStyle name="20% - Accent2 2 3 5 2" xfId="1945"/>
    <cellStyle name="20% - Accent2 2 3 5 2 2" xfId="1946"/>
    <cellStyle name="20% - Accent2 2 3 5 2 2 2" xfId="17247"/>
    <cellStyle name="20% - Accent2 2 3 5 2 2 2 2" xfId="26963"/>
    <cellStyle name="20% - Accent2 2 3 5 2 2 2 2 2" xfId="46717"/>
    <cellStyle name="20% - Accent2 2 3 5 2 2 2 3" xfId="37073"/>
    <cellStyle name="20% - Accent2 2 3 5 2 2 3" xfId="22153"/>
    <cellStyle name="20% - Accent2 2 3 5 2 2 3 2" xfId="41908"/>
    <cellStyle name="20% - Accent2 2 3 5 2 2 4" xfId="32264"/>
    <cellStyle name="20% - Accent2 2 3 5 2 3" xfId="17246"/>
    <cellStyle name="20% - Accent2 2 3 5 2 3 2" xfId="26962"/>
    <cellStyle name="20% - Accent2 2 3 5 2 3 2 2" xfId="46716"/>
    <cellStyle name="20% - Accent2 2 3 5 2 3 3" xfId="37072"/>
    <cellStyle name="20% - Accent2 2 3 5 2 4" xfId="22152"/>
    <cellStyle name="20% - Accent2 2 3 5 2 4 2" xfId="41907"/>
    <cellStyle name="20% - Accent2 2 3 5 2 5" xfId="32263"/>
    <cellStyle name="20% - Accent2 2 3 5 3" xfId="1947"/>
    <cellStyle name="20% - Accent2 2 3 5 3 2" xfId="17248"/>
    <cellStyle name="20% - Accent2 2 3 5 3 2 2" xfId="26964"/>
    <cellStyle name="20% - Accent2 2 3 5 3 2 2 2" xfId="46718"/>
    <cellStyle name="20% - Accent2 2 3 5 3 2 3" xfId="37074"/>
    <cellStyle name="20% - Accent2 2 3 5 3 3" xfId="22154"/>
    <cellStyle name="20% - Accent2 2 3 5 3 3 2" xfId="41909"/>
    <cellStyle name="20% - Accent2 2 3 5 3 4" xfId="32265"/>
    <cellStyle name="20% - Accent2 2 3 5 4" xfId="17245"/>
    <cellStyle name="20% - Accent2 2 3 5 4 2" xfId="26961"/>
    <cellStyle name="20% - Accent2 2 3 5 4 2 2" xfId="46715"/>
    <cellStyle name="20% - Accent2 2 3 5 4 3" xfId="37071"/>
    <cellStyle name="20% - Accent2 2 3 5 5" xfId="22151"/>
    <cellStyle name="20% - Accent2 2 3 5 5 2" xfId="41906"/>
    <cellStyle name="20% - Accent2 2 3 5 6" xfId="32262"/>
    <cellStyle name="20% - Accent2 2 3 6" xfId="1948"/>
    <cellStyle name="20% - Accent2 2 3 6 2" xfId="1949"/>
    <cellStyle name="20% - Accent2 2 3 6 2 2" xfId="17250"/>
    <cellStyle name="20% - Accent2 2 3 6 2 2 2" xfId="26966"/>
    <cellStyle name="20% - Accent2 2 3 6 2 2 2 2" xfId="46720"/>
    <cellStyle name="20% - Accent2 2 3 6 2 2 3" xfId="37076"/>
    <cellStyle name="20% - Accent2 2 3 6 2 3" xfId="22156"/>
    <cellStyle name="20% - Accent2 2 3 6 2 3 2" xfId="41911"/>
    <cellStyle name="20% - Accent2 2 3 6 2 4" xfId="32267"/>
    <cellStyle name="20% - Accent2 2 3 6 3" xfId="17249"/>
    <cellStyle name="20% - Accent2 2 3 6 3 2" xfId="26965"/>
    <cellStyle name="20% - Accent2 2 3 6 3 2 2" xfId="46719"/>
    <cellStyle name="20% - Accent2 2 3 6 3 3" xfId="37075"/>
    <cellStyle name="20% - Accent2 2 3 6 4" xfId="22155"/>
    <cellStyle name="20% - Accent2 2 3 6 4 2" xfId="41910"/>
    <cellStyle name="20% - Accent2 2 3 6 5" xfId="32266"/>
    <cellStyle name="20% - Accent2 2 3 7" xfId="1950"/>
    <cellStyle name="20% - Accent2 2 3 7 2" xfId="1951"/>
    <cellStyle name="20% - Accent2 2 3 7 2 2" xfId="17252"/>
    <cellStyle name="20% - Accent2 2 3 7 2 2 2" xfId="26968"/>
    <cellStyle name="20% - Accent2 2 3 7 2 2 2 2" xfId="46722"/>
    <cellStyle name="20% - Accent2 2 3 7 2 2 3" xfId="37078"/>
    <cellStyle name="20% - Accent2 2 3 7 2 3" xfId="22158"/>
    <cellStyle name="20% - Accent2 2 3 7 2 3 2" xfId="41913"/>
    <cellStyle name="20% - Accent2 2 3 7 2 4" xfId="32269"/>
    <cellStyle name="20% - Accent2 2 3 7 3" xfId="17251"/>
    <cellStyle name="20% - Accent2 2 3 7 3 2" xfId="26967"/>
    <cellStyle name="20% - Accent2 2 3 7 3 2 2" xfId="46721"/>
    <cellStyle name="20% - Accent2 2 3 7 3 3" xfId="37077"/>
    <cellStyle name="20% - Accent2 2 3 7 4" xfId="22157"/>
    <cellStyle name="20% - Accent2 2 3 7 4 2" xfId="41912"/>
    <cellStyle name="20% - Accent2 2 3 7 5" xfId="32268"/>
    <cellStyle name="20% - Accent2 2 3 8" xfId="1952"/>
    <cellStyle name="20% - Accent2 2 3 8 2" xfId="17253"/>
    <cellStyle name="20% - Accent2 2 3 8 2 2" xfId="26969"/>
    <cellStyle name="20% - Accent2 2 3 8 2 2 2" xfId="46723"/>
    <cellStyle name="20% - Accent2 2 3 8 2 3" xfId="37079"/>
    <cellStyle name="20% - Accent2 2 3 8 3" xfId="22159"/>
    <cellStyle name="20% - Accent2 2 3 8 3 2" xfId="41914"/>
    <cellStyle name="20% - Accent2 2 3 8 4" xfId="32270"/>
    <cellStyle name="20% - Accent2 2 3 9" xfId="1953"/>
    <cellStyle name="20% - Accent2 2 3 9 2" xfId="17254"/>
    <cellStyle name="20% - Accent2 2 3 9 2 2" xfId="26970"/>
    <cellStyle name="20% - Accent2 2 3 9 2 2 2" xfId="46724"/>
    <cellStyle name="20% - Accent2 2 3 9 2 3" xfId="37080"/>
    <cellStyle name="20% - Accent2 2 3 9 3" xfId="22160"/>
    <cellStyle name="20% - Accent2 2 3 9 3 2" xfId="41915"/>
    <cellStyle name="20% - Accent2 2 3 9 4" xfId="32271"/>
    <cellStyle name="20% - Accent2 2 4" xfId="1954"/>
    <cellStyle name="20% - Accent2 2 4 10" xfId="32272"/>
    <cellStyle name="20% - Accent2 2 4 2" xfId="1955"/>
    <cellStyle name="20% - Accent2 2 4 2 2" xfId="1956"/>
    <cellStyle name="20% - Accent2 2 4 2 2 2" xfId="1957"/>
    <cellStyle name="20% - Accent2 2 4 2 2 2 2" xfId="1958"/>
    <cellStyle name="20% - Accent2 2 4 2 2 2 2 2" xfId="17259"/>
    <cellStyle name="20% - Accent2 2 4 2 2 2 2 2 2" xfId="26975"/>
    <cellStyle name="20% - Accent2 2 4 2 2 2 2 2 2 2" xfId="46729"/>
    <cellStyle name="20% - Accent2 2 4 2 2 2 2 2 3" xfId="37085"/>
    <cellStyle name="20% - Accent2 2 4 2 2 2 2 3" xfId="22165"/>
    <cellStyle name="20% - Accent2 2 4 2 2 2 2 3 2" xfId="41920"/>
    <cellStyle name="20% - Accent2 2 4 2 2 2 2 4" xfId="32276"/>
    <cellStyle name="20% - Accent2 2 4 2 2 2 3" xfId="17258"/>
    <cellStyle name="20% - Accent2 2 4 2 2 2 3 2" xfId="26974"/>
    <cellStyle name="20% - Accent2 2 4 2 2 2 3 2 2" xfId="46728"/>
    <cellStyle name="20% - Accent2 2 4 2 2 2 3 3" xfId="37084"/>
    <cellStyle name="20% - Accent2 2 4 2 2 2 4" xfId="22164"/>
    <cellStyle name="20% - Accent2 2 4 2 2 2 4 2" xfId="41919"/>
    <cellStyle name="20% - Accent2 2 4 2 2 2 5" xfId="32275"/>
    <cellStyle name="20% - Accent2 2 4 2 2 3" xfId="1959"/>
    <cellStyle name="20% - Accent2 2 4 2 2 3 2" xfId="17260"/>
    <cellStyle name="20% - Accent2 2 4 2 2 3 2 2" xfId="26976"/>
    <cellStyle name="20% - Accent2 2 4 2 2 3 2 2 2" xfId="46730"/>
    <cellStyle name="20% - Accent2 2 4 2 2 3 2 3" xfId="37086"/>
    <cellStyle name="20% - Accent2 2 4 2 2 3 3" xfId="22166"/>
    <cellStyle name="20% - Accent2 2 4 2 2 3 3 2" xfId="41921"/>
    <cellStyle name="20% - Accent2 2 4 2 2 3 4" xfId="32277"/>
    <cellStyle name="20% - Accent2 2 4 2 2 4" xfId="17257"/>
    <cellStyle name="20% - Accent2 2 4 2 2 4 2" xfId="26973"/>
    <cellStyle name="20% - Accent2 2 4 2 2 4 2 2" xfId="46727"/>
    <cellStyle name="20% - Accent2 2 4 2 2 4 3" xfId="37083"/>
    <cellStyle name="20% - Accent2 2 4 2 2 5" xfId="22163"/>
    <cellStyle name="20% - Accent2 2 4 2 2 5 2" xfId="41918"/>
    <cellStyle name="20% - Accent2 2 4 2 2 6" xfId="32274"/>
    <cellStyle name="20% - Accent2 2 4 2 3" xfId="1960"/>
    <cellStyle name="20% - Accent2 2 4 2 3 2" xfId="1961"/>
    <cellStyle name="20% - Accent2 2 4 2 3 2 2" xfId="17262"/>
    <cellStyle name="20% - Accent2 2 4 2 3 2 2 2" xfId="26978"/>
    <cellStyle name="20% - Accent2 2 4 2 3 2 2 2 2" xfId="46732"/>
    <cellStyle name="20% - Accent2 2 4 2 3 2 2 3" xfId="37088"/>
    <cellStyle name="20% - Accent2 2 4 2 3 2 3" xfId="22168"/>
    <cellStyle name="20% - Accent2 2 4 2 3 2 3 2" xfId="41923"/>
    <cellStyle name="20% - Accent2 2 4 2 3 2 4" xfId="32279"/>
    <cellStyle name="20% - Accent2 2 4 2 3 3" xfId="17261"/>
    <cellStyle name="20% - Accent2 2 4 2 3 3 2" xfId="26977"/>
    <cellStyle name="20% - Accent2 2 4 2 3 3 2 2" xfId="46731"/>
    <cellStyle name="20% - Accent2 2 4 2 3 3 3" xfId="37087"/>
    <cellStyle name="20% - Accent2 2 4 2 3 4" xfId="22167"/>
    <cellStyle name="20% - Accent2 2 4 2 3 4 2" xfId="41922"/>
    <cellStyle name="20% - Accent2 2 4 2 3 5" xfId="32278"/>
    <cellStyle name="20% - Accent2 2 4 2 4" xfId="1962"/>
    <cellStyle name="20% - Accent2 2 4 2 4 2" xfId="17263"/>
    <cellStyle name="20% - Accent2 2 4 2 4 2 2" xfId="26979"/>
    <cellStyle name="20% - Accent2 2 4 2 4 2 2 2" xfId="46733"/>
    <cellStyle name="20% - Accent2 2 4 2 4 2 3" xfId="37089"/>
    <cellStyle name="20% - Accent2 2 4 2 4 3" xfId="22169"/>
    <cellStyle name="20% - Accent2 2 4 2 4 3 2" xfId="41924"/>
    <cellStyle name="20% - Accent2 2 4 2 4 4" xfId="32280"/>
    <cellStyle name="20% - Accent2 2 4 2 5" xfId="17256"/>
    <cellStyle name="20% - Accent2 2 4 2 5 2" xfId="26972"/>
    <cellStyle name="20% - Accent2 2 4 2 5 2 2" xfId="46726"/>
    <cellStyle name="20% - Accent2 2 4 2 5 3" xfId="37082"/>
    <cellStyle name="20% - Accent2 2 4 2 6" xfId="22162"/>
    <cellStyle name="20% - Accent2 2 4 2 6 2" xfId="41917"/>
    <cellStyle name="20% - Accent2 2 4 2 7" xfId="32273"/>
    <cellStyle name="20% - Accent2 2 4 3" xfId="1963"/>
    <cellStyle name="20% - Accent2 2 4 3 2" xfId="1964"/>
    <cellStyle name="20% - Accent2 2 4 3 2 2" xfId="1965"/>
    <cellStyle name="20% - Accent2 2 4 3 2 2 2" xfId="17266"/>
    <cellStyle name="20% - Accent2 2 4 3 2 2 2 2" xfId="26982"/>
    <cellStyle name="20% - Accent2 2 4 3 2 2 2 2 2" xfId="46736"/>
    <cellStyle name="20% - Accent2 2 4 3 2 2 2 3" xfId="37092"/>
    <cellStyle name="20% - Accent2 2 4 3 2 2 3" xfId="22172"/>
    <cellStyle name="20% - Accent2 2 4 3 2 2 3 2" xfId="41927"/>
    <cellStyle name="20% - Accent2 2 4 3 2 2 4" xfId="32283"/>
    <cellStyle name="20% - Accent2 2 4 3 2 3" xfId="17265"/>
    <cellStyle name="20% - Accent2 2 4 3 2 3 2" xfId="26981"/>
    <cellStyle name="20% - Accent2 2 4 3 2 3 2 2" xfId="46735"/>
    <cellStyle name="20% - Accent2 2 4 3 2 3 3" xfId="37091"/>
    <cellStyle name="20% - Accent2 2 4 3 2 4" xfId="22171"/>
    <cellStyle name="20% - Accent2 2 4 3 2 4 2" xfId="41926"/>
    <cellStyle name="20% - Accent2 2 4 3 2 5" xfId="32282"/>
    <cellStyle name="20% - Accent2 2 4 3 3" xfId="1966"/>
    <cellStyle name="20% - Accent2 2 4 3 3 2" xfId="17267"/>
    <cellStyle name="20% - Accent2 2 4 3 3 2 2" xfId="26983"/>
    <cellStyle name="20% - Accent2 2 4 3 3 2 2 2" xfId="46737"/>
    <cellStyle name="20% - Accent2 2 4 3 3 2 3" xfId="37093"/>
    <cellStyle name="20% - Accent2 2 4 3 3 3" xfId="22173"/>
    <cellStyle name="20% - Accent2 2 4 3 3 3 2" xfId="41928"/>
    <cellStyle name="20% - Accent2 2 4 3 3 4" xfId="32284"/>
    <cellStyle name="20% - Accent2 2 4 3 4" xfId="17264"/>
    <cellStyle name="20% - Accent2 2 4 3 4 2" xfId="26980"/>
    <cellStyle name="20% - Accent2 2 4 3 4 2 2" xfId="46734"/>
    <cellStyle name="20% - Accent2 2 4 3 4 3" xfId="37090"/>
    <cellStyle name="20% - Accent2 2 4 3 5" xfId="22170"/>
    <cellStyle name="20% - Accent2 2 4 3 5 2" xfId="41925"/>
    <cellStyle name="20% - Accent2 2 4 3 6" xfId="32281"/>
    <cellStyle name="20% - Accent2 2 4 4" xfId="1967"/>
    <cellStyle name="20% - Accent2 2 4 4 2" xfId="1968"/>
    <cellStyle name="20% - Accent2 2 4 4 2 2" xfId="17269"/>
    <cellStyle name="20% - Accent2 2 4 4 2 2 2" xfId="26985"/>
    <cellStyle name="20% - Accent2 2 4 4 2 2 2 2" xfId="46739"/>
    <cellStyle name="20% - Accent2 2 4 4 2 2 3" xfId="37095"/>
    <cellStyle name="20% - Accent2 2 4 4 2 3" xfId="22175"/>
    <cellStyle name="20% - Accent2 2 4 4 2 3 2" xfId="41930"/>
    <cellStyle name="20% - Accent2 2 4 4 2 4" xfId="32286"/>
    <cellStyle name="20% - Accent2 2 4 4 3" xfId="17268"/>
    <cellStyle name="20% - Accent2 2 4 4 3 2" xfId="26984"/>
    <cellStyle name="20% - Accent2 2 4 4 3 2 2" xfId="46738"/>
    <cellStyle name="20% - Accent2 2 4 4 3 3" xfId="37094"/>
    <cellStyle name="20% - Accent2 2 4 4 4" xfId="22174"/>
    <cellStyle name="20% - Accent2 2 4 4 4 2" xfId="41929"/>
    <cellStyle name="20% - Accent2 2 4 4 5" xfId="32285"/>
    <cellStyle name="20% - Accent2 2 4 5" xfId="1969"/>
    <cellStyle name="20% - Accent2 2 4 5 2" xfId="17270"/>
    <cellStyle name="20% - Accent2 2 4 5 2 2" xfId="26986"/>
    <cellStyle name="20% - Accent2 2 4 5 2 2 2" xfId="46740"/>
    <cellStyle name="20% - Accent2 2 4 5 2 3" xfId="37096"/>
    <cellStyle name="20% - Accent2 2 4 5 3" xfId="22176"/>
    <cellStyle name="20% - Accent2 2 4 5 3 2" xfId="41931"/>
    <cellStyle name="20% - Accent2 2 4 5 4" xfId="32287"/>
    <cellStyle name="20% - Accent2 2 4 6" xfId="1970"/>
    <cellStyle name="20% - Accent2 2 4 6 2" xfId="17271"/>
    <cellStyle name="20% - Accent2 2 4 6 2 2" xfId="26987"/>
    <cellStyle name="20% - Accent2 2 4 6 2 2 2" xfId="46741"/>
    <cellStyle name="20% - Accent2 2 4 6 2 3" xfId="37097"/>
    <cellStyle name="20% - Accent2 2 4 6 3" xfId="22177"/>
    <cellStyle name="20% - Accent2 2 4 6 3 2" xfId="41932"/>
    <cellStyle name="20% - Accent2 2 4 6 4" xfId="32288"/>
    <cellStyle name="20% - Accent2 2 4 7" xfId="1971"/>
    <cellStyle name="20% - Accent2 2 4 7 2" xfId="17272"/>
    <cellStyle name="20% - Accent2 2 4 7 2 2" xfId="26988"/>
    <cellStyle name="20% - Accent2 2 4 7 2 2 2" xfId="46742"/>
    <cellStyle name="20% - Accent2 2 4 7 2 3" xfId="37098"/>
    <cellStyle name="20% - Accent2 2 4 7 3" xfId="22178"/>
    <cellStyle name="20% - Accent2 2 4 7 3 2" xfId="41933"/>
    <cellStyle name="20% - Accent2 2 4 7 4" xfId="32289"/>
    <cellStyle name="20% - Accent2 2 4 8" xfId="17255"/>
    <cellStyle name="20% - Accent2 2 4 8 2" xfId="26971"/>
    <cellStyle name="20% - Accent2 2 4 8 2 2" xfId="46725"/>
    <cellStyle name="20% - Accent2 2 4 8 3" xfId="37081"/>
    <cellStyle name="20% - Accent2 2 4 9" xfId="22161"/>
    <cellStyle name="20% - Accent2 2 4 9 2" xfId="41916"/>
    <cellStyle name="20% - Accent2 2 5" xfId="1972"/>
    <cellStyle name="20% - Accent2 2 5 2" xfId="1973"/>
    <cellStyle name="20% - Accent2 2 5 2 2" xfId="1974"/>
    <cellStyle name="20% - Accent2 2 5 2 2 2" xfId="1975"/>
    <cellStyle name="20% - Accent2 2 5 2 2 2 2" xfId="17276"/>
    <cellStyle name="20% - Accent2 2 5 2 2 2 2 2" xfId="26992"/>
    <cellStyle name="20% - Accent2 2 5 2 2 2 2 2 2" xfId="46746"/>
    <cellStyle name="20% - Accent2 2 5 2 2 2 2 3" xfId="37102"/>
    <cellStyle name="20% - Accent2 2 5 2 2 2 3" xfId="22182"/>
    <cellStyle name="20% - Accent2 2 5 2 2 2 3 2" xfId="41937"/>
    <cellStyle name="20% - Accent2 2 5 2 2 2 4" xfId="32293"/>
    <cellStyle name="20% - Accent2 2 5 2 2 3" xfId="17275"/>
    <cellStyle name="20% - Accent2 2 5 2 2 3 2" xfId="26991"/>
    <cellStyle name="20% - Accent2 2 5 2 2 3 2 2" xfId="46745"/>
    <cellStyle name="20% - Accent2 2 5 2 2 3 3" xfId="37101"/>
    <cellStyle name="20% - Accent2 2 5 2 2 4" xfId="22181"/>
    <cellStyle name="20% - Accent2 2 5 2 2 4 2" xfId="41936"/>
    <cellStyle name="20% - Accent2 2 5 2 2 5" xfId="32292"/>
    <cellStyle name="20% - Accent2 2 5 2 3" xfId="1976"/>
    <cellStyle name="20% - Accent2 2 5 2 3 2" xfId="17277"/>
    <cellStyle name="20% - Accent2 2 5 2 3 2 2" xfId="26993"/>
    <cellStyle name="20% - Accent2 2 5 2 3 2 2 2" xfId="46747"/>
    <cellStyle name="20% - Accent2 2 5 2 3 2 3" xfId="37103"/>
    <cellStyle name="20% - Accent2 2 5 2 3 3" xfId="22183"/>
    <cellStyle name="20% - Accent2 2 5 2 3 3 2" xfId="41938"/>
    <cellStyle name="20% - Accent2 2 5 2 3 4" xfId="32294"/>
    <cellStyle name="20% - Accent2 2 5 2 4" xfId="17274"/>
    <cellStyle name="20% - Accent2 2 5 2 4 2" xfId="26990"/>
    <cellStyle name="20% - Accent2 2 5 2 4 2 2" xfId="46744"/>
    <cellStyle name="20% - Accent2 2 5 2 4 3" xfId="37100"/>
    <cellStyle name="20% - Accent2 2 5 2 5" xfId="22180"/>
    <cellStyle name="20% - Accent2 2 5 2 5 2" xfId="41935"/>
    <cellStyle name="20% - Accent2 2 5 2 6" xfId="32291"/>
    <cellStyle name="20% - Accent2 2 5 3" xfId="1977"/>
    <cellStyle name="20% - Accent2 2 5 3 2" xfId="1978"/>
    <cellStyle name="20% - Accent2 2 5 3 2 2" xfId="17279"/>
    <cellStyle name="20% - Accent2 2 5 3 2 2 2" xfId="26995"/>
    <cellStyle name="20% - Accent2 2 5 3 2 2 2 2" xfId="46749"/>
    <cellStyle name="20% - Accent2 2 5 3 2 2 3" xfId="37105"/>
    <cellStyle name="20% - Accent2 2 5 3 2 3" xfId="22185"/>
    <cellStyle name="20% - Accent2 2 5 3 2 3 2" xfId="41940"/>
    <cellStyle name="20% - Accent2 2 5 3 2 4" xfId="32296"/>
    <cellStyle name="20% - Accent2 2 5 3 3" xfId="17278"/>
    <cellStyle name="20% - Accent2 2 5 3 3 2" xfId="26994"/>
    <cellStyle name="20% - Accent2 2 5 3 3 2 2" xfId="46748"/>
    <cellStyle name="20% - Accent2 2 5 3 3 3" xfId="37104"/>
    <cellStyle name="20% - Accent2 2 5 3 4" xfId="22184"/>
    <cellStyle name="20% - Accent2 2 5 3 4 2" xfId="41939"/>
    <cellStyle name="20% - Accent2 2 5 3 5" xfId="32295"/>
    <cellStyle name="20% - Accent2 2 5 4" xfId="1979"/>
    <cellStyle name="20% - Accent2 2 5 4 2" xfId="17280"/>
    <cellStyle name="20% - Accent2 2 5 4 2 2" xfId="26996"/>
    <cellStyle name="20% - Accent2 2 5 4 2 2 2" xfId="46750"/>
    <cellStyle name="20% - Accent2 2 5 4 2 3" xfId="37106"/>
    <cellStyle name="20% - Accent2 2 5 4 3" xfId="22186"/>
    <cellStyle name="20% - Accent2 2 5 4 3 2" xfId="41941"/>
    <cellStyle name="20% - Accent2 2 5 4 4" xfId="32297"/>
    <cellStyle name="20% - Accent2 2 5 5" xfId="17273"/>
    <cellStyle name="20% - Accent2 2 5 5 2" xfId="26989"/>
    <cellStyle name="20% - Accent2 2 5 5 2 2" xfId="46743"/>
    <cellStyle name="20% - Accent2 2 5 5 3" xfId="37099"/>
    <cellStyle name="20% - Accent2 2 5 6" xfId="22179"/>
    <cellStyle name="20% - Accent2 2 5 6 2" xfId="41934"/>
    <cellStyle name="20% - Accent2 2 5 7" xfId="32290"/>
    <cellStyle name="20% - Accent2 2 6" xfId="1980"/>
    <cellStyle name="20% - Accent2 2 6 2" xfId="1981"/>
    <cellStyle name="20% - Accent2 2 6 2 2" xfId="1982"/>
    <cellStyle name="20% - Accent2 2 6 2 2 2" xfId="1983"/>
    <cellStyle name="20% - Accent2 2 6 2 2 2 2" xfId="17284"/>
    <cellStyle name="20% - Accent2 2 6 2 2 2 2 2" xfId="27000"/>
    <cellStyle name="20% - Accent2 2 6 2 2 2 2 2 2" xfId="46754"/>
    <cellStyle name="20% - Accent2 2 6 2 2 2 2 3" xfId="37110"/>
    <cellStyle name="20% - Accent2 2 6 2 2 2 3" xfId="22190"/>
    <cellStyle name="20% - Accent2 2 6 2 2 2 3 2" xfId="41945"/>
    <cellStyle name="20% - Accent2 2 6 2 2 2 4" xfId="32301"/>
    <cellStyle name="20% - Accent2 2 6 2 2 3" xfId="17283"/>
    <cellStyle name="20% - Accent2 2 6 2 2 3 2" xfId="26999"/>
    <cellStyle name="20% - Accent2 2 6 2 2 3 2 2" xfId="46753"/>
    <cellStyle name="20% - Accent2 2 6 2 2 3 3" xfId="37109"/>
    <cellStyle name="20% - Accent2 2 6 2 2 4" xfId="22189"/>
    <cellStyle name="20% - Accent2 2 6 2 2 4 2" xfId="41944"/>
    <cellStyle name="20% - Accent2 2 6 2 2 5" xfId="32300"/>
    <cellStyle name="20% - Accent2 2 6 2 3" xfId="1984"/>
    <cellStyle name="20% - Accent2 2 6 2 3 2" xfId="17285"/>
    <cellStyle name="20% - Accent2 2 6 2 3 2 2" xfId="27001"/>
    <cellStyle name="20% - Accent2 2 6 2 3 2 2 2" xfId="46755"/>
    <cellStyle name="20% - Accent2 2 6 2 3 2 3" xfId="37111"/>
    <cellStyle name="20% - Accent2 2 6 2 3 3" xfId="22191"/>
    <cellStyle name="20% - Accent2 2 6 2 3 3 2" xfId="41946"/>
    <cellStyle name="20% - Accent2 2 6 2 3 4" xfId="32302"/>
    <cellStyle name="20% - Accent2 2 6 2 4" xfId="17282"/>
    <cellStyle name="20% - Accent2 2 6 2 4 2" xfId="26998"/>
    <cellStyle name="20% - Accent2 2 6 2 4 2 2" xfId="46752"/>
    <cellStyle name="20% - Accent2 2 6 2 4 3" xfId="37108"/>
    <cellStyle name="20% - Accent2 2 6 2 5" xfId="22188"/>
    <cellStyle name="20% - Accent2 2 6 2 5 2" xfId="41943"/>
    <cellStyle name="20% - Accent2 2 6 2 6" xfId="32299"/>
    <cellStyle name="20% - Accent2 2 6 3" xfId="1985"/>
    <cellStyle name="20% - Accent2 2 6 3 2" xfId="1986"/>
    <cellStyle name="20% - Accent2 2 6 3 2 2" xfId="17287"/>
    <cellStyle name="20% - Accent2 2 6 3 2 2 2" xfId="27003"/>
    <cellStyle name="20% - Accent2 2 6 3 2 2 2 2" xfId="46757"/>
    <cellStyle name="20% - Accent2 2 6 3 2 2 3" xfId="37113"/>
    <cellStyle name="20% - Accent2 2 6 3 2 3" xfId="22193"/>
    <cellStyle name="20% - Accent2 2 6 3 2 3 2" xfId="41948"/>
    <cellStyle name="20% - Accent2 2 6 3 2 4" xfId="32304"/>
    <cellStyle name="20% - Accent2 2 6 3 3" xfId="17286"/>
    <cellStyle name="20% - Accent2 2 6 3 3 2" xfId="27002"/>
    <cellStyle name="20% - Accent2 2 6 3 3 2 2" xfId="46756"/>
    <cellStyle name="20% - Accent2 2 6 3 3 3" xfId="37112"/>
    <cellStyle name="20% - Accent2 2 6 3 4" xfId="22192"/>
    <cellStyle name="20% - Accent2 2 6 3 4 2" xfId="41947"/>
    <cellStyle name="20% - Accent2 2 6 3 5" xfId="32303"/>
    <cellStyle name="20% - Accent2 2 6 4" xfId="1987"/>
    <cellStyle name="20% - Accent2 2 6 4 2" xfId="17288"/>
    <cellStyle name="20% - Accent2 2 6 4 2 2" xfId="27004"/>
    <cellStyle name="20% - Accent2 2 6 4 2 2 2" xfId="46758"/>
    <cellStyle name="20% - Accent2 2 6 4 2 3" xfId="37114"/>
    <cellStyle name="20% - Accent2 2 6 4 3" xfId="22194"/>
    <cellStyle name="20% - Accent2 2 6 4 3 2" xfId="41949"/>
    <cellStyle name="20% - Accent2 2 6 4 4" xfId="32305"/>
    <cellStyle name="20% - Accent2 2 6 5" xfId="17281"/>
    <cellStyle name="20% - Accent2 2 6 5 2" xfId="26997"/>
    <cellStyle name="20% - Accent2 2 6 5 2 2" xfId="46751"/>
    <cellStyle name="20% - Accent2 2 6 5 3" xfId="37107"/>
    <cellStyle name="20% - Accent2 2 6 6" xfId="22187"/>
    <cellStyle name="20% - Accent2 2 6 6 2" xfId="41942"/>
    <cellStyle name="20% - Accent2 2 6 7" xfId="32298"/>
    <cellStyle name="20% - Accent2 2 7" xfId="1988"/>
    <cellStyle name="20% - Accent2 2 8" xfId="1989"/>
    <cellStyle name="20% - Accent2 2 8 2" xfId="1990"/>
    <cellStyle name="20% - Accent2 2 8 2 2" xfId="1991"/>
    <cellStyle name="20% - Accent2 2 8 2 2 2" xfId="17291"/>
    <cellStyle name="20% - Accent2 2 8 2 2 2 2" xfId="27007"/>
    <cellStyle name="20% - Accent2 2 8 2 2 2 2 2" xfId="46761"/>
    <cellStyle name="20% - Accent2 2 8 2 2 2 3" xfId="37117"/>
    <cellStyle name="20% - Accent2 2 8 2 2 3" xfId="22197"/>
    <cellStyle name="20% - Accent2 2 8 2 2 3 2" xfId="41952"/>
    <cellStyle name="20% - Accent2 2 8 2 2 4" xfId="32308"/>
    <cellStyle name="20% - Accent2 2 8 2 3" xfId="17290"/>
    <cellStyle name="20% - Accent2 2 8 2 3 2" xfId="27006"/>
    <cellStyle name="20% - Accent2 2 8 2 3 2 2" xfId="46760"/>
    <cellStyle name="20% - Accent2 2 8 2 3 3" xfId="37116"/>
    <cellStyle name="20% - Accent2 2 8 2 4" xfId="22196"/>
    <cellStyle name="20% - Accent2 2 8 2 4 2" xfId="41951"/>
    <cellStyle name="20% - Accent2 2 8 2 5" xfId="32307"/>
    <cellStyle name="20% - Accent2 2 8 3" xfId="1992"/>
    <cellStyle name="20% - Accent2 2 8 3 2" xfId="17292"/>
    <cellStyle name="20% - Accent2 2 8 3 2 2" xfId="27008"/>
    <cellStyle name="20% - Accent2 2 8 3 2 2 2" xfId="46762"/>
    <cellStyle name="20% - Accent2 2 8 3 2 3" xfId="37118"/>
    <cellStyle name="20% - Accent2 2 8 3 3" xfId="22198"/>
    <cellStyle name="20% - Accent2 2 8 3 3 2" xfId="41953"/>
    <cellStyle name="20% - Accent2 2 8 3 4" xfId="32309"/>
    <cellStyle name="20% - Accent2 2 8 4" xfId="17289"/>
    <cellStyle name="20% - Accent2 2 8 4 2" xfId="27005"/>
    <cellStyle name="20% - Accent2 2 8 4 2 2" xfId="46759"/>
    <cellStyle name="20% - Accent2 2 8 4 3" xfId="37115"/>
    <cellStyle name="20% - Accent2 2 8 5" xfId="22195"/>
    <cellStyle name="20% - Accent2 2 8 5 2" xfId="41950"/>
    <cellStyle name="20% - Accent2 2 8 6" xfId="32306"/>
    <cellStyle name="20% - Accent2 2 9" xfId="1993"/>
    <cellStyle name="20% - Accent2 2 9 2" xfId="1994"/>
    <cellStyle name="20% - Accent2 2 9 2 2" xfId="17294"/>
    <cellStyle name="20% - Accent2 2 9 2 2 2" xfId="27010"/>
    <cellStyle name="20% - Accent2 2 9 2 2 2 2" xfId="46764"/>
    <cellStyle name="20% - Accent2 2 9 2 2 3" xfId="37120"/>
    <cellStyle name="20% - Accent2 2 9 2 3" xfId="22200"/>
    <cellStyle name="20% - Accent2 2 9 2 3 2" xfId="41955"/>
    <cellStyle name="20% - Accent2 2 9 2 4" xfId="32311"/>
    <cellStyle name="20% - Accent2 2 9 3" xfId="17293"/>
    <cellStyle name="20% - Accent2 2 9 3 2" xfId="27009"/>
    <cellStyle name="20% - Accent2 2 9 3 2 2" xfId="46763"/>
    <cellStyle name="20% - Accent2 2 9 3 3" xfId="37119"/>
    <cellStyle name="20% - Accent2 2 9 4" xfId="22199"/>
    <cellStyle name="20% - Accent2 2 9 4 2" xfId="41954"/>
    <cellStyle name="20% - Accent2 2 9 5" xfId="32310"/>
    <cellStyle name="20% - Accent2 20" xfId="20700"/>
    <cellStyle name="20% - Accent2 20 2" xfId="40480"/>
    <cellStyle name="20% - Accent2 21" xfId="30359"/>
    <cellStyle name="20% - Accent2 21 2" xfId="50108"/>
    <cellStyle name="20% - Accent2 22" xfId="30769"/>
    <cellStyle name="20% - Accent2 22 2" xfId="50508"/>
    <cellStyle name="20% - Accent2 23" xfId="30811"/>
    <cellStyle name="20% - Accent2 24" xfId="30783"/>
    <cellStyle name="20% - Accent2 25" xfId="50524"/>
    <cellStyle name="20% - Accent2 3" xfId="27"/>
    <cellStyle name="20% - Accent2 3 10" xfId="1995"/>
    <cellStyle name="20% - Accent2 3 10 2" xfId="1996"/>
    <cellStyle name="20% - Accent2 3 10 2 2" xfId="17296"/>
    <cellStyle name="20% - Accent2 3 10 2 2 2" xfId="27012"/>
    <cellStyle name="20% - Accent2 3 10 2 2 2 2" xfId="46766"/>
    <cellStyle name="20% - Accent2 3 10 2 2 3" xfId="37122"/>
    <cellStyle name="20% - Accent2 3 10 2 3" xfId="22202"/>
    <cellStyle name="20% - Accent2 3 10 2 3 2" xfId="41957"/>
    <cellStyle name="20% - Accent2 3 10 2 4" xfId="32313"/>
    <cellStyle name="20% - Accent2 3 10 3" xfId="17295"/>
    <cellStyle name="20% - Accent2 3 10 3 2" xfId="27011"/>
    <cellStyle name="20% - Accent2 3 10 3 2 2" xfId="46765"/>
    <cellStyle name="20% - Accent2 3 10 3 3" xfId="37121"/>
    <cellStyle name="20% - Accent2 3 10 4" xfId="22201"/>
    <cellStyle name="20% - Accent2 3 10 4 2" xfId="41956"/>
    <cellStyle name="20% - Accent2 3 10 5" xfId="32312"/>
    <cellStyle name="20% - Accent2 3 11" xfId="1997"/>
    <cellStyle name="20% - Accent2 3 11 2" xfId="17297"/>
    <cellStyle name="20% - Accent2 3 11 2 2" xfId="27013"/>
    <cellStyle name="20% - Accent2 3 11 2 2 2" xfId="46767"/>
    <cellStyle name="20% - Accent2 3 11 2 3" xfId="37123"/>
    <cellStyle name="20% - Accent2 3 11 3" xfId="22203"/>
    <cellStyle name="20% - Accent2 3 11 3 2" xfId="41958"/>
    <cellStyle name="20% - Accent2 3 11 4" xfId="32314"/>
    <cellStyle name="20% - Accent2 3 12" xfId="1998"/>
    <cellStyle name="20% - Accent2 3 12 2" xfId="17298"/>
    <cellStyle name="20% - Accent2 3 12 2 2" xfId="27014"/>
    <cellStyle name="20% - Accent2 3 12 2 2 2" xfId="46768"/>
    <cellStyle name="20% - Accent2 3 12 2 3" xfId="37124"/>
    <cellStyle name="20% - Accent2 3 12 3" xfId="22204"/>
    <cellStyle name="20% - Accent2 3 12 3 2" xfId="41959"/>
    <cellStyle name="20% - Accent2 3 12 4" xfId="32315"/>
    <cellStyle name="20% - Accent2 3 13" xfId="1999"/>
    <cellStyle name="20% - Accent2 3 13 2" xfId="17299"/>
    <cellStyle name="20% - Accent2 3 13 2 2" xfId="27015"/>
    <cellStyle name="20% - Accent2 3 13 2 2 2" xfId="46769"/>
    <cellStyle name="20% - Accent2 3 13 2 3" xfId="37125"/>
    <cellStyle name="20% - Accent2 3 13 3" xfId="22205"/>
    <cellStyle name="20% - Accent2 3 13 3 2" xfId="41960"/>
    <cellStyle name="20% - Accent2 3 13 4" xfId="32316"/>
    <cellStyle name="20% - Accent2 3 2" xfId="2000"/>
    <cellStyle name="20% - Accent2 3 2 10" xfId="2001"/>
    <cellStyle name="20% - Accent2 3 2 10 2" xfId="17301"/>
    <cellStyle name="20% - Accent2 3 2 10 2 2" xfId="27017"/>
    <cellStyle name="20% - Accent2 3 2 10 2 2 2" xfId="46771"/>
    <cellStyle name="20% - Accent2 3 2 10 2 3" xfId="37127"/>
    <cellStyle name="20% - Accent2 3 2 10 3" xfId="22207"/>
    <cellStyle name="20% - Accent2 3 2 10 3 2" xfId="41962"/>
    <cellStyle name="20% - Accent2 3 2 10 4" xfId="32318"/>
    <cellStyle name="20% - Accent2 3 2 11" xfId="2002"/>
    <cellStyle name="20% - Accent2 3 2 11 2" xfId="17302"/>
    <cellStyle name="20% - Accent2 3 2 11 2 2" xfId="27018"/>
    <cellStyle name="20% - Accent2 3 2 11 2 2 2" xfId="46772"/>
    <cellStyle name="20% - Accent2 3 2 11 2 3" xfId="37128"/>
    <cellStyle name="20% - Accent2 3 2 11 3" xfId="22208"/>
    <cellStyle name="20% - Accent2 3 2 11 3 2" xfId="41963"/>
    <cellStyle name="20% - Accent2 3 2 11 4" xfId="32319"/>
    <cellStyle name="20% - Accent2 3 2 12" xfId="17300"/>
    <cellStyle name="20% - Accent2 3 2 12 2" xfId="27016"/>
    <cellStyle name="20% - Accent2 3 2 12 2 2" xfId="46770"/>
    <cellStyle name="20% - Accent2 3 2 12 3" xfId="37126"/>
    <cellStyle name="20% - Accent2 3 2 13" xfId="22206"/>
    <cellStyle name="20% - Accent2 3 2 13 2" xfId="41961"/>
    <cellStyle name="20% - Accent2 3 2 14" xfId="32317"/>
    <cellStyle name="20% - Accent2 3 2 2" xfId="2003"/>
    <cellStyle name="20% - Accent2 3 2 2 10" xfId="2004"/>
    <cellStyle name="20% - Accent2 3 2 2 10 2" xfId="17304"/>
    <cellStyle name="20% - Accent2 3 2 2 10 2 2" xfId="27020"/>
    <cellStyle name="20% - Accent2 3 2 2 10 2 2 2" xfId="46774"/>
    <cellStyle name="20% - Accent2 3 2 2 10 2 3" xfId="37130"/>
    <cellStyle name="20% - Accent2 3 2 2 10 3" xfId="22210"/>
    <cellStyle name="20% - Accent2 3 2 2 10 3 2" xfId="41965"/>
    <cellStyle name="20% - Accent2 3 2 2 10 4" xfId="32321"/>
    <cellStyle name="20% - Accent2 3 2 2 11" xfId="17303"/>
    <cellStyle name="20% - Accent2 3 2 2 11 2" xfId="27019"/>
    <cellStyle name="20% - Accent2 3 2 2 11 2 2" xfId="46773"/>
    <cellStyle name="20% - Accent2 3 2 2 11 3" xfId="37129"/>
    <cellStyle name="20% - Accent2 3 2 2 12" xfId="22209"/>
    <cellStyle name="20% - Accent2 3 2 2 12 2" xfId="41964"/>
    <cellStyle name="20% - Accent2 3 2 2 13" xfId="32320"/>
    <cellStyle name="20% - Accent2 3 2 2 2" xfId="2005"/>
    <cellStyle name="20% - Accent2 3 2 2 2 10" xfId="32322"/>
    <cellStyle name="20% - Accent2 3 2 2 2 2" xfId="2006"/>
    <cellStyle name="20% - Accent2 3 2 2 2 2 2" xfId="2007"/>
    <cellStyle name="20% - Accent2 3 2 2 2 2 2 2" xfId="2008"/>
    <cellStyle name="20% - Accent2 3 2 2 2 2 2 2 2" xfId="2009"/>
    <cellStyle name="20% - Accent2 3 2 2 2 2 2 2 2 2" xfId="17309"/>
    <cellStyle name="20% - Accent2 3 2 2 2 2 2 2 2 2 2" xfId="27025"/>
    <cellStyle name="20% - Accent2 3 2 2 2 2 2 2 2 2 2 2" xfId="46779"/>
    <cellStyle name="20% - Accent2 3 2 2 2 2 2 2 2 2 3" xfId="37135"/>
    <cellStyle name="20% - Accent2 3 2 2 2 2 2 2 2 3" xfId="22215"/>
    <cellStyle name="20% - Accent2 3 2 2 2 2 2 2 2 3 2" xfId="41970"/>
    <cellStyle name="20% - Accent2 3 2 2 2 2 2 2 2 4" xfId="32326"/>
    <cellStyle name="20% - Accent2 3 2 2 2 2 2 2 3" xfId="17308"/>
    <cellStyle name="20% - Accent2 3 2 2 2 2 2 2 3 2" xfId="27024"/>
    <cellStyle name="20% - Accent2 3 2 2 2 2 2 2 3 2 2" xfId="46778"/>
    <cellStyle name="20% - Accent2 3 2 2 2 2 2 2 3 3" xfId="37134"/>
    <cellStyle name="20% - Accent2 3 2 2 2 2 2 2 4" xfId="22214"/>
    <cellStyle name="20% - Accent2 3 2 2 2 2 2 2 4 2" xfId="41969"/>
    <cellStyle name="20% - Accent2 3 2 2 2 2 2 2 5" xfId="32325"/>
    <cellStyle name="20% - Accent2 3 2 2 2 2 2 3" xfId="2010"/>
    <cellStyle name="20% - Accent2 3 2 2 2 2 2 3 2" xfId="17310"/>
    <cellStyle name="20% - Accent2 3 2 2 2 2 2 3 2 2" xfId="27026"/>
    <cellStyle name="20% - Accent2 3 2 2 2 2 2 3 2 2 2" xfId="46780"/>
    <cellStyle name="20% - Accent2 3 2 2 2 2 2 3 2 3" xfId="37136"/>
    <cellStyle name="20% - Accent2 3 2 2 2 2 2 3 3" xfId="22216"/>
    <cellStyle name="20% - Accent2 3 2 2 2 2 2 3 3 2" xfId="41971"/>
    <cellStyle name="20% - Accent2 3 2 2 2 2 2 3 4" xfId="32327"/>
    <cellStyle name="20% - Accent2 3 2 2 2 2 2 4" xfId="17307"/>
    <cellStyle name="20% - Accent2 3 2 2 2 2 2 4 2" xfId="27023"/>
    <cellStyle name="20% - Accent2 3 2 2 2 2 2 4 2 2" xfId="46777"/>
    <cellStyle name="20% - Accent2 3 2 2 2 2 2 4 3" xfId="37133"/>
    <cellStyle name="20% - Accent2 3 2 2 2 2 2 5" xfId="22213"/>
    <cellStyle name="20% - Accent2 3 2 2 2 2 2 5 2" xfId="41968"/>
    <cellStyle name="20% - Accent2 3 2 2 2 2 2 6" xfId="32324"/>
    <cellStyle name="20% - Accent2 3 2 2 2 2 3" xfId="2011"/>
    <cellStyle name="20% - Accent2 3 2 2 2 2 3 2" xfId="2012"/>
    <cellStyle name="20% - Accent2 3 2 2 2 2 3 2 2" xfId="17312"/>
    <cellStyle name="20% - Accent2 3 2 2 2 2 3 2 2 2" xfId="27028"/>
    <cellStyle name="20% - Accent2 3 2 2 2 2 3 2 2 2 2" xfId="46782"/>
    <cellStyle name="20% - Accent2 3 2 2 2 2 3 2 2 3" xfId="37138"/>
    <cellStyle name="20% - Accent2 3 2 2 2 2 3 2 3" xfId="22218"/>
    <cellStyle name="20% - Accent2 3 2 2 2 2 3 2 3 2" xfId="41973"/>
    <cellStyle name="20% - Accent2 3 2 2 2 2 3 2 4" xfId="32329"/>
    <cellStyle name="20% - Accent2 3 2 2 2 2 3 3" xfId="17311"/>
    <cellStyle name="20% - Accent2 3 2 2 2 2 3 3 2" xfId="27027"/>
    <cellStyle name="20% - Accent2 3 2 2 2 2 3 3 2 2" xfId="46781"/>
    <cellStyle name="20% - Accent2 3 2 2 2 2 3 3 3" xfId="37137"/>
    <cellStyle name="20% - Accent2 3 2 2 2 2 3 4" xfId="22217"/>
    <cellStyle name="20% - Accent2 3 2 2 2 2 3 4 2" xfId="41972"/>
    <cellStyle name="20% - Accent2 3 2 2 2 2 3 5" xfId="32328"/>
    <cellStyle name="20% - Accent2 3 2 2 2 2 4" xfId="2013"/>
    <cellStyle name="20% - Accent2 3 2 2 2 2 4 2" xfId="17313"/>
    <cellStyle name="20% - Accent2 3 2 2 2 2 4 2 2" xfId="27029"/>
    <cellStyle name="20% - Accent2 3 2 2 2 2 4 2 2 2" xfId="46783"/>
    <cellStyle name="20% - Accent2 3 2 2 2 2 4 2 3" xfId="37139"/>
    <cellStyle name="20% - Accent2 3 2 2 2 2 4 3" xfId="22219"/>
    <cellStyle name="20% - Accent2 3 2 2 2 2 4 3 2" xfId="41974"/>
    <cellStyle name="20% - Accent2 3 2 2 2 2 4 4" xfId="32330"/>
    <cellStyle name="20% - Accent2 3 2 2 2 2 5" xfId="17306"/>
    <cellStyle name="20% - Accent2 3 2 2 2 2 5 2" xfId="27022"/>
    <cellStyle name="20% - Accent2 3 2 2 2 2 5 2 2" xfId="46776"/>
    <cellStyle name="20% - Accent2 3 2 2 2 2 5 3" xfId="37132"/>
    <cellStyle name="20% - Accent2 3 2 2 2 2 6" xfId="22212"/>
    <cellStyle name="20% - Accent2 3 2 2 2 2 6 2" xfId="41967"/>
    <cellStyle name="20% - Accent2 3 2 2 2 2 7" xfId="32323"/>
    <cellStyle name="20% - Accent2 3 2 2 2 3" xfId="2014"/>
    <cellStyle name="20% - Accent2 3 2 2 2 3 2" xfId="2015"/>
    <cellStyle name="20% - Accent2 3 2 2 2 3 2 2" xfId="2016"/>
    <cellStyle name="20% - Accent2 3 2 2 2 3 2 2 2" xfId="17316"/>
    <cellStyle name="20% - Accent2 3 2 2 2 3 2 2 2 2" xfId="27032"/>
    <cellStyle name="20% - Accent2 3 2 2 2 3 2 2 2 2 2" xfId="46786"/>
    <cellStyle name="20% - Accent2 3 2 2 2 3 2 2 2 3" xfId="37142"/>
    <cellStyle name="20% - Accent2 3 2 2 2 3 2 2 3" xfId="22222"/>
    <cellStyle name="20% - Accent2 3 2 2 2 3 2 2 3 2" xfId="41977"/>
    <cellStyle name="20% - Accent2 3 2 2 2 3 2 2 4" xfId="32333"/>
    <cellStyle name="20% - Accent2 3 2 2 2 3 2 3" xfId="17315"/>
    <cellStyle name="20% - Accent2 3 2 2 2 3 2 3 2" xfId="27031"/>
    <cellStyle name="20% - Accent2 3 2 2 2 3 2 3 2 2" xfId="46785"/>
    <cellStyle name="20% - Accent2 3 2 2 2 3 2 3 3" xfId="37141"/>
    <cellStyle name="20% - Accent2 3 2 2 2 3 2 4" xfId="22221"/>
    <cellStyle name="20% - Accent2 3 2 2 2 3 2 4 2" xfId="41976"/>
    <cellStyle name="20% - Accent2 3 2 2 2 3 2 5" xfId="32332"/>
    <cellStyle name="20% - Accent2 3 2 2 2 3 3" xfId="2017"/>
    <cellStyle name="20% - Accent2 3 2 2 2 3 3 2" xfId="17317"/>
    <cellStyle name="20% - Accent2 3 2 2 2 3 3 2 2" xfId="27033"/>
    <cellStyle name="20% - Accent2 3 2 2 2 3 3 2 2 2" xfId="46787"/>
    <cellStyle name="20% - Accent2 3 2 2 2 3 3 2 3" xfId="37143"/>
    <cellStyle name="20% - Accent2 3 2 2 2 3 3 3" xfId="22223"/>
    <cellStyle name="20% - Accent2 3 2 2 2 3 3 3 2" xfId="41978"/>
    <cellStyle name="20% - Accent2 3 2 2 2 3 3 4" xfId="32334"/>
    <cellStyle name="20% - Accent2 3 2 2 2 3 4" xfId="17314"/>
    <cellStyle name="20% - Accent2 3 2 2 2 3 4 2" xfId="27030"/>
    <cellStyle name="20% - Accent2 3 2 2 2 3 4 2 2" xfId="46784"/>
    <cellStyle name="20% - Accent2 3 2 2 2 3 4 3" xfId="37140"/>
    <cellStyle name="20% - Accent2 3 2 2 2 3 5" xfId="22220"/>
    <cellStyle name="20% - Accent2 3 2 2 2 3 5 2" xfId="41975"/>
    <cellStyle name="20% - Accent2 3 2 2 2 3 6" xfId="32331"/>
    <cellStyle name="20% - Accent2 3 2 2 2 4" xfId="2018"/>
    <cellStyle name="20% - Accent2 3 2 2 2 4 2" xfId="2019"/>
    <cellStyle name="20% - Accent2 3 2 2 2 4 2 2" xfId="17319"/>
    <cellStyle name="20% - Accent2 3 2 2 2 4 2 2 2" xfId="27035"/>
    <cellStyle name="20% - Accent2 3 2 2 2 4 2 2 2 2" xfId="46789"/>
    <cellStyle name="20% - Accent2 3 2 2 2 4 2 2 3" xfId="37145"/>
    <cellStyle name="20% - Accent2 3 2 2 2 4 2 3" xfId="22225"/>
    <cellStyle name="20% - Accent2 3 2 2 2 4 2 3 2" xfId="41980"/>
    <cellStyle name="20% - Accent2 3 2 2 2 4 2 4" xfId="32336"/>
    <cellStyle name="20% - Accent2 3 2 2 2 4 3" xfId="17318"/>
    <cellStyle name="20% - Accent2 3 2 2 2 4 3 2" xfId="27034"/>
    <cellStyle name="20% - Accent2 3 2 2 2 4 3 2 2" xfId="46788"/>
    <cellStyle name="20% - Accent2 3 2 2 2 4 3 3" xfId="37144"/>
    <cellStyle name="20% - Accent2 3 2 2 2 4 4" xfId="22224"/>
    <cellStyle name="20% - Accent2 3 2 2 2 4 4 2" xfId="41979"/>
    <cellStyle name="20% - Accent2 3 2 2 2 4 5" xfId="32335"/>
    <cellStyle name="20% - Accent2 3 2 2 2 5" xfId="2020"/>
    <cellStyle name="20% - Accent2 3 2 2 2 5 2" xfId="17320"/>
    <cellStyle name="20% - Accent2 3 2 2 2 5 2 2" xfId="27036"/>
    <cellStyle name="20% - Accent2 3 2 2 2 5 2 2 2" xfId="46790"/>
    <cellStyle name="20% - Accent2 3 2 2 2 5 2 3" xfId="37146"/>
    <cellStyle name="20% - Accent2 3 2 2 2 5 3" xfId="22226"/>
    <cellStyle name="20% - Accent2 3 2 2 2 5 3 2" xfId="41981"/>
    <cellStyle name="20% - Accent2 3 2 2 2 5 4" xfId="32337"/>
    <cellStyle name="20% - Accent2 3 2 2 2 6" xfId="2021"/>
    <cellStyle name="20% - Accent2 3 2 2 2 6 2" xfId="17321"/>
    <cellStyle name="20% - Accent2 3 2 2 2 6 2 2" xfId="27037"/>
    <cellStyle name="20% - Accent2 3 2 2 2 6 2 2 2" xfId="46791"/>
    <cellStyle name="20% - Accent2 3 2 2 2 6 2 3" xfId="37147"/>
    <cellStyle name="20% - Accent2 3 2 2 2 6 3" xfId="22227"/>
    <cellStyle name="20% - Accent2 3 2 2 2 6 3 2" xfId="41982"/>
    <cellStyle name="20% - Accent2 3 2 2 2 6 4" xfId="32338"/>
    <cellStyle name="20% - Accent2 3 2 2 2 7" xfId="2022"/>
    <cellStyle name="20% - Accent2 3 2 2 2 7 2" xfId="17322"/>
    <cellStyle name="20% - Accent2 3 2 2 2 7 2 2" xfId="27038"/>
    <cellStyle name="20% - Accent2 3 2 2 2 7 2 2 2" xfId="46792"/>
    <cellStyle name="20% - Accent2 3 2 2 2 7 2 3" xfId="37148"/>
    <cellStyle name="20% - Accent2 3 2 2 2 7 3" xfId="22228"/>
    <cellStyle name="20% - Accent2 3 2 2 2 7 3 2" xfId="41983"/>
    <cellStyle name="20% - Accent2 3 2 2 2 7 4" xfId="32339"/>
    <cellStyle name="20% - Accent2 3 2 2 2 8" xfId="17305"/>
    <cellStyle name="20% - Accent2 3 2 2 2 8 2" xfId="27021"/>
    <cellStyle name="20% - Accent2 3 2 2 2 8 2 2" xfId="46775"/>
    <cellStyle name="20% - Accent2 3 2 2 2 8 3" xfId="37131"/>
    <cellStyle name="20% - Accent2 3 2 2 2 9" xfId="22211"/>
    <cellStyle name="20% - Accent2 3 2 2 2 9 2" xfId="41966"/>
    <cellStyle name="20% - Accent2 3 2 2 3" xfId="2023"/>
    <cellStyle name="20% - Accent2 3 2 2 3 2" xfId="2024"/>
    <cellStyle name="20% - Accent2 3 2 2 3 2 2" xfId="2025"/>
    <cellStyle name="20% - Accent2 3 2 2 3 2 2 2" xfId="2026"/>
    <cellStyle name="20% - Accent2 3 2 2 3 2 2 2 2" xfId="17326"/>
    <cellStyle name="20% - Accent2 3 2 2 3 2 2 2 2 2" xfId="27042"/>
    <cellStyle name="20% - Accent2 3 2 2 3 2 2 2 2 2 2" xfId="46796"/>
    <cellStyle name="20% - Accent2 3 2 2 3 2 2 2 2 3" xfId="37152"/>
    <cellStyle name="20% - Accent2 3 2 2 3 2 2 2 3" xfId="22232"/>
    <cellStyle name="20% - Accent2 3 2 2 3 2 2 2 3 2" xfId="41987"/>
    <cellStyle name="20% - Accent2 3 2 2 3 2 2 2 4" xfId="32343"/>
    <cellStyle name="20% - Accent2 3 2 2 3 2 2 3" xfId="17325"/>
    <cellStyle name="20% - Accent2 3 2 2 3 2 2 3 2" xfId="27041"/>
    <cellStyle name="20% - Accent2 3 2 2 3 2 2 3 2 2" xfId="46795"/>
    <cellStyle name="20% - Accent2 3 2 2 3 2 2 3 3" xfId="37151"/>
    <cellStyle name="20% - Accent2 3 2 2 3 2 2 4" xfId="22231"/>
    <cellStyle name="20% - Accent2 3 2 2 3 2 2 4 2" xfId="41986"/>
    <cellStyle name="20% - Accent2 3 2 2 3 2 2 5" xfId="32342"/>
    <cellStyle name="20% - Accent2 3 2 2 3 2 3" xfId="2027"/>
    <cellStyle name="20% - Accent2 3 2 2 3 2 3 2" xfId="17327"/>
    <cellStyle name="20% - Accent2 3 2 2 3 2 3 2 2" xfId="27043"/>
    <cellStyle name="20% - Accent2 3 2 2 3 2 3 2 2 2" xfId="46797"/>
    <cellStyle name="20% - Accent2 3 2 2 3 2 3 2 3" xfId="37153"/>
    <cellStyle name="20% - Accent2 3 2 2 3 2 3 3" xfId="22233"/>
    <cellStyle name="20% - Accent2 3 2 2 3 2 3 3 2" xfId="41988"/>
    <cellStyle name="20% - Accent2 3 2 2 3 2 3 4" xfId="32344"/>
    <cellStyle name="20% - Accent2 3 2 2 3 2 4" xfId="17324"/>
    <cellStyle name="20% - Accent2 3 2 2 3 2 4 2" xfId="27040"/>
    <cellStyle name="20% - Accent2 3 2 2 3 2 4 2 2" xfId="46794"/>
    <cellStyle name="20% - Accent2 3 2 2 3 2 4 3" xfId="37150"/>
    <cellStyle name="20% - Accent2 3 2 2 3 2 5" xfId="22230"/>
    <cellStyle name="20% - Accent2 3 2 2 3 2 5 2" xfId="41985"/>
    <cellStyle name="20% - Accent2 3 2 2 3 2 6" xfId="32341"/>
    <cellStyle name="20% - Accent2 3 2 2 3 3" xfId="2028"/>
    <cellStyle name="20% - Accent2 3 2 2 3 3 2" xfId="2029"/>
    <cellStyle name="20% - Accent2 3 2 2 3 3 2 2" xfId="17329"/>
    <cellStyle name="20% - Accent2 3 2 2 3 3 2 2 2" xfId="27045"/>
    <cellStyle name="20% - Accent2 3 2 2 3 3 2 2 2 2" xfId="46799"/>
    <cellStyle name="20% - Accent2 3 2 2 3 3 2 2 3" xfId="37155"/>
    <cellStyle name="20% - Accent2 3 2 2 3 3 2 3" xfId="22235"/>
    <cellStyle name="20% - Accent2 3 2 2 3 3 2 3 2" xfId="41990"/>
    <cellStyle name="20% - Accent2 3 2 2 3 3 2 4" xfId="32346"/>
    <cellStyle name="20% - Accent2 3 2 2 3 3 3" xfId="17328"/>
    <cellStyle name="20% - Accent2 3 2 2 3 3 3 2" xfId="27044"/>
    <cellStyle name="20% - Accent2 3 2 2 3 3 3 2 2" xfId="46798"/>
    <cellStyle name="20% - Accent2 3 2 2 3 3 3 3" xfId="37154"/>
    <cellStyle name="20% - Accent2 3 2 2 3 3 4" xfId="22234"/>
    <cellStyle name="20% - Accent2 3 2 2 3 3 4 2" xfId="41989"/>
    <cellStyle name="20% - Accent2 3 2 2 3 3 5" xfId="32345"/>
    <cellStyle name="20% - Accent2 3 2 2 3 4" xfId="2030"/>
    <cellStyle name="20% - Accent2 3 2 2 3 4 2" xfId="17330"/>
    <cellStyle name="20% - Accent2 3 2 2 3 4 2 2" xfId="27046"/>
    <cellStyle name="20% - Accent2 3 2 2 3 4 2 2 2" xfId="46800"/>
    <cellStyle name="20% - Accent2 3 2 2 3 4 2 3" xfId="37156"/>
    <cellStyle name="20% - Accent2 3 2 2 3 4 3" xfId="22236"/>
    <cellStyle name="20% - Accent2 3 2 2 3 4 3 2" xfId="41991"/>
    <cellStyle name="20% - Accent2 3 2 2 3 4 4" xfId="32347"/>
    <cellStyle name="20% - Accent2 3 2 2 3 5" xfId="17323"/>
    <cellStyle name="20% - Accent2 3 2 2 3 5 2" xfId="27039"/>
    <cellStyle name="20% - Accent2 3 2 2 3 5 2 2" xfId="46793"/>
    <cellStyle name="20% - Accent2 3 2 2 3 5 3" xfId="37149"/>
    <cellStyle name="20% - Accent2 3 2 2 3 6" xfId="22229"/>
    <cellStyle name="20% - Accent2 3 2 2 3 6 2" xfId="41984"/>
    <cellStyle name="20% - Accent2 3 2 2 3 7" xfId="32340"/>
    <cellStyle name="20% - Accent2 3 2 2 4" xfId="2031"/>
    <cellStyle name="20% - Accent2 3 2 2 4 2" xfId="2032"/>
    <cellStyle name="20% - Accent2 3 2 2 4 2 2" xfId="2033"/>
    <cellStyle name="20% - Accent2 3 2 2 4 2 2 2" xfId="2034"/>
    <cellStyle name="20% - Accent2 3 2 2 4 2 2 2 2" xfId="17334"/>
    <cellStyle name="20% - Accent2 3 2 2 4 2 2 2 2 2" xfId="27050"/>
    <cellStyle name="20% - Accent2 3 2 2 4 2 2 2 2 2 2" xfId="46804"/>
    <cellStyle name="20% - Accent2 3 2 2 4 2 2 2 2 3" xfId="37160"/>
    <cellStyle name="20% - Accent2 3 2 2 4 2 2 2 3" xfId="22240"/>
    <cellStyle name="20% - Accent2 3 2 2 4 2 2 2 3 2" xfId="41995"/>
    <cellStyle name="20% - Accent2 3 2 2 4 2 2 2 4" xfId="32351"/>
    <cellStyle name="20% - Accent2 3 2 2 4 2 2 3" xfId="17333"/>
    <cellStyle name="20% - Accent2 3 2 2 4 2 2 3 2" xfId="27049"/>
    <cellStyle name="20% - Accent2 3 2 2 4 2 2 3 2 2" xfId="46803"/>
    <cellStyle name="20% - Accent2 3 2 2 4 2 2 3 3" xfId="37159"/>
    <cellStyle name="20% - Accent2 3 2 2 4 2 2 4" xfId="22239"/>
    <cellStyle name="20% - Accent2 3 2 2 4 2 2 4 2" xfId="41994"/>
    <cellStyle name="20% - Accent2 3 2 2 4 2 2 5" xfId="32350"/>
    <cellStyle name="20% - Accent2 3 2 2 4 2 3" xfId="2035"/>
    <cellStyle name="20% - Accent2 3 2 2 4 2 3 2" xfId="17335"/>
    <cellStyle name="20% - Accent2 3 2 2 4 2 3 2 2" xfId="27051"/>
    <cellStyle name="20% - Accent2 3 2 2 4 2 3 2 2 2" xfId="46805"/>
    <cellStyle name="20% - Accent2 3 2 2 4 2 3 2 3" xfId="37161"/>
    <cellStyle name="20% - Accent2 3 2 2 4 2 3 3" xfId="22241"/>
    <cellStyle name="20% - Accent2 3 2 2 4 2 3 3 2" xfId="41996"/>
    <cellStyle name="20% - Accent2 3 2 2 4 2 3 4" xfId="32352"/>
    <cellStyle name="20% - Accent2 3 2 2 4 2 4" xfId="17332"/>
    <cellStyle name="20% - Accent2 3 2 2 4 2 4 2" xfId="27048"/>
    <cellStyle name="20% - Accent2 3 2 2 4 2 4 2 2" xfId="46802"/>
    <cellStyle name="20% - Accent2 3 2 2 4 2 4 3" xfId="37158"/>
    <cellStyle name="20% - Accent2 3 2 2 4 2 5" xfId="22238"/>
    <cellStyle name="20% - Accent2 3 2 2 4 2 5 2" xfId="41993"/>
    <cellStyle name="20% - Accent2 3 2 2 4 2 6" xfId="32349"/>
    <cellStyle name="20% - Accent2 3 2 2 4 3" xfId="2036"/>
    <cellStyle name="20% - Accent2 3 2 2 4 3 2" xfId="2037"/>
    <cellStyle name="20% - Accent2 3 2 2 4 3 2 2" xfId="17337"/>
    <cellStyle name="20% - Accent2 3 2 2 4 3 2 2 2" xfId="27053"/>
    <cellStyle name="20% - Accent2 3 2 2 4 3 2 2 2 2" xfId="46807"/>
    <cellStyle name="20% - Accent2 3 2 2 4 3 2 2 3" xfId="37163"/>
    <cellStyle name="20% - Accent2 3 2 2 4 3 2 3" xfId="22243"/>
    <cellStyle name="20% - Accent2 3 2 2 4 3 2 3 2" xfId="41998"/>
    <cellStyle name="20% - Accent2 3 2 2 4 3 2 4" xfId="32354"/>
    <cellStyle name="20% - Accent2 3 2 2 4 3 3" xfId="17336"/>
    <cellStyle name="20% - Accent2 3 2 2 4 3 3 2" xfId="27052"/>
    <cellStyle name="20% - Accent2 3 2 2 4 3 3 2 2" xfId="46806"/>
    <cellStyle name="20% - Accent2 3 2 2 4 3 3 3" xfId="37162"/>
    <cellStyle name="20% - Accent2 3 2 2 4 3 4" xfId="22242"/>
    <cellStyle name="20% - Accent2 3 2 2 4 3 4 2" xfId="41997"/>
    <cellStyle name="20% - Accent2 3 2 2 4 3 5" xfId="32353"/>
    <cellStyle name="20% - Accent2 3 2 2 4 4" xfId="2038"/>
    <cellStyle name="20% - Accent2 3 2 2 4 4 2" xfId="17338"/>
    <cellStyle name="20% - Accent2 3 2 2 4 4 2 2" xfId="27054"/>
    <cellStyle name="20% - Accent2 3 2 2 4 4 2 2 2" xfId="46808"/>
    <cellStyle name="20% - Accent2 3 2 2 4 4 2 3" xfId="37164"/>
    <cellStyle name="20% - Accent2 3 2 2 4 4 3" xfId="22244"/>
    <cellStyle name="20% - Accent2 3 2 2 4 4 3 2" xfId="41999"/>
    <cellStyle name="20% - Accent2 3 2 2 4 4 4" xfId="32355"/>
    <cellStyle name="20% - Accent2 3 2 2 4 5" xfId="17331"/>
    <cellStyle name="20% - Accent2 3 2 2 4 5 2" xfId="27047"/>
    <cellStyle name="20% - Accent2 3 2 2 4 5 2 2" xfId="46801"/>
    <cellStyle name="20% - Accent2 3 2 2 4 5 3" xfId="37157"/>
    <cellStyle name="20% - Accent2 3 2 2 4 6" xfId="22237"/>
    <cellStyle name="20% - Accent2 3 2 2 4 6 2" xfId="41992"/>
    <cellStyle name="20% - Accent2 3 2 2 4 7" xfId="32348"/>
    <cellStyle name="20% - Accent2 3 2 2 5" xfId="2039"/>
    <cellStyle name="20% - Accent2 3 2 2 5 2" xfId="2040"/>
    <cellStyle name="20% - Accent2 3 2 2 5 2 2" xfId="2041"/>
    <cellStyle name="20% - Accent2 3 2 2 5 2 2 2" xfId="17341"/>
    <cellStyle name="20% - Accent2 3 2 2 5 2 2 2 2" xfId="27057"/>
    <cellStyle name="20% - Accent2 3 2 2 5 2 2 2 2 2" xfId="46811"/>
    <cellStyle name="20% - Accent2 3 2 2 5 2 2 2 3" xfId="37167"/>
    <cellStyle name="20% - Accent2 3 2 2 5 2 2 3" xfId="22247"/>
    <cellStyle name="20% - Accent2 3 2 2 5 2 2 3 2" xfId="42002"/>
    <cellStyle name="20% - Accent2 3 2 2 5 2 2 4" xfId="32358"/>
    <cellStyle name="20% - Accent2 3 2 2 5 2 3" xfId="17340"/>
    <cellStyle name="20% - Accent2 3 2 2 5 2 3 2" xfId="27056"/>
    <cellStyle name="20% - Accent2 3 2 2 5 2 3 2 2" xfId="46810"/>
    <cellStyle name="20% - Accent2 3 2 2 5 2 3 3" xfId="37166"/>
    <cellStyle name="20% - Accent2 3 2 2 5 2 4" xfId="22246"/>
    <cellStyle name="20% - Accent2 3 2 2 5 2 4 2" xfId="42001"/>
    <cellStyle name="20% - Accent2 3 2 2 5 2 5" xfId="32357"/>
    <cellStyle name="20% - Accent2 3 2 2 5 3" xfId="2042"/>
    <cellStyle name="20% - Accent2 3 2 2 5 3 2" xfId="17342"/>
    <cellStyle name="20% - Accent2 3 2 2 5 3 2 2" xfId="27058"/>
    <cellStyle name="20% - Accent2 3 2 2 5 3 2 2 2" xfId="46812"/>
    <cellStyle name="20% - Accent2 3 2 2 5 3 2 3" xfId="37168"/>
    <cellStyle name="20% - Accent2 3 2 2 5 3 3" xfId="22248"/>
    <cellStyle name="20% - Accent2 3 2 2 5 3 3 2" xfId="42003"/>
    <cellStyle name="20% - Accent2 3 2 2 5 3 4" xfId="32359"/>
    <cellStyle name="20% - Accent2 3 2 2 5 4" xfId="17339"/>
    <cellStyle name="20% - Accent2 3 2 2 5 4 2" xfId="27055"/>
    <cellStyle name="20% - Accent2 3 2 2 5 4 2 2" xfId="46809"/>
    <cellStyle name="20% - Accent2 3 2 2 5 4 3" xfId="37165"/>
    <cellStyle name="20% - Accent2 3 2 2 5 5" xfId="22245"/>
    <cellStyle name="20% - Accent2 3 2 2 5 5 2" xfId="42000"/>
    <cellStyle name="20% - Accent2 3 2 2 5 6" xfId="32356"/>
    <cellStyle name="20% - Accent2 3 2 2 6" xfId="2043"/>
    <cellStyle name="20% - Accent2 3 2 2 6 2" xfId="2044"/>
    <cellStyle name="20% - Accent2 3 2 2 6 2 2" xfId="17344"/>
    <cellStyle name="20% - Accent2 3 2 2 6 2 2 2" xfId="27060"/>
    <cellStyle name="20% - Accent2 3 2 2 6 2 2 2 2" xfId="46814"/>
    <cellStyle name="20% - Accent2 3 2 2 6 2 2 3" xfId="37170"/>
    <cellStyle name="20% - Accent2 3 2 2 6 2 3" xfId="22250"/>
    <cellStyle name="20% - Accent2 3 2 2 6 2 3 2" xfId="42005"/>
    <cellStyle name="20% - Accent2 3 2 2 6 2 4" xfId="32361"/>
    <cellStyle name="20% - Accent2 3 2 2 6 3" xfId="17343"/>
    <cellStyle name="20% - Accent2 3 2 2 6 3 2" xfId="27059"/>
    <cellStyle name="20% - Accent2 3 2 2 6 3 2 2" xfId="46813"/>
    <cellStyle name="20% - Accent2 3 2 2 6 3 3" xfId="37169"/>
    <cellStyle name="20% - Accent2 3 2 2 6 4" xfId="22249"/>
    <cellStyle name="20% - Accent2 3 2 2 6 4 2" xfId="42004"/>
    <cellStyle name="20% - Accent2 3 2 2 6 5" xfId="32360"/>
    <cellStyle name="20% - Accent2 3 2 2 7" xfId="2045"/>
    <cellStyle name="20% - Accent2 3 2 2 7 2" xfId="2046"/>
    <cellStyle name="20% - Accent2 3 2 2 7 2 2" xfId="17346"/>
    <cellStyle name="20% - Accent2 3 2 2 7 2 2 2" xfId="27062"/>
    <cellStyle name="20% - Accent2 3 2 2 7 2 2 2 2" xfId="46816"/>
    <cellStyle name="20% - Accent2 3 2 2 7 2 2 3" xfId="37172"/>
    <cellStyle name="20% - Accent2 3 2 2 7 2 3" xfId="22252"/>
    <cellStyle name="20% - Accent2 3 2 2 7 2 3 2" xfId="42007"/>
    <cellStyle name="20% - Accent2 3 2 2 7 2 4" xfId="32363"/>
    <cellStyle name="20% - Accent2 3 2 2 7 3" xfId="17345"/>
    <cellStyle name="20% - Accent2 3 2 2 7 3 2" xfId="27061"/>
    <cellStyle name="20% - Accent2 3 2 2 7 3 2 2" xfId="46815"/>
    <cellStyle name="20% - Accent2 3 2 2 7 3 3" xfId="37171"/>
    <cellStyle name="20% - Accent2 3 2 2 7 4" xfId="22251"/>
    <cellStyle name="20% - Accent2 3 2 2 7 4 2" xfId="42006"/>
    <cellStyle name="20% - Accent2 3 2 2 7 5" xfId="32362"/>
    <cellStyle name="20% - Accent2 3 2 2 8" xfId="2047"/>
    <cellStyle name="20% - Accent2 3 2 2 8 2" xfId="17347"/>
    <cellStyle name="20% - Accent2 3 2 2 8 2 2" xfId="27063"/>
    <cellStyle name="20% - Accent2 3 2 2 8 2 2 2" xfId="46817"/>
    <cellStyle name="20% - Accent2 3 2 2 8 2 3" xfId="37173"/>
    <cellStyle name="20% - Accent2 3 2 2 8 3" xfId="22253"/>
    <cellStyle name="20% - Accent2 3 2 2 8 3 2" xfId="42008"/>
    <cellStyle name="20% - Accent2 3 2 2 8 4" xfId="32364"/>
    <cellStyle name="20% - Accent2 3 2 2 9" xfId="2048"/>
    <cellStyle name="20% - Accent2 3 2 2 9 2" xfId="17348"/>
    <cellStyle name="20% - Accent2 3 2 2 9 2 2" xfId="27064"/>
    <cellStyle name="20% - Accent2 3 2 2 9 2 2 2" xfId="46818"/>
    <cellStyle name="20% - Accent2 3 2 2 9 2 3" xfId="37174"/>
    <cellStyle name="20% - Accent2 3 2 2 9 3" xfId="22254"/>
    <cellStyle name="20% - Accent2 3 2 2 9 3 2" xfId="42009"/>
    <cellStyle name="20% - Accent2 3 2 2 9 4" xfId="32365"/>
    <cellStyle name="20% - Accent2 3 2 3" xfId="2049"/>
    <cellStyle name="20% - Accent2 3 2 3 10" xfId="32366"/>
    <cellStyle name="20% - Accent2 3 2 3 2" xfId="2050"/>
    <cellStyle name="20% - Accent2 3 2 3 2 2" xfId="2051"/>
    <cellStyle name="20% - Accent2 3 2 3 2 2 2" xfId="2052"/>
    <cellStyle name="20% - Accent2 3 2 3 2 2 2 2" xfId="2053"/>
    <cellStyle name="20% - Accent2 3 2 3 2 2 2 2 2" xfId="17353"/>
    <cellStyle name="20% - Accent2 3 2 3 2 2 2 2 2 2" xfId="27069"/>
    <cellStyle name="20% - Accent2 3 2 3 2 2 2 2 2 2 2" xfId="46823"/>
    <cellStyle name="20% - Accent2 3 2 3 2 2 2 2 2 3" xfId="37179"/>
    <cellStyle name="20% - Accent2 3 2 3 2 2 2 2 3" xfId="22259"/>
    <cellStyle name="20% - Accent2 3 2 3 2 2 2 2 3 2" xfId="42014"/>
    <cellStyle name="20% - Accent2 3 2 3 2 2 2 2 4" xfId="32370"/>
    <cellStyle name="20% - Accent2 3 2 3 2 2 2 3" xfId="17352"/>
    <cellStyle name="20% - Accent2 3 2 3 2 2 2 3 2" xfId="27068"/>
    <cellStyle name="20% - Accent2 3 2 3 2 2 2 3 2 2" xfId="46822"/>
    <cellStyle name="20% - Accent2 3 2 3 2 2 2 3 3" xfId="37178"/>
    <cellStyle name="20% - Accent2 3 2 3 2 2 2 4" xfId="22258"/>
    <cellStyle name="20% - Accent2 3 2 3 2 2 2 4 2" xfId="42013"/>
    <cellStyle name="20% - Accent2 3 2 3 2 2 2 5" xfId="32369"/>
    <cellStyle name="20% - Accent2 3 2 3 2 2 3" xfId="2054"/>
    <cellStyle name="20% - Accent2 3 2 3 2 2 3 2" xfId="17354"/>
    <cellStyle name="20% - Accent2 3 2 3 2 2 3 2 2" xfId="27070"/>
    <cellStyle name="20% - Accent2 3 2 3 2 2 3 2 2 2" xfId="46824"/>
    <cellStyle name="20% - Accent2 3 2 3 2 2 3 2 3" xfId="37180"/>
    <cellStyle name="20% - Accent2 3 2 3 2 2 3 3" xfId="22260"/>
    <cellStyle name="20% - Accent2 3 2 3 2 2 3 3 2" xfId="42015"/>
    <cellStyle name="20% - Accent2 3 2 3 2 2 3 4" xfId="32371"/>
    <cellStyle name="20% - Accent2 3 2 3 2 2 4" xfId="17351"/>
    <cellStyle name="20% - Accent2 3 2 3 2 2 4 2" xfId="27067"/>
    <cellStyle name="20% - Accent2 3 2 3 2 2 4 2 2" xfId="46821"/>
    <cellStyle name="20% - Accent2 3 2 3 2 2 4 3" xfId="37177"/>
    <cellStyle name="20% - Accent2 3 2 3 2 2 5" xfId="22257"/>
    <cellStyle name="20% - Accent2 3 2 3 2 2 5 2" xfId="42012"/>
    <cellStyle name="20% - Accent2 3 2 3 2 2 6" xfId="32368"/>
    <cellStyle name="20% - Accent2 3 2 3 2 3" xfId="2055"/>
    <cellStyle name="20% - Accent2 3 2 3 2 3 2" xfId="2056"/>
    <cellStyle name="20% - Accent2 3 2 3 2 3 2 2" xfId="17356"/>
    <cellStyle name="20% - Accent2 3 2 3 2 3 2 2 2" xfId="27072"/>
    <cellStyle name="20% - Accent2 3 2 3 2 3 2 2 2 2" xfId="46826"/>
    <cellStyle name="20% - Accent2 3 2 3 2 3 2 2 3" xfId="37182"/>
    <cellStyle name="20% - Accent2 3 2 3 2 3 2 3" xfId="22262"/>
    <cellStyle name="20% - Accent2 3 2 3 2 3 2 3 2" xfId="42017"/>
    <cellStyle name="20% - Accent2 3 2 3 2 3 2 4" xfId="32373"/>
    <cellStyle name="20% - Accent2 3 2 3 2 3 3" xfId="17355"/>
    <cellStyle name="20% - Accent2 3 2 3 2 3 3 2" xfId="27071"/>
    <cellStyle name="20% - Accent2 3 2 3 2 3 3 2 2" xfId="46825"/>
    <cellStyle name="20% - Accent2 3 2 3 2 3 3 3" xfId="37181"/>
    <cellStyle name="20% - Accent2 3 2 3 2 3 4" xfId="22261"/>
    <cellStyle name="20% - Accent2 3 2 3 2 3 4 2" xfId="42016"/>
    <cellStyle name="20% - Accent2 3 2 3 2 3 5" xfId="32372"/>
    <cellStyle name="20% - Accent2 3 2 3 2 4" xfId="2057"/>
    <cellStyle name="20% - Accent2 3 2 3 2 4 2" xfId="17357"/>
    <cellStyle name="20% - Accent2 3 2 3 2 4 2 2" xfId="27073"/>
    <cellStyle name="20% - Accent2 3 2 3 2 4 2 2 2" xfId="46827"/>
    <cellStyle name="20% - Accent2 3 2 3 2 4 2 3" xfId="37183"/>
    <cellStyle name="20% - Accent2 3 2 3 2 4 3" xfId="22263"/>
    <cellStyle name="20% - Accent2 3 2 3 2 4 3 2" xfId="42018"/>
    <cellStyle name="20% - Accent2 3 2 3 2 4 4" xfId="32374"/>
    <cellStyle name="20% - Accent2 3 2 3 2 5" xfId="17350"/>
    <cellStyle name="20% - Accent2 3 2 3 2 5 2" xfId="27066"/>
    <cellStyle name="20% - Accent2 3 2 3 2 5 2 2" xfId="46820"/>
    <cellStyle name="20% - Accent2 3 2 3 2 5 3" xfId="37176"/>
    <cellStyle name="20% - Accent2 3 2 3 2 6" xfId="22256"/>
    <cellStyle name="20% - Accent2 3 2 3 2 6 2" xfId="42011"/>
    <cellStyle name="20% - Accent2 3 2 3 2 7" xfId="32367"/>
    <cellStyle name="20% - Accent2 3 2 3 3" xfId="2058"/>
    <cellStyle name="20% - Accent2 3 2 3 3 2" xfId="2059"/>
    <cellStyle name="20% - Accent2 3 2 3 3 2 2" xfId="2060"/>
    <cellStyle name="20% - Accent2 3 2 3 3 2 2 2" xfId="17360"/>
    <cellStyle name="20% - Accent2 3 2 3 3 2 2 2 2" xfId="27076"/>
    <cellStyle name="20% - Accent2 3 2 3 3 2 2 2 2 2" xfId="46830"/>
    <cellStyle name="20% - Accent2 3 2 3 3 2 2 2 3" xfId="37186"/>
    <cellStyle name="20% - Accent2 3 2 3 3 2 2 3" xfId="22266"/>
    <cellStyle name="20% - Accent2 3 2 3 3 2 2 3 2" xfId="42021"/>
    <cellStyle name="20% - Accent2 3 2 3 3 2 2 4" xfId="32377"/>
    <cellStyle name="20% - Accent2 3 2 3 3 2 3" xfId="17359"/>
    <cellStyle name="20% - Accent2 3 2 3 3 2 3 2" xfId="27075"/>
    <cellStyle name="20% - Accent2 3 2 3 3 2 3 2 2" xfId="46829"/>
    <cellStyle name="20% - Accent2 3 2 3 3 2 3 3" xfId="37185"/>
    <cellStyle name="20% - Accent2 3 2 3 3 2 4" xfId="22265"/>
    <cellStyle name="20% - Accent2 3 2 3 3 2 4 2" xfId="42020"/>
    <cellStyle name="20% - Accent2 3 2 3 3 2 5" xfId="32376"/>
    <cellStyle name="20% - Accent2 3 2 3 3 3" xfId="2061"/>
    <cellStyle name="20% - Accent2 3 2 3 3 3 2" xfId="17361"/>
    <cellStyle name="20% - Accent2 3 2 3 3 3 2 2" xfId="27077"/>
    <cellStyle name="20% - Accent2 3 2 3 3 3 2 2 2" xfId="46831"/>
    <cellStyle name="20% - Accent2 3 2 3 3 3 2 3" xfId="37187"/>
    <cellStyle name="20% - Accent2 3 2 3 3 3 3" xfId="22267"/>
    <cellStyle name="20% - Accent2 3 2 3 3 3 3 2" xfId="42022"/>
    <cellStyle name="20% - Accent2 3 2 3 3 3 4" xfId="32378"/>
    <cellStyle name="20% - Accent2 3 2 3 3 4" xfId="17358"/>
    <cellStyle name="20% - Accent2 3 2 3 3 4 2" xfId="27074"/>
    <cellStyle name="20% - Accent2 3 2 3 3 4 2 2" xfId="46828"/>
    <cellStyle name="20% - Accent2 3 2 3 3 4 3" xfId="37184"/>
    <cellStyle name="20% - Accent2 3 2 3 3 5" xfId="22264"/>
    <cellStyle name="20% - Accent2 3 2 3 3 5 2" xfId="42019"/>
    <cellStyle name="20% - Accent2 3 2 3 3 6" xfId="32375"/>
    <cellStyle name="20% - Accent2 3 2 3 4" xfId="2062"/>
    <cellStyle name="20% - Accent2 3 2 3 4 2" xfId="2063"/>
    <cellStyle name="20% - Accent2 3 2 3 4 2 2" xfId="17363"/>
    <cellStyle name="20% - Accent2 3 2 3 4 2 2 2" xfId="27079"/>
    <cellStyle name="20% - Accent2 3 2 3 4 2 2 2 2" xfId="46833"/>
    <cellStyle name="20% - Accent2 3 2 3 4 2 2 3" xfId="37189"/>
    <cellStyle name="20% - Accent2 3 2 3 4 2 3" xfId="22269"/>
    <cellStyle name="20% - Accent2 3 2 3 4 2 3 2" xfId="42024"/>
    <cellStyle name="20% - Accent2 3 2 3 4 2 4" xfId="32380"/>
    <cellStyle name="20% - Accent2 3 2 3 4 3" xfId="17362"/>
    <cellStyle name="20% - Accent2 3 2 3 4 3 2" xfId="27078"/>
    <cellStyle name="20% - Accent2 3 2 3 4 3 2 2" xfId="46832"/>
    <cellStyle name="20% - Accent2 3 2 3 4 3 3" xfId="37188"/>
    <cellStyle name="20% - Accent2 3 2 3 4 4" xfId="22268"/>
    <cellStyle name="20% - Accent2 3 2 3 4 4 2" xfId="42023"/>
    <cellStyle name="20% - Accent2 3 2 3 4 5" xfId="32379"/>
    <cellStyle name="20% - Accent2 3 2 3 5" xfId="2064"/>
    <cellStyle name="20% - Accent2 3 2 3 5 2" xfId="17364"/>
    <cellStyle name="20% - Accent2 3 2 3 5 2 2" xfId="27080"/>
    <cellStyle name="20% - Accent2 3 2 3 5 2 2 2" xfId="46834"/>
    <cellStyle name="20% - Accent2 3 2 3 5 2 3" xfId="37190"/>
    <cellStyle name="20% - Accent2 3 2 3 5 3" xfId="22270"/>
    <cellStyle name="20% - Accent2 3 2 3 5 3 2" xfId="42025"/>
    <cellStyle name="20% - Accent2 3 2 3 5 4" xfId="32381"/>
    <cellStyle name="20% - Accent2 3 2 3 6" xfId="2065"/>
    <cellStyle name="20% - Accent2 3 2 3 6 2" xfId="17365"/>
    <cellStyle name="20% - Accent2 3 2 3 6 2 2" xfId="27081"/>
    <cellStyle name="20% - Accent2 3 2 3 6 2 2 2" xfId="46835"/>
    <cellStyle name="20% - Accent2 3 2 3 6 2 3" xfId="37191"/>
    <cellStyle name="20% - Accent2 3 2 3 6 3" xfId="22271"/>
    <cellStyle name="20% - Accent2 3 2 3 6 3 2" xfId="42026"/>
    <cellStyle name="20% - Accent2 3 2 3 6 4" xfId="32382"/>
    <cellStyle name="20% - Accent2 3 2 3 7" xfId="2066"/>
    <cellStyle name="20% - Accent2 3 2 3 7 2" xfId="17366"/>
    <cellStyle name="20% - Accent2 3 2 3 7 2 2" xfId="27082"/>
    <cellStyle name="20% - Accent2 3 2 3 7 2 2 2" xfId="46836"/>
    <cellStyle name="20% - Accent2 3 2 3 7 2 3" xfId="37192"/>
    <cellStyle name="20% - Accent2 3 2 3 7 3" xfId="22272"/>
    <cellStyle name="20% - Accent2 3 2 3 7 3 2" xfId="42027"/>
    <cellStyle name="20% - Accent2 3 2 3 7 4" xfId="32383"/>
    <cellStyle name="20% - Accent2 3 2 3 8" xfId="17349"/>
    <cellStyle name="20% - Accent2 3 2 3 8 2" xfId="27065"/>
    <cellStyle name="20% - Accent2 3 2 3 8 2 2" xfId="46819"/>
    <cellStyle name="20% - Accent2 3 2 3 8 3" xfId="37175"/>
    <cellStyle name="20% - Accent2 3 2 3 9" xfId="22255"/>
    <cellStyle name="20% - Accent2 3 2 3 9 2" xfId="42010"/>
    <cellStyle name="20% - Accent2 3 2 4" xfId="2067"/>
    <cellStyle name="20% - Accent2 3 2 4 2" xfId="2068"/>
    <cellStyle name="20% - Accent2 3 2 4 2 2" xfId="2069"/>
    <cellStyle name="20% - Accent2 3 2 4 2 2 2" xfId="2070"/>
    <cellStyle name="20% - Accent2 3 2 4 2 2 2 2" xfId="17370"/>
    <cellStyle name="20% - Accent2 3 2 4 2 2 2 2 2" xfId="27086"/>
    <cellStyle name="20% - Accent2 3 2 4 2 2 2 2 2 2" xfId="46840"/>
    <cellStyle name="20% - Accent2 3 2 4 2 2 2 2 3" xfId="37196"/>
    <cellStyle name="20% - Accent2 3 2 4 2 2 2 3" xfId="22276"/>
    <cellStyle name="20% - Accent2 3 2 4 2 2 2 3 2" xfId="42031"/>
    <cellStyle name="20% - Accent2 3 2 4 2 2 2 4" xfId="32387"/>
    <cellStyle name="20% - Accent2 3 2 4 2 2 3" xfId="17369"/>
    <cellStyle name="20% - Accent2 3 2 4 2 2 3 2" xfId="27085"/>
    <cellStyle name="20% - Accent2 3 2 4 2 2 3 2 2" xfId="46839"/>
    <cellStyle name="20% - Accent2 3 2 4 2 2 3 3" xfId="37195"/>
    <cellStyle name="20% - Accent2 3 2 4 2 2 4" xfId="22275"/>
    <cellStyle name="20% - Accent2 3 2 4 2 2 4 2" xfId="42030"/>
    <cellStyle name="20% - Accent2 3 2 4 2 2 5" xfId="32386"/>
    <cellStyle name="20% - Accent2 3 2 4 2 3" xfId="2071"/>
    <cellStyle name="20% - Accent2 3 2 4 2 3 2" xfId="17371"/>
    <cellStyle name="20% - Accent2 3 2 4 2 3 2 2" xfId="27087"/>
    <cellStyle name="20% - Accent2 3 2 4 2 3 2 2 2" xfId="46841"/>
    <cellStyle name="20% - Accent2 3 2 4 2 3 2 3" xfId="37197"/>
    <cellStyle name="20% - Accent2 3 2 4 2 3 3" xfId="22277"/>
    <cellStyle name="20% - Accent2 3 2 4 2 3 3 2" xfId="42032"/>
    <cellStyle name="20% - Accent2 3 2 4 2 3 4" xfId="32388"/>
    <cellStyle name="20% - Accent2 3 2 4 2 4" xfId="17368"/>
    <cellStyle name="20% - Accent2 3 2 4 2 4 2" xfId="27084"/>
    <cellStyle name="20% - Accent2 3 2 4 2 4 2 2" xfId="46838"/>
    <cellStyle name="20% - Accent2 3 2 4 2 4 3" xfId="37194"/>
    <cellStyle name="20% - Accent2 3 2 4 2 5" xfId="22274"/>
    <cellStyle name="20% - Accent2 3 2 4 2 5 2" xfId="42029"/>
    <cellStyle name="20% - Accent2 3 2 4 2 6" xfId="32385"/>
    <cellStyle name="20% - Accent2 3 2 4 3" xfId="2072"/>
    <cellStyle name="20% - Accent2 3 2 4 3 2" xfId="2073"/>
    <cellStyle name="20% - Accent2 3 2 4 3 2 2" xfId="17373"/>
    <cellStyle name="20% - Accent2 3 2 4 3 2 2 2" xfId="27089"/>
    <cellStyle name="20% - Accent2 3 2 4 3 2 2 2 2" xfId="46843"/>
    <cellStyle name="20% - Accent2 3 2 4 3 2 2 3" xfId="37199"/>
    <cellStyle name="20% - Accent2 3 2 4 3 2 3" xfId="22279"/>
    <cellStyle name="20% - Accent2 3 2 4 3 2 3 2" xfId="42034"/>
    <cellStyle name="20% - Accent2 3 2 4 3 2 4" xfId="32390"/>
    <cellStyle name="20% - Accent2 3 2 4 3 3" xfId="17372"/>
    <cellStyle name="20% - Accent2 3 2 4 3 3 2" xfId="27088"/>
    <cellStyle name="20% - Accent2 3 2 4 3 3 2 2" xfId="46842"/>
    <cellStyle name="20% - Accent2 3 2 4 3 3 3" xfId="37198"/>
    <cellStyle name="20% - Accent2 3 2 4 3 4" xfId="22278"/>
    <cellStyle name="20% - Accent2 3 2 4 3 4 2" xfId="42033"/>
    <cellStyle name="20% - Accent2 3 2 4 3 5" xfId="32389"/>
    <cellStyle name="20% - Accent2 3 2 4 4" xfId="2074"/>
    <cellStyle name="20% - Accent2 3 2 4 4 2" xfId="17374"/>
    <cellStyle name="20% - Accent2 3 2 4 4 2 2" xfId="27090"/>
    <cellStyle name="20% - Accent2 3 2 4 4 2 2 2" xfId="46844"/>
    <cellStyle name="20% - Accent2 3 2 4 4 2 3" xfId="37200"/>
    <cellStyle name="20% - Accent2 3 2 4 4 3" xfId="22280"/>
    <cellStyle name="20% - Accent2 3 2 4 4 3 2" xfId="42035"/>
    <cellStyle name="20% - Accent2 3 2 4 4 4" xfId="32391"/>
    <cellStyle name="20% - Accent2 3 2 4 5" xfId="17367"/>
    <cellStyle name="20% - Accent2 3 2 4 5 2" xfId="27083"/>
    <cellStyle name="20% - Accent2 3 2 4 5 2 2" xfId="46837"/>
    <cellStyle name="20% - Accent2 3 2 4 5 3" xfId="37193"/>
    <cellStyle name="20% - Accent2 3 2 4 6" xfId="22273"/>
    <cellStyle name="20% - Accent2 3 2 4 6 2" xfId="42028"/>
    <cellStyle name="20% - Accent2 3 2 4 7" xfId="32384"/>
    <cellStyle name="20% - Accent2 3 2 5" xfId="2075"/>
    <cellStyle name="20% - Accent2 3 2 5 2" xfId="2076"/>
    <cellStyle name="20% - Accent2 3 2 5 2 2" xfId="2077"/>
    <cellStyle name="20% - Accent2 3 2 5 2 2 2" xfId="2078"/>
    <cellStyle name="20% - Accent2 3 2 5 2 2 2 2" xfId="17378"/>
    <cellStyle name="20% - Accent2 3 2 5 2 2 2 2 2" xfId="27094"/>
    <cellStyle name="20% - Accent2 3 2 5 2 2 2 2 2 2" xfId="46848"/>
    <cellStyle name="20% - Accent2 3 2 5 2 2 2 2 3" xfId="37204"/>
    <cellStyle name="20% - Accent2 3 2 5 2 2 2 3" xfId="22284"/>
    <cellStyle name="20% - Accent2 3 2 5 2 2 2 3 2" xfId="42039"/>
    <cellStyle name="20% - Accent2 3 2 5 2 2 2 4" xfId="32395"/>
    <cellStyle name="20% - Accent2 3 2 5 2 2 3" xfId="17377"/>
    <cellStyle name="20% - Accent2 3 2 5 2 2 3 2" xfId="27093"/>
    <cellStyle name="20% - Accent2 3 2 5 2 2 3 2 2" xfId="46847"/>
    <cellStyle name="20% - Accent2 3 2 5 2 2 3 3" xfId="37203"/>
    <cellStyle name="20% - Accent2 3 2 5 2 2 4" xfId="22283"/>
    <cellStyle name="20% - Accent2 3 2 5 2 2 4 2" xfId="42038"/>
    <cellStyle name="20% - Accent2 3 2 5 2 2 5" xfId="32394"/>
    <cellStyle name="20% - Accent2 3 2 5 2 3" xfId="2079"/>
    <cellStyle name="20% - Accent2 3 2 5 2 3 2" xfId="17379"/>
    <cellStyle name="20% - Accent2 3 2 5 2 3 2 2" xfId="27095"/>
    <cellStyle name="20% - Accent2 3 2 5 2 3 2 2 2" xfId="46849"/>
    <cellStyle name="20% - Accent2 3 2 5 2 3 2 3" xfId="37205"/>
    <cellStyle name="20% - Accent2 3 2 5 2 3 3" xfId="22285"/>
    <cellStyle name="20% - Accent2 3 2 5 2 3 3 2" xfId="42040"/>
    <cellStyle name="20% - Accent2 3 2 5 2 3 4" xfId="32396"/>
    <cellStyle name="20% - Accent2 3 2 5 2 4" xfId="17376"/>
    <cellStyle name="20% - Accent2 3 2 5 2 4 2" xfId="27092"/>
    <cellStyle name="20% - Accent2 3 2 5 2 4 2 2" xfId="46846"/>
    <cellStyle name="20% - Accent2 3 2 5 2 4 3" xfId="37202"/>
    <cellStyle name="20% - Accent2 3 2 5 2 5" xfId="22282"/>
    <cellStyle name="20% - Accent2 3 2 5 2 5 2" xfId="42037"/>
    <cellStyle name="20% - Accent2 3 2 5 2 6" xfId="32393"/>
    <cellStyle name="20% - Accent2 3 2 5 3" xfId="2080"/>
    <cellStyle name="20% - Accent2 3 2 5 3 2" xfId="2081"/>
    <cellStyle name="20% - Accent2 3 2 5 3 2 2" xfId="17381"/>
    <cellStyle name="20% - Accent2 3 2 5 3 2 2 2" xfId="27097"/>
    <cellStyle name="20% - Accent2 3 2 5 3 2 2 2 2" xfId="46851"/>
    <cellStyle name="20% - Accent2 3 2 5 3 2 2 3" xfId="37207"/>
    <cellStyle name="20% - Accent2 3 2 5 3 2 3" xfId="22287"/>
    <cellStyle name="20% - Accent2 3 2 5 3 2 3 2" xfId="42042"/>
    <cellStyle name="20% - Accent2 3 2 5 3 2 4" xfId="32398"/>
    <cellStyle name="20% - Accent2 3 2 5 3 3" xfId="17380"/>
    <cellStyle name="20% - Accent2 3 2 5 3 3 2" xfId="27096"/>
    <cellStyle name="20% - Accent2 3 2 5 3 3 2 2" xfId="46850"/>
    <cellStyle name="20% - Accent2 3 2 5 3 3 3" xfId="37206"/>
    <cellStyle name="20% - Accent2 3 2 5 3 4" xfId="22286"/>
    <cellStyle name="20% - Accent2 3 2 5 3 4 2" xfId="42041"/>
    <cellStyle name="20% - Accent2 3 2 5 3 5" xfId="32397"/>
    <cellStyle name="20% - Accent2 3 2 5 4" xfId="2082"/>
    <cellStyle name="20% - Accent2 3 2 5 4 2" xfId="17382"/>
    <cellStyle name="20% - Accent2 3 2 5 4 2 2" xfId="27098"/>
    <cellStyle name="20% - Accent2 3 2 5 4 2 2 2" xfId="46852"/>
    <cellStyle name="20% - Accent2 3 2 5 4 2 3" xfId="37208"/>
    <cellStyle name="20% - Accent2 3 2 5 4 3" xfId="22288"/>
    <cellStyle name="20% - Accent2 3 2 5 4 3 2" xfId="42043"/>
    <cellStyle name="20% - Accent2 3 2 5 4 4" xfId="32399"/>
    <cellStyle name="20% - Accent2 3 2 5 5" xfId="17375"/>
    <cellStyle name="20% - Accent2 3 2 5 5 2" xfId="27091"/>
    <cellStyle name="20% - Accent2 3 2 5 5 2 2" xfId="46845"/>
    <cellStyle name="20% - Accent2 3 2 5 5 3" xfId="37201"/>
    <cellStyle name="20% - Accent2 3 2 5 6" xfId="22281"/>
    <cellStyle name="20% - Accent2 3 2 5 6 2" xfId="42036"/>
    <cellStyle name="20% - Accent2 3 2 5 7" xfId="32392"/>
    <cellStyle name="20% - Accent2 3 2 6" xfId="2083"/>
    <cellStyle name="20% - Accent2 3 2 6 2" xfId="2084"/>
    <cellStyle name="20% - Accent2 3 2 6 2 2" xfId="2085"/>
    <cellStyle name="20% - Accent2 3 2 6 2 2 2" xfId="17385"/>
    <cellStyle name="20% - Accent2 3 2 6 2 2 2 2" xfId="27101"/>
    <cellStyle name="20% - Accent2 3 2 6 2 2 2 2 2" xfId="46855"/>
    <cellStyle name="20% - Accent2 3 2 6 2 2 2 3" xfId="37211"/>
    <cellStyle name="20% - Accent2 3 2 6 2 2 3" xfId="22291"/>
    <cellStyle name="20% - Accent2 3 2 6 2 2 3 2" xfId="42046"/>
    <cellStyle name="20% - Accent2 3 2 6 2 2 4" xfId="32402"/>
    <cellStyle name="20% - Accent2 3 2 6 2 3" xfId="17384"/>
    <cellStyle name="20% - Accent2 3 2 6 2 3 2" xfId="27100"/>
    <cellStyle name="20% - Accent2 3 2 6 2 3 2 2" xfId="46854"/>
    <cellStyle name="20% - Accent2 3 2 6 2 3 3" xfId="37210"/>
    <cellStyle name="20% - Accent2 3 2 6 2 4" xfId="22290"/>
    <cellStyle name="20% - Accent2 3 2 6 2 4 2" xfId="42045"/>
    <cellStyle name="20% - Accent2 3 2 6 2 5" xfId="32401"/>
    <cellStyle name="20% - Accent2 3 2 6 3" xfId="2086"/>
    <cellStyle name="20% - Accent2 3 2 6 3 2" xfId="17386"/>
    <cellStyle name="20% - Accent2 3 2 6 3 2 2" xfId="27102"/>
    <cellStyle name="20% - Accent2 3 2 6 3 2 2 2" xfId="46856"/>
    <cellStyle name="20% - Accent2 3 2 6 3 2 3" xfId="37212"/>
    <cellStyle name="20% - Accent2 3 2 6 3 3" xfId="22292"/>
    <cellStyle name="20% - Accent2 3 2 6 3 3 2" xfId="42047"/>
    <cellStyle name="20% - Accent2 3 2 6 3 4" xfId="32403"/>
    <cellStyle name="20% - Accent2 3 2 6 4" xfId="17383"/>
    <cellStyle name="20% - Accent2 3 2 6 4 2" xfId="27099"/>
    <cellStyle name="20% - Accent2 3 2 6 4 2 2" xfId="46853"/>
    <cellStyle name="20% - Accent2 3 2 6 4 3" xfId="37209"/>
    <cellStyle name="20% - Accent2 3 2 6 5" xfId="22289"/>
    <cellStyle name="20% - Accent2 3 2 6 5 2" xfId="42044"/>
    <cellStyle name="20% - Accent2 3 2 6 6" xfId="32400"/>
    <cellStyle name="20% - Accent2 3 2 7" xfId="2087"/>
    <cellStyle name="20% - Accent2 3 2 7 2" xfId="2088"/>
    <cellStyle name="20% - Accent2 3 2 7 2 2" xfId="17388"/>
    <cellStyle name="20% - Accent2 3 2 7 2 2 2" xfId="27104"/>
    <cellStyle name="20% - Accent2 3 2 7 2 2 2 2" xfId="46858"/>
    <cellStyle name="20% - Accent2 3 2 7 2 2 3" xfId="37214"/>
    <cellStyle name="20% - Accent2 3 2 7 2 3" xfId="22294"/>
    <cellStyle name="20% - Accent2 3 2 7 2 3 2" xfId="42049"/>
    <cellStyle name="20% - Accent2 3 2 7 2 4" xfId="32405"/>
    <cellStyle name="20% - Accent2 3 2 7 3" xfId="17387"/>
    <cellStyle name="20% - Accent2 3 2 7 3 2" xfId="27103"/>
    <cellStyle name="20% - Accent2 3 2 7 3 2 2" xfId="46857"/>
    <cellStyle name="20% - Accent2 3 2 7 3 3" xfId="37213"/>
    <cellStyle name="20% - Accent2 3 2 7 4" xfId="22293"/>
    <cellStyle name="20% - Accent2 3 2 7 4 2" xfId="42048"/>
    <cellStyle name="20% - Accent2 3 2 7 5" xfId="32404"/>
    <cellStyle name="20% - Accent2 3 2 8" xfId="2089"/>
    <cellStyle name="20% - Accent2 3 2 8 2" xfId="2090"/>
    <cellStyle name="20% - Accent2 3 2 8 2 2" xfId="17390"/>
    <cellStyle name="20% - Accent2 3 2 8 2 2 2" xfId="27106"/>
    <cellStyle name="20% - Accent2 3 2 8 2 2 2 2" xfId="46860"/>
    <cellStyle name="20% - Accent2 3 2 8 2 2 3" xfId="37216"/>
    <cellStyle name="20% - Accent2 3 2 8 2 3" xfId="22296"/>
    <cellStyle name="20% - Accent2 3 2 8 2 3 2" xfId="42051"/>
    <cellStyle name="20% - Accent2 3 2 8 2 4" xfId="32407"/>
    <cellStyle name="20% - Accent2 3 2 8 3" xfId="17389"/>
    <cellStyle name="20% - Accent2 3 2 8 3 2" xfId="27105"/>
    <cellStyle name="20% - Accent2 3 2 8 3 2 2" xfId="46859"/>
    <cellStyle name="20% - Accent2 3 2 8 3 3" xfId="37215"/>
    <cellStyle name="20% - Accent2 3 2 8 4" xfId="22295"/>
    <cellStyle name="20% - Accent2 3 2 8 4 2" xfId="42050"/>
    <cellStyle name="20% - Accent2 3 2 8 5" xfId="32406"/>
    <cellStyle name="20% - Accent2 3 2 9" xfId="2091"/>
    <cellStyle name="20% - Accent2 3 2 9 2" xfId="17391"/>
    <cellStyle name="20% - Accent2 3 2 9 2 2" xfId="27107"/>
    <cellStyle name="20% - Accent2 3 2 9 2 2 2" xfId="46861"/>
    <cellStyle name="20% - Accent2 3 2 9 2 3" xfId="37217"/>
    <cellStyle name="20% - Accent2 3 2 9 3" xfId="22297"/>
    <cellStyle name="20% - Accent2 3 2 9 3 2" xfId="42052"/>
    <cellStyle name="20% - Accent2 3 2 9 4" xfId="32408"/>
    <cellStyle name="20% - Accent2 3 3" xfId="2092"/>
    <cellStyle name="20% - Accent2 3 3 10" xfId="2093"/>
    <cellStyle name="20% - Accent2 3 3 10 2" xfId="17393"/>
    <cellStyle name="20% - Accent2 3 3 10 2 2" xfId="27109"/>
    <cellStyle name="20% - Accent2 3 3 10 2 2 2" xfId="46863"/>
    <cellStyle name="20% - Accent2 3 3 10 2 3" xfId="37219"/>
    <cellStyle name="20% - Accent2 3 3 10 3" xfId="22299"/>
    <cellStyle name="20% - Accent2 3 3 10 3 2" xfId="42054"/>
    <cellStyle name="20% - Accent2 3 3 10 4" xfId="32410"/>
    <cellStyle name="20% - Accent2 3 3 11" xfId="17392"/>
    <cellStyle name="20% - Accent2 3 3 11 2" xfId="27108"/>
    <cellStyle name="20% - Accent2 3 3 11 2 2" xfId="46862"/>
    <cellStyle name="20% - Accent2 3 3 11 3" xfId="37218"/>
    <cellStyle name="20% - Accent2 3 3 12" xfId="22298"/>
    <cellStyle name="20% - Accent2 3 3 12 2" xfId="42053"/>
    <cellStyle name="20% - Accent2 3 3 13" xfId="32409"/>
    <cellStyle name="20% - Accent2 3 3 2" xfId="2094"/>
    <cellStyle name="20% - Accent2 3 3 2 10" xfId="32411"/>
    <cellStyle name="20% - Accent2 3 3 2 2" xfId="2095"/>
    <cellStyle name="20% - Accent2 3 3 2 2 2" xfId="2096"/>
    <cellStyle name="20% - Accent2 3 3 2 2 2 2" xfId="2097"/>
    <cellStyle name="20% - Accent2 3 3 2 2 2 2 2" xfId="2098"/>
    <cellStyle name="20% - Accent2 3 3 2 2 2 2 2 2" xfId="17398"/>
    <cellStyle name="20% - Accent2 3 3 2 2 2 2 2 2 2" xfId="27114"/>
    <cellStyle name="20% - Accent2 3 3 2 2 2 2 2 2 2 2" xfId="46868"/>
    <cellStyle name="20% - Accent2 3 3 2 2 2 2 2 2 3" xfId="37224"/>
    <cellStyle name="20% - Accent2 3 3 2 2 2 2 2 3" xfId="22304"/>
    <cellStyle name="20% - Accent2 3 3 2 2 2 2 2 3 2" xfId="42059"/>
    <cellStyle name="20% - Accent2 3 3 2 2 2 2 2 4" xfId="32415"/>
    <cellStyle name="20% - Accent2 3 3 2 2 2 2 3" xfId="17397"/>
    <cellStyle name="20% - Accent2 3 3 2 2 2 2 3 2" xfId="27113"/>
    <cellStyle name="20% - Accent2 3 3 2 2 2 2 3 2 2" xfId="46867"/>
    <cellStyle name="20% - Accent2 3 3 2 2 2 2 3 3" xfId="37223"/>
    <cellStyle name="20% - Accent2 3 3 2 2 2 2 4" xfId="22303"/>
    <cellStyle name="20% - Accent2 3 3 2 2 2 2 4 2" xfId="42058"/>
    <cellStyle name="20% - Accent2 3 3 2 2 2 2 5" xfId="32414"/>
    <cellStyle name="20% - Accent2 3 3 2 2 2 3" xfId="2099"/>
    <cellStyle name="20% - Accent2 3 3 2 2 2 3 2" xfId="17399"/>
    <cellStyle name="20% - Accent2 3 3 2 2 2 3 2 2" xfId="27115"/>
    <cellStyle name="20% - Accent2 3 3 2 2 2 3 2 2 2" xfId="46869"/>
    <cellStyle name="20% - Accent2 3 3 2 2 2 3 2 3" xfId="37225"/>
    <cellStyle name="20% - Accent2 3 3 2 2 2 3 3" xfId="22305"/>
    <cellStyle name="20% - Accent2 3 3 2 2 2 3 3 2" xfId="42060"/>
    <cellStyle name="20% - Accent2 3 3 2 2 2 3 4" xfId="32416"/>
    <cellStyle name="20% - Accent2 3 3 2 2 2 4" xfId="17396"/>
    <cellStyle name="20% - Accent2 3 3 2 2 2 4 2" xfId="27112"/>
    <cellStyle name="20% - Accent2 3 3 2 2 2 4 2 2" xfId="46866"/>
    <cellStyle name="20% - Accent2 3 3 2 2 2 4 3" xfId="37222"/>
    <cellStyle name="20% - Accent2 3 3 2 2 2 5" xfId="22302"/>
    <cellStyle name="20% - Accent2 3 3 2 2 2 5 2" xfId="42057"/>
    <cellStyle name="20% - Accent2 3 3 2 2 2 6" xfId="32413"/>
    <cellStyle name="20% - Accent2 3 3 2 2 3" xfId="2100"/>
    <cellStyle name="20% - Accent2 3 3 2 2 3 2" xfId="2101"/>
    <cellStyle name="20% - Accent2 3 3 2 2 3 2 2" xfId="17401"/>
    <cellStyle name="20% - Accent2 3 3 2 2 3 2 2 2" xfId="27117"/>
    <cellStyle name="20% - Accent2 3 3 2 2 3 2 2 2 2" xfId="46871"/>
    <cellStyle name="20% - Accent2 3 3 2 2 3 2 2 3" xfId="37227"/>
    <cellStyle name="20% - Accent2 3 3 2 2 3 2 3" xfId="22307"/>
    <cellStyle name="20% - Accent2 3 3 2 2 3 2 3 2" xfId="42062"/>
    <cellStyle name="20% - Accent2 3 3 2 2 3 2 4" xfId="32418"/>
    <cellStyle name="20% - Accent2 3 3 2 2 3 3" xfId="17400"/>
    <cellStyle name="20% - Accent2 3 3 2 2 3 3 2" xfId="27116"/>
    <cellStyle name="20% - Accent2 3 3 2 2 3 3 2 2" xfId="46870"/>
    <cellStyle name="20% - Accent2 3 3 2 2 3 3 3" xfId="37226"/>
    <cellStyle name="20% - Accent2 3 3 2 2 3 4" xfId="22306"/>
    <cellStyle name="20% - Accent2 3 3 2 2 3 4 2" xfId="42061"/>
    <cellStyle name="20% - Accent2 3 3 2 2 3 5" xfId="32417"/>
    <cellStyle name="20% - Accent2 3 3 2 2 4" xfId="2102"/>
    <cellStyle name="20% - Accent2 3 3 2 2 4 2" xfId="17402"/>
    <cellStyle name="20% - Accent2 3 3 2 2 4 2 2" xfId="27118"/>
    <cellStyle name="20% - Accent2 3 3 2 2 4 2 2 2" xfId="46872"/>
    <cellStyle name="20% - Accent2 3 3 2 2 4 2 3" xfId="37228"/>
    <cellStyle name="20% - Accent2 3 3 2 2 4 3" xfId="22308"/>
    <cellStyle name="20% - Accent2 3 3 2 2 4 3 2" xfId="42063"/>
    <cellStyle name="20% - Accent2 3 3 2 2 4 4" xfId="32419"/>
    <cellStyle name="20% - Accent2 3 3 2 2 5" xfId="17395"/>
    <cellStyle name="20% - Accent2 3 3 2 2 5 2" xfId="27111"/>
    <cellStyle name="20% - Accent2 3 3 2 2 5 2 2" xfId="46865"/>
    <cellStyle name="20% - Accent2 3 3 2 2 5 3" xfId="37221"/>
    <cellStyle name="20% - Accent2 3 3 2 2 6" xfId="22301"/>
    <cellStyle name="20% - Accent2 3 3 2 2 6 2" xfId="42056"/>
    <cellStyle name="20% - Accent2 3 3 2 2 7" xfId="32412"/>
    <cellStyle name="20% - Accent2 3 3 2 3" xfId="2103"/>
    <cellStyle name="20% - Accent2 3 3 2 3 2" xfId="2104"/>
    <cellStyle name="20% - Accent2 3 3 2 3 2 2" xfId="2105"/>
    <cellStyle name="20% - Accent2 3 3 2 3 2 2 2" xfId="17405"/>
    <cellStyle name="20% - Accent2 3 3 2 3 2 2 2 2" xfId="27121"/>
    <cellStyle name="20% - Accent2 3 3 2 3 2 2 2 2 2" xfId="46875"/>
    <cellStyle name="20% - Accent2 3 3 2 3 2 2 2 3" xfId="37231"/>
    <cellStyle name="20% - Accent2 3 3 2 3 2 2 3" xfId="22311"/>
    <cellStyle name="20% - Accent2 3 3 2 3 2 2 3 2" xfId="42066"/>
    <cellStyle name="20% - Accent2 3 3 2 3 2 2 4" xfId="32422"/>
    <cellStyle name="20% - Accent2 3 3 2 3 2 3" xfId="17404"/>
    <cellStyle name="20% - Accent2 3 3 2 3 2 3 2" xfId="27120"/>
    <cellStyle name="20% - Accent2 3 3 2 3 2 3 2 2" xfId="46874"/>
    <cellStyle name="20% - Accent2 3 3 2 3 2 3 3" xfId="37230"/>
    <cellStyle name="20% - Accent2 3 3 2 3 2 4" xfId="22310"/>
    <cellStyle name="20% - Accent2 3 3 2 3 2 4 2" xfId="42065"/>
    <cellStyle name="20% - Accent2 3 3 2 3 2 5" xfId="32421"/>
    <cellStyle name="20% - Accent2 3 3 2 3 3" xfId="2106"/>
    <cellStyle name="20% - Accent2 3 3 2 3 3 2" xfId="17406"/>
    <cellStyle name="20% - Accent2 3 3 2 3 3 2 2" xfId="27122"/>
    <cellStyle name="20% - Accent2 3 3 2 3 3 2 2 2" xfId="46876"/>
    <cellStyle name="20% - Accent2 3 3 2 3 3 2 3" xfId="37232"/>
    <cellStyle name="20% - Accent2 3 3 2 3 3 3" xfId="22312"/>
    <cellStyle name="20% - Accent2 3 3 2 3 3 3 2" xfId="42067"/>
    <cellStyle name="20% - Accent2 3 3 2 3 3 4" xfId="32423"/>
    <cellStyle name="20% - Accent2 3 3 2 3 4" xfId="17403"/>
    <cellStyle name="20% - Accent2 3 3 2 3 4 2" xfId="27119"/>
    <cellStyle name="20% - Accent2 3 3 2 3 4 2 2" xfId="46873"/>
    <cellStyle name="20% - Accent2 3 3 2 3 4 3" xfId="37229"/>
    <cellStyle name="20% - Accent2 3 3 2 3 5" xfId="22309"/>
    <cellStyle name="20% - Accent2 3 3 2 3 5 2" xfId="42064"/>
    <cellStyle name="20% - Accent2 3 3 2 3 6" xfId="32420"/>
    <cellStyle name="20% - Accent2 3 3 2 4" xfId="2107"/>
    <cellStyle name="20% - Accent2 3 3 2 4 2" xfId="2108"/>
    <cellStyle name="20% - Accent2 3 3 2 4 2 2" xfId="17408"/>
    <cellStyle name="20% - Accent2 3 3 2 4 2 2 2" xfId="27124"/>
    <cellStyle name="20% - Accent2 3 3 2 4 2 2 2 2" xfId="46878"/>
    <cellStyle name="20% - Accent2 3 3 2 4 2 2 3" xfId="37234"/>
    <cellStyle name="20% - Accent2 3 3 2 4 2 3" xfId="22314"/>
    <cellStyle name="20% - Accent2 3 3 2 4 2 3 2" xfId="42069"/>
    <cellStyle name="20% - Accent2 3 3 2 4 2 4" xfId="32425"/>
    <cellStyle name="20% - Accent2 3 3 2 4 3" xfId="17407"/>
    <cellStyle name="20% - Accent2 3 3 2 4 3 2" xfId="27123"/>
    <cellStyle name="20% - Accent2 3 3 2 4 3 2 2" xfId="46877"/>
    <cellStyle name="20% - Accent2 3 3 2 4 3 3" xfId="37233"/>
    <cellStyle name="20% - Accent2 3 3 2 4 4" xfId="22313"/>
    <cellStyle name="20% - Accent2 3 3 2 4 4 2" xfId="42068"/>
    <cellStyle name="20% - Accent2 3 3 2 4 5" xfId="32424"/>
    <cellStyle name="20% - Accent2 3 3 2 5" xfId="2109"/>
    <cellStyle name="20% - Accent2 3 3 2 5 2" xfId="17409"/>
    <cellStyle name="20% - Accent2 3 3 2 5 2 2" xfId="27125"/>
    <cellStyle name="20% - Accent2 3 3 2 5 2 2 2" xfId="46879"/>
    <cellStyle name="20% - Accent2 3 3 2 5 2 3" xfId="37235"/>
    <cellStyle name="20% - Accent2 3 3 2 5 3" xfId="22315"/>
    <cellStyle name="20% - Accent2 3 3 2 5 3 2" xfId="42070"/>
    <cellStyle name="20% - Accent2 3 3 2 5 4" xfId="32426"/>
    <cellStyle name="20% - Accent2 3 3 2 6" xfId="2110"/>
    <cellStyle name="20% - Accent2 3 3 2 6 2" xfId="17410"/>
    <cellStyle name="20% - Accent2 3 3 2 6 2 2" xfId="27126"/>
    <cellStyle name="20% - Accent2 3 3 2 6 2 2 2" xfId="46880"/>
    <cellStyle name="20% - Accent2 3 3 2 6 2 3" xfId="37236"/>
    <cellStyle name="20% - Accent2 3 3 2 6 3" xfId="22316"/>
    <cellStyle name="20% - Accent2 3 3 2 6 3 2" xfId="42071"/>
    <cellStyle name="20% - Accent2 3 3 2 6 4" xfId="32427"/>
    <cellStyle name="20% - Accent2 3 3 2 7" xfId="2111"/>
    <cellStyle name="20% - Accent2 3 3 2 7 2" xfId="17411"/>
    <cellStyle name="20% - Accent2 3 3 2 7 2 2" xfId="27127"/>
    <cellStyle name="20% - Accent2 3 3 2 7 2 2 2" xfId="46881"/>
    <cellStyle name="20% - Accent2 3 3 2 7 2 3" xfId="37237"/>
    <cellStyle name="20% - Accent2 3 3 2 7 3" xfId="22317"/>
    <cellStyle name="20% - Accent2 3 3 2 7 3 2" xfId="42072"/>
    <cellStyle name="20% - Accent2 3 3 2 7 4" xfId="32428"/>
    <cellStyle name="20% - Accent2 3 3 2 8" xfId="17394"/>
    <cellStyle name="20% - Accent2 3 3 2 8 2" xfId="27110"/>
    <cellStyle name="20% - Accent2 3 3 2 8 2 2" xfId="46864"/>
    <cellStyle name="20% - Accent2 3 3 2 8 3" xfId="37220"/>
    <cellStyle name="20% - Accent2 3 3 2 9" xfId="22300"/>
    <cellStyle name="20% - Accent2 3 3 2 9 2" xfId="42055"/>
    <cellStyle name="20% - Accent2 3 3 3" xfId="2112"/>
    <cellStyle name="20% - Accent2 3 3 3 2" xfId="2113"/>
    <cellStyle name="20% - Accent2 3 3 3 2 2" xfId="2114"/>
    <cellStyle name="20% - Accent2 3 3 3 2 2 2" xfId="2115"/>
    <cellStyle name="20% - Accent2 3 3 3 2 2 2 2" xfId="17415"/>
    <cellStyle name="20% - Accent2 3 3 3 2 2 2 2 2" xfId="27131"/>
    <cellStyle name="20% - Accent2 3 3 3 2 2 2 2 2 2" xfId="46885"/>
    <cellStyle name="20% - Accent2 3 3 3 2 2 2 2 3" xfId="37241"/>
    <cellStyle name="20% - Accent2 3 3 3 2 2 2 3" xfId="22321"/>
    <cellStyle name="20% - Accent2 3 3 3 2 2 2 3 2" xfId="42076"/>
    <cellStyle name="20% - Accent2 3 3 3 2 2 2 4" xfId="32432"/>
    <cellStyle name="20% - Accent2 3 3 3 2 2 3" xfId="17414"/>
    <cellStyle name="20% - Accent2 3 3 3 2 2 3 2" xfId="27130"/>
    <cellStyle name="20% - Accent2 3 3 3 2 2 3 2 2" xfId="46884"/>
    <cellStyle name="20% - Accent2 3 3 3 2 2 3 3" xfId="37240"/>
    <cellStyle name="20% - Accent2 3 3 3 2 2 4" xfId="22320"/>
    <cellStyle name="20% - Accent2 3 3 3 2 2 4 2" xfId="42075"/>
    <cellStyle name="20% - Accent2 3 3 3 2 2 5" xfId="32431"/>
    <cellStyle name="20% - Accent2 3 3 3 2 3" xfId="2116"/>
    <cellStyle name="20% - Accent2 3 3 3 2 3 2" xfId="17416"/>
    <cellStyle name="20% - Accent2 3 3 3 2 3 2 2" xfId="27132"/>
    <cellStyle name="20% - Accent2 3 3 3 2 3 2 2 2" xfId="46886"/>
    <cellStyle name="20% - Accent2 3 3 3 2 3 2 3" xfId="37242"/>
    <cellStyle name="20% - Accent2 3 3 3 2 3 3" xfId="22322"/>
    <cellStyle name="20% - Accent2 3 3 3 2 3 3 2" xfId="42077"/>
    <cellStyle name="20% - Accent2 3 3 3 2 3 4" xfId="32433"/>
    <cellStyle name="20% - Accent2 3 3 3 2 4" xfId="17413"/>
    <cellStyle name="20% - Accent2 3 3 3 2 4 2" xfId="27129"/>
    <cellStyle name="20% - Accent2 3 3 3 2 4 2 2" xfId="46883"/>
    <cellStyle name="20% - Accent2 3 3 3 2 4 3" xfId="37239"/>
    <cellStyle name="20% - Accent2 3 3 3 2 5" xfId="22319"/>
    <cellStyle name="20% - Accent2 3 3 3 2 5 2" xfId="42074"/>
    <cellStyle name="20% - Accent2 3 3 3 2 6" xfId="32430"/>
    <cellStyle name="20% - Accent2 3 3 3 3" xfId="2117"/>
    <cellStyle name="20% - Accent2 3 3 3 3 2" xfId="2118"/>
    <cellStyle name="20% - Accent2 3 3 3 3 2 2" xfId="17418"/>
    <cellStyle name="20% - Accent2 3 3 3 3 2 2 2" xfId="27134"/>
    <cellStyle name="20% - Accent2 3 3 3 3 2 2 2 2" xfId="46888"/>
    <cellStyle name="20% - Accent2 3 3 3 3 2 2 3" xfId="37244"/>
    <cellStyle name="20% - Accent2 3 3 3 3 2 3" xfId="22324"/>
    <cellStyle name="20% - Accent2 3 3 3 3 2 3 2" xfId="42079"/>
    <cellStyle name="20% - Accent2 3 3 3 3 2 4" xfId="32435"/>
    <cellStyle name="20% - Accent2 3 3 3 3 3" xfId="17417"/>
    <cellStyle name="20% - Accent2 3 3 3 3 3 2" xfId="27133"/>
    <cellStyle name="20% - Accent2 3 3 3 3 3 2 2" xfId="46887"/>
    <cellStyle name="20% - Accent2 3 3 3 3 3 3" xfId="37243"/>
    <cellStyle name="20% - Accent2 3 3 3 3 4" xfId="22323"/>
    <cellStyle name="20% - Accent2 3 3 3 3 4 2" xfId="42078"/>
    <cellStyle name="20% - Accent2 3 3 3 3 5" xfId="32434"/>
    <cellStyle name="20% - Accent2 3 3 3 4" xfId="2119"/>
    <cellStyle name="20% - Accent2 3 3 3 4 2" xfId="17419"/>
    <cellStyle name="20% - Accent2 3 3 3 4 2 2" xfId="27135"/>
    <cellStyle name="20% - Accent2 3 3 3 4 2 2 2" xfId="46889"/>
    <cellStyle name="20% - Accent2 3 3 3 4 2 3" xfId="37245"/>
    <cellStyle name="20% - Accent2 3 3 3 4 3" xfId="22325"/>
    <cellStyle name="20% - Accent2 3 3 3 4 3 2" xfId="42080"/>
    <cellStyle name="20% - Accent2 3 3 3 4 4" xfId="32436"/>
    <cellStyle name="20% - Accent2 3 3 3 5" xfId="17412"/>
    <cellStyle name="20% - Accent2 3 3 3 5 2" xfId="27128"/>
    <cellStyle name="20% - Accent2 3 3 3 5 2 2" xfId="46882"/>
    <cellStyle name="20% - Accent2 3 3 3 5 3" xfId="37238"/>
    <cellStyle name="20% - Accent2 3 3 3 6" xfId="22318"/>
    <cellStyle name="20% - Accent2 3 3 3 6 2" xfId="42073"/>
    <cellStyle name="20% - Accent2 3 3 3 7" xfId="32429"/>
    <cellStyle name="20% - Accent2 3 3 4" xfId="2120"/>
    <cellStyle name="20% - Accent2 3 3 4 2" xfId="2121"/>
    <cellStyle name="20% - Accent2 3 3 4 2 2" xfId="2122"/>
    <cellStyle name="20% - Accent2 3 3 4 2 2 2" xfId="2123"/>
    <cellStyle name="20% - Accent2 3 3 4 2 2 2 2" xfId="17423"/>
    <cellStyle name="20% - Accent2 3 3 4 2 2 2 2 2" xfId="27139"/>
    <cellStyle name="20% - Accent2 3 3 4 2 2 2 2 2 2" xfId="46893"/>
    <cellStyle name="20% - Accent2 3 3 4 2 2 2 2 3" xfId="37249"/>
    <cellStyle name="20% - Accent2 3 3 4 2 2 2 3" xfId="22329"/>
    <cellStyle name="20% - Accent2 3 3 4 2 2 2 3 2" xfId="42084"/>
    <cellStyle name="20% - Accent2 3 3 4 2 2 2 4" xfId="32440"/>
    <cellStyle name="20% - Accent2 3 3 4 2 2 3" xfId="17422"/>
    <cellStyle name="20% - Accent2 3 3 4 2 2 3 2" xfId="27138"/>
    <cellStyle name="20% - Accent2 3 3 4 2 2 3 2 2" xfId="46892"/>
    <cellStyle name="20% - Accent2 3 3 4 2 2 3 3" xfId="37248"/>
    <cellStyle name="20% - Accent2 3 3 4 2 2 4" xfId="22328"/>
    <cellStyle name="20% - Accent2 3 3 4 2 2 4 2" xfId="42083"/>
    <cellStyle name="20% - Accent2 3 3 4 2 2 5" xfId="32439"/>
    <cellStyle name="20% - Accent2 3 3 4 2 3" xfId="2124"/>
    <cellStyle name="20% - Accent2 3 3 4 2 3 2" xfId="17424"/>
    <cellStyle name="20% - Accent2 3 3 4 2 3 2 2" xfId="27140"/>
    <cellStyle name="20% - Accent2 3 3 4 2 3 2 2 2" xfId="46894"/>
    <cellStyle name="20% - Accent2 3 3 4 2 3 2 3" xfId="37250"/>
    <cellStyle name="20% - Accent2 3 3 4 2 3 3" xfId="22330"/>
    <cellStyle name="20% - Accent2 3 3 4 2 3 3 2" xfId="42085"/>
    <cellStyle name="20% - Accent2 3 3 4 2 3 4" xfId="32441"/>
    <cellStyle name="20% - Accent2 3 3 4 2 4" xfId="17421"/>
    <cellStyle name="20% - Accent2 3 3 4 2 4 2" xfId="27137"/>
    <cellStyle name="20% - Accent2 3 3 4 2 4 2 2" xfId="46891"/>
    <cellStyle name="20% - Accent2 3 3 4 2 4 3" xfId="37247"/>
    <cellStyle name="20% - Accent2 3 3 4 2 5" xfId="22327"/>
    <cellStyle name="20% - Accent2 3 3 4 2 5 2" xfId="42082"/>
    <cellStyle name="20% - Accent2 3 3 4 2 6" xfId="32438"/>
    <cellStyle name="20% - Accent2 3 3 4 3" xfId="2125"/>
    <cellStyle name="20% - Accent2 3 3 4 3 2" xfId="2126"/>
    <cellStyle name="20% - Accent2 3 3 4 3 2 2" xfId="17426"/>
    <cellStyle name="20% - Accent2 3 3 4 3 2 2 2" xfId="27142"/>
    <cellStyle name="20% - Accent2 3 3 4 3 2 2 2 2" xfId="46896"/>
    <cellStyle name="20% - Accent2 3 3 4 3 2 2 3" xfId="37252"/>
    <cellStyle name="20% - Accent2 3 3 4 3 2 3" xfId="22332"/>
    <cellStyle name="20% - Accent2 3 3 4 3 2 3 2" xfId="42087"/>
    <cellStyle name="20% - Accent2 3 3 4 3 2 4" xfId="32443"/>
    <cellStyle name="20% - Accent2 3 3 4 3 3" xfId="17425"/>
    <cellStyle name="20% - Accent2 3 3 4 3 3 2" xfId="27141"/>
    <cellStyle name="20% - Accent2 3 3 4 3 3 2 2" xfId="46895"/>
    <cellStyle name="20% - Accent2 3 3 4 3 3 3" xfId="37251"/>
    <cellStyle name="20% - Accent2 3 3 4 3 4" xfId="22331"/>
    <cellStyle name="20% - Accent2 3 3 4 3 4 2" xfId="42086"/>
    <cellStyle name="20% - Accent2 3 3 4 3 5" xfId="32442"/>
    <cellStyle name="20% - Accent2 3 3 4 4" xfId="2127"/>
    <cellStyle name="20% - Accent2 3 3 4 4 2" xfId="17427"/>
    <cellStyle name="20% - Accent2 3 3 4 4 2 2" xfId="27143"/>
    <cellStyle name="20% - Accent2 3 3 4 4 2 2 2" xfId="46897"/>
    <cellStyle name="20% - Accent2 3 3 4 4 2 3" xfId="37253"/>
    <cellStyle name="20% - Accent2 3 3 4 4 3" xfId="22333"/>
    <cellStyle name="20% - Accent2 3 3 4 4 3 2" xfId="42088"/>
    <cellStyle name="20% - Accent2 3 3 4 4 4" xfId="32444"/>
    <cellStyle name="20% - Accent2 3 3 4 5" xfId="17420"/>
    <cellStyle name="20% - Accent2 3 3 4 5 2" xfId="27136"/>
    <cellStyle name="20% - Accent2 3 3 4 5 2 2" xfId="46890"/>
    <cellStyle name="20% - Accent2 3 3 4 5 3" xfId="37246"/>
    <cellStyle name="20% - Accent2 3 3 4 6" xfId="22326"/>
    <cellStyle name="20% - Accent2 3 3 4 6 2" xfId="42081"/>
    <cellStyle name="20% - Accent2 3 3 4 7" xfId="32437"/>
    <cellStyle name="20% - Accent2 3 3 5" xfId="2128"/>
    <cellStyle name="20% - Accent2 3 3 5 2" xfId="2129"/>
    <cellStyle name="20% - Accent2 3 3 5 2 2" xfId="2130"/>
    <cellStyle name="20% - Accent2 3 3 5 2 2 2" xfId="17430"/>
    <cellStyle name="20% - Accent2 3 3 5 2 2 2 2" xfId="27146"/>
    <cellStyle name="20% - Accent2 3 3 5 2 2 2 2 2" xfId="46900"/>
    <cellStyle name="20% - Accent2 3 3 5 2 2 2 3" xfId="37256"/>
    <cellStyle name="20% - Accent2 3 3 5 2 2 3" xfId="22336"/>
    <cellStyle name="20% - Accent2 3 3 5 2 2 3 2" xfId="42091"/>
    <cellStyle name="20% - Accent2 3 3 5 2 2 4" xfId="32447"/>
    <cellStyle name="20% - Accent2 3 3 5 2 3" xfId="17429"/>
    <cellStyle name="20% - Accent2 3 3 5 2 3 2" xfId="27145"/>
    <cellStyle name="20% - Accent2 3 3 5 2 3 2 2" xfId="46899"/>
    <cellStyle name="20% - Accent2 3 3 5 2 3 3" xfId="37255"/>
    <cellStyle name="20% - Accent2 3 3 5 2 4" xfId="22335"/>
    <cellStyle name="20% - Accent2 3 3 5 2 4 2" xfId="42090"/>
    <cellStyle name="20% - Accent2 3 3 5 2 5" xfId="32446"/>
    <cellStyle name="20% - Accent2 3 3 5 3" xfId="2131"/>
    <cellStyle name="20% - Accent2 3 3 5 3 2" xfId="17431"/>
    <cellStyle name="20% - Accent2 3 3 5 3 2 2" xfId="27147"/>
    <cellStyle name="20% - Accent2 3 3 5 3 2 2 2" xfId="46901"/>
    <cellStyle name="20% - Accent2 3 3 5 3 2 3" xfId="37257"/>
    <cellStyle name="20% - Accent2 3 3 5 3 3" xfId="22337"/>
    <cellStyle name="20% - Accent2 3 3 5 3 3 2" xfId="42092"/>
    <cellStyle name="20% - Accent2 3 3 5 3 4" xfId="32448"/>
    <cellStyle name="20% - Accent2 3 3 5 4" xfId="17428"/>
    <cellStyle name="20% - Accent2 3 3 5 4 2" xfId="27144"/>
    <cellStyle name="20% - Accent2 3 3 5 4 2 2" xfId="46898"/>
    <cellStyle name="20% - Accent2 3 3 5 4 3" xfId="37254"/>
    <cellStyle name="20% - Accent2 3 3 5 5" xfId="22334"/>
    <cellStyle name="20% - Accent2 3 3 5 5 2" xfId="42089"/>
    <cellStyle name="20% - Accent2 3 3 5 6" xfId="32445"/>
    <cellStyle name="20% - Accent2 3 3 6" xfId="2132"/>
    <cellStyle name="20% - Accent2 3 3 6 2" xfId="2133"/>
    <cellStyle name="20% - Accent2 3 3 6 2 2" xfId="17433"/>
    <cellStyle name="20% - Accent2 3 3 6 2 2 2" xfId="27149"/>
    <cellStyle name="20% - Accent2 3 3 6 2 2 2 2" xfId="46903"/>
    <cellStyle name="20% - Accent2 3 3 6 2 2 3" xfId="37259"/>
    <cellStyle name="20% - Accent2 3 3 6 2 3" xfId="22339"/>
    <cellStyle name="20% - Accent2 3 3 6 2 3 2" xfId="42094"/>
    <cellStyle name="20% - Accent2 3 3 6 2 4" xfId="32450"/>
    <cellStyle name="20% - Accent2 3 3 6 3" xfId="17432"/>
    <cellStyle name="20% - Accent2 3 3 6 3 2" xfId="27148"/>
    <cellStyle name="20% - Accent2 3 3 6 3 2 2" xfId="46902"/>
    <cellStyle name="20% - Accent2 3 3 6 3 3" xfId="37258"/>
    <cellStyle name="20% - Accent2 3 3 6 4" xfId="22338"/>
    <cellStyle name="20% - Accent2 3 3 6 4 2" xfId="42093"/>
    <cellStyle name="20% - Accent2 3 3 6 5" xfId="32449"/>
    <cellStyle name="20% - Accent2 3 3 7" xfId="2134"/>
    <cellStyle name="20% - Accent2 3 3 7 2" xfId="2135"/>
    <cellStyle name="20% - Accent2 3 3 7 2 2" xfId="17435"/>
    <cellStyle name="20% - Accent2 3 3 7 2 2 2" xfId="27151"/>
    <cellStyle name="20% - Accent2 3 3 7 2 2 2 2" xfId="46905"/>
    <cellStyle name="20% - Accent2 3 3 7 2 2 3" xfId="37261"/>
    <cellStyle name="20% - Accent2 3 3 7 2 3" xfId="22341"/>
    <cellStyle name="20% - Accent2 3 3 7 2 3 2" xfId="42096"/>
    <cellStyle name="20% - Accent2 3 3 7 2 4" xfId="32452"/>
    <cellStyle name="20% - Accent2 3 3 7 3" xfId="17434"/>
    <cellStyle name="20% - Accent2 3 3 7 3 2" xfId="27150"/>
    <cellStyle name="20% - Accent2 3 3 7 3 2 2" xfId="46904"/>
    <cellStyle name="20% - Accent2 3 3 7 3 3" xfId="37260"/>
    <cellStyle name="20% - Accent2 3 3 7 4" xfId="22340"/>
    <cellStyle name="20% - Accent2 3 3 7 4 2" xfId="42095"/>
    <cellStyle name="20% - Accent2 3 3 7 5" xfId="32451"/>
    <cellStyle name="20% - Accent2 3 3 8" xfId="2136"/>
    <cellStyle name="20% - Accent2 3 3 8 2" xfId="17436"/>
    <cellStyle name="20% - Accent2 3 3 8 2 2" xfId="27152"/>
    <cellStyle name="20% - Accent2 3 3 8 2 2 2" xfId="46906"/>
    <cellStyle name="20% - Accent2 3 3 8 2 3" xfId="37262"/>
    <cellStyle name="20% - Accent2 3 3 8 3" xfId="22342"/>
    <cellStyle name="20% - Accent2 3 3 8 3 2" xfId="42097"/>
    <cellStyle name="20% - Accent2 3 3 8 4" xfId="32453"/>
    <cellStyle name="20% - Accent2 3 3 9" xfId="2137"/>
    <cellStyle name="20% - Accent2 3 3 9 2" xfId="17437"/>
    <cellStyle name="20% - Accent2 3 3 9 2 2" xfId="27153"/>
    <cellStyle name="20% - Accent2 3 3 9 2 2 2" xfId="46907"/>
    <cellStyle name="20% - Accent2 3 3 9 2 3" xfId="37263"/>
    <cellStyle name="20% - Accent2 3 3 9 3" xfId="22343"/>
    <cellStyle name="20% - Accent2 3 3 9 3 2" xfId="42098"/>
    <cellStyle name="20% - Accent2 3 3 9 4" xfId="32454"/>
    <cellStyle name="20% - Accent2 3 4" xfId="2138"/>
    <cellStyle name="20% - Accent2 3 4 10" xfId="32455"/>
    <cellStyle name="20% - Accent2 3 4 2" xfId="2139"/>
    <cellStyle name="20% - Accent2 3 4 2 2" xfId="2140"/>
    <cellStyle name="20% - Accent2 3 4 2 2 2" xfId="2141"/>
    <cellStyle name="20% - Accent2 3 4 2 2 2 2" xfId="2142"/>
    <cellStyle name="20% - Accent2 3 4 2 2 2 2 2" xfId="17442"/>
    <cellStyle name="20% - Accent2 3 4 2 2 2 2 2 2" xfId="27158"/>
    <cellStyle name="20% - Accent2 3 4 2 2 2 2 2 2 2" xfId="46912"/>
    <cellStyle name="20% - Accent2 3 4 2 2 2 2 2 3" xfId="37268"/>
    <cellStyle name="20% - Accent2 3 4 2 2 2 2 3" xfId="22348"/>
    <cellStyle name="20% - Accent2 3 4 2 2 2 2 3 2" xfId="42103"/>
    <cellStyle name="20% - Accent2 3 4 2 2 2 2 4" xfId="32459"/>
    <cellStyle name="20% - Accent2 3 4 2 2 2 3" xfId="17441"/>
    <cellStyle name="20% - Accent2 3 4 2 2 2 3 2" xfId="27157"/>
    <cellStyle name="20% - Accent2 3 4 2 2 2 3 2 2" xfId="46911"/>
    <cellStyle name="20% - Accent2 3 4 2 2 2 3 3" xfId="37267"/>
    <cellStyle name="20% - Accent2 3 4 2 2 2 4" xfId="22347"/>
    <cellStyle name="20% - Accent2 3 4 2 2 2 4 2" xfId="42102"/>
    <cellStyle name="20% - Accent2 3 4 2 2 2 5" xfId="32458"/>
    <cellStyle name="20% - Accent2 3 4 2 2 3" xfId="2143"/>
    <cellStyle name="20% - Accent2 3 4 2 2 3 2" xfId="17443"/>
    <cellStyle name="20% - Accent2 3 4 2 2 3 2 2" xfId="27159"/>
    <cellStyle name="20% - Accent2 3 4 2 2 3 2 2 2" xfId="46913"/>
    <cellStyle name="20% - Accent2 3 4 2 2 3 2 3" xfId="37269"/>
    <cellStyle name="20% - Accent2 3 4 2 2 3 3" xfId="22349"/>
    <cellStyle name="20% - Accent2 3 4 2 2 3 3 2" xfId="42104"/>
    <cellStyle name="20% - Accent2 3 4 2 2 3 4" xfId="32460"/>
    <cellStyle name="20% - Accent2 3 4 2 2 4" xfId="17440"/>
    <cellStyle name="20% - Accent2 3 4 2 2 4 2" xfId="27156"/>
    <cellStyle name="20% - Accent2 3 4 2 2 4 2 2" xfId="46910"/>
    <cellStyle name="20% - Accent2 3 4 2 2 4 3" xfId="37266"/>
    <cellStyle name="20% - Accent2 3 4 2 2 5" xfId="22346"/>
    <cellStyle name="20% - Accent2 3 4 2 2 5 2" xfId="42101"/>
    <cellStyle name="20% - Accent2 3 4 2 2 6" xfId="32457"/>
    <cellStyle name="20% - Accent2 3 4 2 3" xfId="2144"/>
    <cellStyle name="20% - Accent2 3 4 2 3 2" xfId="2145"/>
    <cellStyle name="20% - Accent2 3 4 2 3 2 2" xfId="17445"/>
    <cellStyle name="20% - Accent2 3 4 2 3 2 2 2" xfId="27161"/>
    <cellStyle name="20% - Accent2 3 4 2 3 2 2 2 2" xfId="46915"/>
    <cellStyle name="20% - Accent2 3 4 2 3 2 2 3" xfId="37271"/>
    <cellStyle name="20% - Accent2 3 4 2 3 2 3" xfId="22351"/>
    <cellStyle name="20% - Accent2 3 4 2 3 2 3 2" xfId="42106"/>
    <cellStyle name="20% - Accent2 3 4 2 3 2 4" xfId="32462"/>
    <cellStyle name="20% - Accent2 3 4 2 3 3" xfId="17444"/>
    <cellStyle name="20% - Accent2 3 4 2 3 3 2" xfId="27160"/>
    <cellStyle name="20% - Accent2 3 4 2 3 3 2 2" xfId="46914"/>
    <cellStyle name="20% - Accent2 3 4 2 3 3 3" xfId="37270"/>
    <cellStyle name="20% - Accent2 3 4 2 3 4" xfId="22350"/>
    <cellStyle name="20% - Accent2 3 4 2 3 4 2" xfId="42105"/>
    <cellStyle name="20% - Accent2 3 4 2 3 5" xfId="32461"/>
    <cellStyle name="20% - Accent2 3 4 2 4" xfId="2146"/>
    <cellStyle name="20% - Accent2 3 4 2 4 2" xfId="17446"/>
    <cellStyle name="20% - Accent2 3 4 2 4 2 2" xfId="27162"/>
    <cellStyle name="20% - Accent2 3 4 2 4 2 2 2" xfId="46916"/>
    <cellStyle name="20% - Accent2 3 4 2 4 2 3" xfId="37272"/>
    <cellStyle name="20% - Accent2 3 4 2 4 3" xfId="22352"/>
    <cellStyle name="20% - Accent2 3 4 2 4 3 2" xfId="42107"/>
    <cellStyle name="20% - Accent2 3 4 2 4 4" xfId="32463"/>
    <cellStyle name="20% - Accent2 3 4 2 5" xfId="17439"/>
    <cellStyle name="20% - Accent2 3 4 2 5 2" xfId="27155"/>
    <cellStyle name="20% - Accent2 3 4 2 5 2 2" xfId="46909"/>
    <cellStyle name="20% - Accent2 3 4 2 5 3" xfId="37265"/>
    <cellStyle name="20% - Accent2 3 4 2 6" xfId="22345"/>
    <cellStyle name="20% - Accent2 3 4 2 6 2" xfId="42100"/>
    <cellStyle name="20% - Accent2 3 4 2 7" xfId="32456"/>
    <cellStyle name="20% - Accent2 3 4 3" xfId="2147"/>
    <cellStyle name="20% - Accent2 3 4 3 2" xfId="2148"/>
    <cellStyle name="20% - Accent2 3 4 3 2 2" xfId="2149"/>
    <cellStyle name="20% - Accent2 3 4 3 2 2 2" xfId="17449"/>
    <cellStyle name="20% - Accent2 3 4 3 2 2 2 2" xfId="27165"/>
    <cellStyle name="20% - Accent2 3 4 3 2 2 2 2 2" xfId="46919"/>
    <cellStyle name="20% - Accent2 3 4 3 2 2 2 3" xfId="37275"/>
    <cellStyle name="20% - Accent2 3 4 3 2 2 3" xfId="22355"/>
    <cellStyle name="20% - Accent2 3 4 3 2 2 3 2" xfId="42110"/>
    <cellStyle name="20% - Accent2 3 4 3 2 2 4" xfId="32466"/>
    <cellStyle name="20% - Accent2 3 4 3 2 3" xfId="17448"/>
    <cellStyle name="20% - Accent2 3 4 3 2 3 2" xfId="27164"/>
    <cellStyle name="20% - Accent2 3 4 3 2 3 2 2" xfId="46918"/>
    <cellStyle name="20% - Accent2 3 4 3 2 3 3" xfId="37274"/>
    <cellStyle name="20% - Accent2 3 4 3 2 4" xfId="22354"/>
    <cellStyle name="20% - Accent2 3 4 3 2 4 2" xfId="42109"/>
    <cellStyle name="20% - Accent2 3 4 3 2 5" xfId="32465"/>
    <cellStyle name="20% - Accent2 3 4 3 3" xfId="2150"/>
    <cellStyle name="20% - Accent2 3 4 3 3 2" xfId="17450"/>
    <cellStyle name="20% - Accent2 3 4 3 3 2 2" xfId="27166"/>
    <cellStyle name="20% - Accent2 3 4 3 3 2 2 2" xfId="46920"/>
    <cellStyle name="20% - Accent2 3 4 3 3 2 3" xfId="37276"/>
    <cellStyle name="20% - Accent2 3 4 3 3 3" xfId="22356"/>
    <cellStyle name="20% - Accent2 3 4 3 3 3 2" xfId="42111"/>
    <cellStyle name="20% - Accent2 3 4 3 3 4" xfId="32467"/>
    <cellStyle name="20% - Accent2 3 4 3 4" xfId="17447"/>
    <cellStyle name="20% - Accent2 3 4 3 4 2" xfId="27163"/>
    <cellStyle name="20% - Accent2 3 4 3 4 2 2" xfId="46917"/>
    <cellStyle name="20% - Accent2 3 4 3 4 3" xfId="37273"/>
    <cellStyle name="20% - Accent2 3 4 3 5" xfId="22353"/>
    <cellStyle name="20% - Accent2 3 4 3 5 2" xfId="42108"/>
    <cellStyle name="20% - Accent2 3 4 3 6" xfId="32464"/>
    <cellStyle name="20% - Accent2 3 4 4" xfId="2151"/>
    <cellStyle name="20% - Accent2 3 4 4 2" xfId="2152"/>
    <cellStyle name="20% - Accent2 3 4 4 2 2" xfId="17452"/>
    <cellStyle name="20% - Accent2 3 4 4 2 2 2" xfId="27168"/>
    <cellStyle name="20% - Accent2 3 4 4 2 2 2 2" xfId="46922"/>
    <cellStyle name="20% - Accent2 3 4 4 2 2 3" xfId="37278"/>
    <cellStyle name="20% - Accent2 3 4 4 2 3" xfId="22358"/>
    <cellStyle name="20% - Accent2 3 4 4 2 3 2" xfId="42113"/>
    <cellStyle name="20% - Accent2 3 4 4 2 4" xfId="32469"/>
    <cellStyle name="20% - Accent2 3 4 4 3" xfId="17451"/>
    <cellStyle name="20% - Accent2 3 4 4 3 2" xfId="27167"/>
    <cellStyle name="20% - Accent2 3 4 4 3 2 2" xfId="46921"/>
    <cellStyle name="20% - Accent2 3 4 4 3 3" xfId="37277"/>
    <cellStyle name="20% - Accent2 3 4 4 4" xfId="22357"/>
    <cellStyle name="20% - Accent2 3 4 4 4 2" xfId="42112"/>
    <cellStyle name="20% - Accent2 3 4 4 5" xfId="32468"/>
    <cellStyle name="20% - Accent2 3 4 5" xfId="2153"/>
    <cellStyle name="20% - Accent2 3 4 5 2" xfId="17453"/>
    <cellStyle name="20% - Accent2 3 4 5 2 2" xfId="27169"/>
    <cellStyle name="20% - Accent2 3 4 5 2 2 2" xfId="46923"/>
    <cellStyle name="20% - Accent2 3 4 5 2 3" xfId="37279"/>
    <cellStyle name="20% - Accent2 3 4 5 3" xfId="22359"/>
    <cellStyle name="20% - Accent2 3 4 5 3 2" xfId="42114"/>
    <cellStyle name="20% - Accent2 3 4 5 4" xfId="32470"/>
    <cellStyle name="20% - Accent2 3 4 6" xfId="2154"/>
    <cellStyle name="20% - Accent2 3 4 6 2" xfId="17454"/>
    <cellStyle name="20% - Accent2 3 4 6 2 2" xfId="27170"/>
    <cellStyle name="20% - Accent2 3 4 6 2 2 2" xfId="46924"/>
    <cellStyle name="20% - Accent2 3 4 6 2 3" xfId="37280"/>
    <cellStyle name="20% - Accent2 3 4 6 3" xfId="22360"/>
    <cellStyle name="20% - Accent2 3 4 6 3 2" xfId="42115"/>
    <cellStyle name="20% - Accent2 3 4 6 4" xfId="32471"/>
    <cellStyle name="20% - Accent2 3 4 7" xfId="2155"/>
    <cellStyle name="20% - Accent2 3 4 7 2" xfId="17455"/>
    <cellStyle name="20% - Accent2 3 4 7 2 2" xfId="27171"/>
    <cellStyle name="20% - Accent2 3 4 7 2 2 2" xfId="46925"/>
    <cellStyle name="20% - Accent2 3 4 7 2 3" xfId="37281"/>
    <cellStyle name="20% - Accent2 3 4 7 3" xfId="22361"/>
    <cellStyle name="20% - Accent2 3 4 7 3 2" xfId="42116"/>
    <cellStyle name="20% - Accent2 3 4 7 4" xfId="32472"/>
    <cellStyle name="20% - Accent2 3 4 8" xfId="17438"/>
    <cellStyle name="20% - Accent2 3 4 8 2" xfId="27154"/>
    <cellStyle name="20% - Accent2 3 4 8 2 2" xfId="46908"/>
    <cellStyle name="20% - Accent2 3 4 8 3" xfId="37264"/>
    <cellStyle name="20% - Accent2 3 4 9" xfId="22344"/>
    <cellStyle name="20% - Accent2 3 4 9 2" xfId="42099"/>
    <cellStyle name="20% - Accent2 3 5" xfId="2156"/>
    <cellStyle name="20% - Accent2 3 5 2" xfId="2157"/>
    <cellStyle name="20% - Accent2 3 5 2 2" xfId="2158"/>
    <cellStyle name="20% - Accent2 3 5 2 2 2" xfId="2159"/>
    <cellStyle name="20% - Accent2 3 5 2 2 2 2" xfId="17459"/>
    <cellStyle name="20% - Accent2 3 5 2 2 2 2 2" xfId="27175"/>
    <cellStyle name="20% - Accent2 3 5 2 2 2 2 2 2" xfId="46929"/>
    <cellStyle name="20% - Accent2 3 5 2 2 2 2 3" xfId="37285"/>
    <cellStyle name="20% - Accent2 3 5 2 2 2 3" xfId="22365"/>
    <cellStyle name="20% - Accent2 3 5 2 2 2 3 2" xfId="42120"/>
    <cellStyle name="20% - Accent2 3 5 2 2 2 4" xfId="32476"/>
    <cellStyle name="20% - Accent2 3 5 2 2 3" xfId="17458"/>
    <cellStyle name="20% - Accent2 3 5 2 2 3 2" xfId="27174"/>
    <cellStyle name="20% - Accent2 3 5 2 2 3 2 2" xfId="46928"/>
    <cellStyle name="20% - Accent2 3 5 2 2 3 3" xfId="37284"/>
    <cellStyle name="20% - Accent2 3 5 2 2 4" xfId="22364"/>
    <cellStyle name="20% - Accent2 3 5 2 2 4 2" xfId="42119"/>
    <cellStyle name="20% - Accent2 3 5 2 2 5" xfId="32475"/>
    <cellStyle name="20% - Accent2 3 5 2 3" xfId="2160"/>
    <cellStyle name="20% - Accent2 3 5 2 3 2" xfId="17460"/>
    <cellStyle name="20% - Accent2 3 5 2 3 2 2" xfId="27176"/>
    <cellStyle name="20% - Accent2 3 5 2 3 2 2 2" xfId="46930"/>
    <cellStyle name="20% - Accent2 3 5 2 3 2 3" xfId="37286"/>
    <cellStyle name="20% - Accent2 3 5 2 3 3" xfId="22366"/>
    <cellStyle name="20% - Accent2 3 5 2 3 3 2" xfId="42121"/>
    <cellStyle name="20% - Accent2 3 5 2 3 4" xfId="32477"/>
    <cellStyle name="20% - Accent2 3 5 2 4" xfId="17457"/>
    <cellStyle name="20% - Accent2 3 5 2 4 2" xfId="27173"/>
    <cellStyle name="20% - Accent2 3 5 2 4 2 2" xfId="46927"/>
    <cellStyle name="20% - Accent2 3 5 2 4 3" xfId="37283"/>
    <cellStyle name="20% - Accent2 3 5 2 5" xfId="22363"/>
    <cellStyle name="20% - Accent2 3 5 2 5 2" xfId="42118"/>
    <cellStyle name="20% - Accent2 3 5 2 6" xfId="32474"/>
    <cellStyle name="20% - Accent2 3 5 3" xfId="2161"/>
    <cellStyle name="20% - Accent2 3 5 3 2" xfId="2162"/>
    <cellStyle name="20% - Accent2 3 5 3 2 2" xfId="17462"/>
    <cellStyle name="20% - Accent2 3 5 3 2 2 2" xfId="27178"/>
    <cellStyle name="20% - Accent2 3 5 3 2 2 2 2" xfId="46932"/>
    <cellStyle name="20% - Accent2 3 5 3 2 2 3" xfId="37288"/>
    <cellStyle name="20% - Accent2 3 5 3 2 3" xfId="22368"/>
    <cellStyle name="20% - Accent2 3 5 3 2 3 2" xfId="42123"/>
    <cellStyle name="20% - Accent2 3 5 3 2 4" xfId="32479"/>
    <cellStyle name="20% - Accent2 3 5 3 3" xfId="17461"/>
    <cellStyle name="20% - Accent2 3 5 3 3 2" xfId="27177"/>
    <cellStyle name="20% - Accent2 3 5 3 3 2 2" xfId="46931"/>
    <cellStyle name="20% - Accent2 3 5 3 3 3" xfId="37287"/>
    <cellStyle name="20% - Accent2 3 5 3 4" xfId="22367"/>
    <cellStyle name="20% - Accent2 3 5 3 4 2" xfId="42122"/>
    <cellStyle name="20% - Accent2 3 5 3 5" xfId="32478"/>
    <cellStyle name="20% - Accent2 3 5 4" xfId="2163"/>
    <cellStyle name="20% - Accent2 3 5 4 2" xfId="17463"/>
    <cellStyle name="20% - Accent2 3 5 4 2 2" xfId="27179"/>
    <cellStyle name="20% - Accent2 3 5 4 2 2 2" xfId="46933"/>
    <cellStyle name="20% - Accent2 3 5 4 2 3" xfId="37289"/>
    <cellStyle name="20% - Accent2 3 5 4 3" xfId="22369"/>
    <cellStyle name="20% - Accent2 3 5 4 3 2" xfId="42124"/>
    <cellStyle name="20% - Accent2 3 5 4 4" xfId="32480"/>
    <cellStyle name="20% - Accent2 3 5 5" xfId="17456"/>
    <cellStyle name="20% - Accent2 3 5 5 2" xfId="27172"/>
    <cellStyle name="20% - Accent2 3 5 5 2 2" xfId="46926"/>
    <cellStyle name="20% - Accent2 3 5 5 3" xfId="37282"/>
    <cellStyle name="20% - Accent2 3 5 6" xfId="22362"/>
    <cellStyle name="20% - Accent2 3 5 6 2" xfId="42117"/>
    <cellStyle name="20% - Accent2 3 5 7" xfId="32473"/>
    <cellStyle name="20% - Accent2 3 6" xfId="2164"/>
    <cellStyle name="20% - Accent2 3 6 2" xfId="2165"/>
    <cellStyle name="20% - Accent2 3 6 2 2" xfId="2166"/>
    <cellStyle name="20% - Accent2 3 6 2 2 2" xfId="2167"/>
    <cellStyle name="20% - Accent2 3 6 2 2 2 2" xfId="17467"/>
    <cellStyle name="20% - Accent2 3 6 2 2 2 2 2" xfId="27183"/>
    <cellStyle name="20% - Accent2 3 6 2 2 2 2 2 2" xfId="46937"/>
    <cellStyle name="20% - Accent2 3 6 2 2 2 2 3" xfId="37293"/>
    <cellStyle name="20% - Accent2 3 6 2 2 2 3" xfId="22373"/>
    <cellStyle name="20% - Accent2 3 6 2 2 2 3 2" xfId="42128"/>
    <cellStyle name="20% - Accent2 3 6 2 2 2 4" xfId="32484"/>
    <cellStyle name="20% - Accent2 3 6 2 2 3" xfId="17466"/>
    <cellStyle name="20% - Accent2 3 6 2 2 3 2" xfId="27182"/>
    <cellStyle name="20% - Accent2 3 6 2 2 3 2 2" xfId="46936"/>
    <cellStyle name="20% - Accent2 3 6 2 2 3 3" xfId="37292"/>
    <cellStyle name="20% - Accent2 3 6 2 2 4" xfId="22372"/>
    <cellStyle name="20% - Accent2 3 6 2 2 4 2" xfId="42127"/>
    <cellStyle name="20% - Accent2 3 6 2 2 5" xfId="32483"/>
    <cellStyle name="20% - Accent2 3 6 2 3" xfId="2168"/>
    <cellStyle name="20% - Accent2 3 6 2 3 2" xfId="17468"/>
    <cellStyle name="20% - Accent2 3 6 2 3 2 2" xfId="27184"/>
    <cellStyle name="20% - Accent2 3 6 2 3 2 2 2" xfId="46938"/>
    <cellStyle name="20% - Accent2 3 6 2 3 2 3" xfId="37294"/>
    <cellStyle name="20% - Accent2 3 6 2 3 3" xfId="22374"/>
    <cellStyle name="20% - Accent2 3 6 2 3 3 2" xfId="42129"/>
    <cellStyle name="20% - Accent2 3 6 2 3 4" xfId="32485"/>
    <cellStyle name="20% - Accent2 3 6 2 4" xfId="17465"/>
    <cellStyle name="20% - Accent2 3 6 2 4 2" xfId="27181"/>
    <cellStyle name="20% - Accent2 3 6 2 4 2 2" xfId="46935"/>
    <cellStyle name="20% - Accent2 3 6 2 4 3" xfId="37291"/>
    <cellStyle name="20% - Accent2 3 6 2 5" xfId="22371"/>
    <cellStyle name="20% - Accent2 3 6 2 5 2" xfId="42126"/>
    <cellStyle name="20% - Accent2 3 6 2 6" xfId="32482"/>
    <cellStyle name="20% - Accent2 3 6 3" xfId="2169"/>
    <cellStyle name="20% - Accent2 3 6 3 2" xfId="2170"/>
    <cellStyle name="20% - Accent2 3 6 3 2 2" xfId="17470"/>
    <cellStyle name="20% - Accent2 3 6 3 2 2 2" xfId="27186"/>
    <cellStyle name="20% - Accent2 3 6 3 2 2 2 2" xfId="46940"/>
    <cellStyle name="20% - Accent2 3 6 3 2 2 3" xfId="37296"/>
    <cellStyle name="20% - Accent2 3 6 3 2 3" xfId="22376"/>
    <cellStyle name="20% - Accent2 3 6 3 2 3 2" xfId="42131"/>
    <cellStyle name="20% - Accent2 3 6 3 2 4" xfId="32487"/>
    <cellStyle name="20% - Accent2 3 6 3 3" xfId="17469"/>
    <cellStyle name="20% - Accent2 3 6 3 3 2" xfId="27185"/>
    <cellStyle name="20% - Accent2 3 6 3 3 2 2" xfId="46939"/>
    <cellStyle name="20% - Accent2 3 6 3 3 3" xfId="37295"/>
    <cellStyle name="20% - Accent2 3 6 3 4" xfId="22375"/>
    <cellStyle name="20% - Accent2 3 6 3 4 2" xfId="42130"/>
    <cellStyle name="20% - Accent2 3 6 3 5" xfId="32486"/>
    <cellStyle name="20% - Accent2 3 6 4" xfId="2171"/>
    <cellStyle name="20% - Accent2 3 6 4 2" xfId="17471"/>
    <cellStyle name="20% - Accent2 3 6 4 2 2" xfId="27187"/>
    <cellStyle name="20% - Accent2 3 6 4 2 2 2" xfId="46941"/>
    <cellStyle name="20% - Accent2 3 6 4 2 3" xfId="37297"/>
    <cellStyle name="20% - Accent2 3 6 4 3" xfId="22377"/>
    <cellStyle name="20% - Accent2 3 6 4 3 2" xfId="42132"/>
    <cellStyle name="20% - Accent2 3 6 4 4" xfId="32488"/>
    <cellStyle name="20% - Accent2 3 6 5" xfId="17464"/>
    <cellStyle name="20% - Accent2 3 6 5 2" xfId="27180"/>
    <cellStyle name="20% - Accent2 3 6 5 2 2" xfId="46934"/>
    <cellStyle name="20% - Accent2 3 6 5 3" xfId="37290"/>
    <cellStyle name="20% - Accent2 3 6 6" xfId="22370"/>
    <cellStyle name="20% - Accent2 3 6 6 2" xfId="42125"/>
    <cellStyle name="20% - Accent2 3 6 7" xfId="32481"/>
    <cellStyle name="20% - Accent2 3 7" xfId="2172"/>
    <cellStyle name="20% - Accent2 3 8" xfId="2173"/>
    <cellStyle name="20% - Accent2 3 8 2" xfId="2174"/>
    <cellStyle name="20% - Accent2 3 8 2 2" xfId="2175"/>
    <cellStyle name="20% - Accent2 3 8 2 2 2" xfId="17474"/>
    <cellStyle name="20% - Accent2 3 8 2 2 2 2" xfId="27190"/>
    <cellStyle name="20% - Accent2 3 8 2 2 2 2 2" xfId="46944"/>
    <cellStyle name="20% - Accent2 3 8 2 2 2 3" xfId="37300"/>
    <cellStyle name="20% - Accent2 3 8 2 2 3" xfId="22380"/>
    <cellStyle name="20% - Accent2 3 8 2 2 3 2" xfId="42135"/>
    <cellStyle name="20% - Accent2 3 8 2 2 4" xfId="32491"/>
    <cellStyle name="20% - Accent2 3 8 2 3" xfId="17473"/>
    <cellStyle name="20% - Accent2 3 8 2 3 2" xfId="27189"/>
    <cellStyle name="20% - Accent2 3 8 2 3 2 2" xfId="46943"/>
    <cellStyle name="20% - Accent2 3 8 2 3 3" xfId="37299"/>
    <cellStyle name="20% - Accent2 3 8 2 4" xfId="22379"/>
    <cellStyle name="20% - Accent2 3 8 2 4 2" xfId="42134"/>
    <cellStyle name="20% - Accent2 3 8 2 5" xfId="32490"/>
    <cellStyle name="20% - Accent2 3 8 3" xfId="2176"/>
    <cellStyle name="20% - Accent2 3 8 3 2" xfId="17475"/>
    <cellStyle name="20% - Accent2 3 8 3 2 2" xfId="27191"/>
    <cellStyle name="20% - Accent2 3 8 3 2 2 2" xfId="46945"/>
    <cellStyle name="20% - Accent2 3 8 3 2 3" xfId="37301"/>
    <cellStyle name="20% - Accent2 3 8 3 3" xfId="22381"/>
    <cellStyle name="20% - Accent2 3 8 3 3 2" xfId="42136"/>
    <cellStyle name="20% - Accent2 3 8 3 4" xfId="32492"/>
    <cellStyle name="20% - Accent2 3 8 4" xfId="17472"/>
    <cellStyle name="20% - Accent2 3 8 4 2" xfId="27188"/>
    <cellStyle name="20% - Accent2 3 8 4 2 2" xfId="46942"/>
    <cellStyle name="20% - Accent2 3 8 4 3" xfId="37298"/>
    <cellStyle name="20% - Accent2 3 8 5" xfId="22378"/>
    <cellStyle name="20% - Accent2 3 8 5 2" xfId="42133"/>
    <cellStyle name="20% - Accent2 3 8 6" xfId="32489"/>
    <cellStyle name="20% - Accent2 3 9" xfId="2177"/>
    <cellStyle name="20% - Accent2 3 9 2" xfId="2178"/>
    <cellStyle name="20% - Accent2 3 9 2 2" xfId="17477"/>
    <cellStyle name="20% - Accent2 3 9 2 2 2" xfId="27193"/>
    <cellStyle name="20% - Accent2 3 9 2 2 2 2" xfId="46947"/>
    <cellStyle name="20% - Accent2 3 9 2 2 3" xfId="37303"/>
    <cellStyle name="20% - Accent2 3 9 2 3" xfId="22383"/>
    <cellStyle name="20% - Accent2 3 9 2 3 2" xfId="42138"/>
    <cellStyle name="20% - Accent2 3 9 2 4" xfId="32494"/>
    <cellStyle name="20% - Accent2 3 9 3" xfId="17476"/>
    <cellStyle name="20% - Accent2 3 9 3 2" xfId="27192"/>
    <cellStyle name="20% - Accent2 3 9 3 2 2" xfId="46946"/>
    <cellStyle name="20% - Accent2 3 9 3 3" xfId="37302"/>
    <cellStyle name="20% - Accent2 3 9 4" xfId="22382"/>
    <cellStyle name="20% - Accent2 3 9 4 2" xfId="42137"/>
    <cellStyle name="20% - Accent2 3 9 5" xfId="32493"/>
    <cellStyle name="20% - Accent2 4" xfId="28"/>
    <cellStyle name="20% - Accent2 4 10" xfId="2179"/>
    <cellStyle name="20% - Accent2 4 10 2" xfId="17478"/>
    <cellStyle name="20% - Accent2 4 10 2 2" xfId="27194"/>
    <cellStyle name="20% - Accent2 4 10 2 2 2" xfId="46948"/>
    <cellStyle name="20% - Accent2 4 10 2 3" xfId="37304"/>
    <cellStyle name="20% - Accent2 4 10 3" xfId="22384"/>
    <cellStyle name="20% - Accent2 4 10 3 2" xfId="42139"/>
    <cellStyle name="20% - Accent2 4 10 4" xfId="32495"/>
    <cellStyle name="20% - Accent2 4 11" xfId="2180"/>
    <cellStyle name="20% - Accent2 4 11 2" xfId="17479"/>
    <cellStyle name="20% - Accent2 4 11 2 2" xfId="27195"/>
    <cellStyle name="20% - Accent2 4 11 2 2 2" xfId="46949"/>
    <cellStyle name="20% - Accent2 4 11 2 3" xfId="37305"/>
    <cellStyle name="20% - Accent2 4 11 3" xfId="22385"/>
    <cellStyle name="20% - Accent2 4 11 3 2" xfId="42140"/>
    <cellStyle name="20% - Accent2 4 11 4" xfId="32496"/>
    <cellStyle name="20% - Accent2 4 12" xfId="2181"/>
    <cellStyle name="20% - Accent2 4 12 2" xfId="17480"/>
    <cellStyle name="20% - Accent2 4 12 2 2" xfId="27196"/>
    <cellStyle name="20% - Accent2 4 12 2 2 2" xfId="46950"/>
    <cellStyle name="20% - Accent2 4 12 2 3" xfId="37306"/>
    <cellStyle name="20% - Accent2 4 12 3" xfId="22386"/>
    <cellStyle name="20% - Accent2 4 12 3 2" xfId="42141"/>
    <cellStyle name="20% - Accent2 4 12 4" xfId="32497"/>
    <cellStyle name="20% - Accent2 4 13" xfId="15385"/>
    <cellStyle name="20% - Accent2 4 13 2" xfId="20257"/>
    <cellStyle name="20% - Accent2 4 13 2 2" xfId="29971"/>
    <cellStyle name="20% - Accent2 4 13 2 2 2" xfId="49724"/>
    <cellStyle name="20% - Accent2 4 13 2 3" xfId="40080"/>
    <cellStyle name="20% - Accent2 4 13 3" xfId="25159"/>
    <cellStyle name="20% - Accent2 4 13 3 2" xfId="44913"/>
    <cellStyle name="20% - Accent2 4 13 4" xfId="35269"/>
    <cellStyle name="20% - Accent2 4 14" xfId="15831"/>
    <cellStyle name="20% - Accent2 4 14 2" xfId="25547"/>
    <cellStyle name="20% - Accent2 4 14 2 2" xfId="45301"/>
    <cellStyle name="20% - Accent2 4 14 3" xfId="35657"/>
    <cellStyle name="20% - Accent2 4 15" xfId="20704"/>
    <cellStyle name="20% - Accent2 4 15 2" xfId="40484"/>
    <cellStyle name="20% - Accent2 4 16" xfId="30402"/>
    <cellStyle name="20% - Accent2 4 16 2" xfId="50150"/>
    <cellStyle name="20% - Accent2 4 17" xfId="30815"/>
    <cellStyle name="20% - Accent2 4 2" xfId="29"/>
    <cellStyle name="20% - Accent2 4 2 10" xfId="2182"/>
    <cellStyle name="20% - Accent2 4 2 10 2" xfId="17481"/>
    <cellStyle name="20% - Accent2 4 2 10 2 2" xfId="27197"/>
    <cellStyle name="20% - Accent2 4 2 10 2 2 2" xfId="46951"/>
    <cellStyle name="20% - Accent2 4 2 10 2 3" xfId="37307"/>
    <cellStyle name="20% - Accent2 4 2 10 3" xfId="22387"/>
    <cellStyle name="20% - Accent2 4 2 10 3 2" xfId="42142"/>
    <cellStyle name="20% - Accent2 4 2 10 4" xfId="32498"/>
    <cellStyle name="20% - Accent2 4 2 11" xfId="2183"/>
    <cellStyle name="20% - Accent2 4 2 11 2" xfId="17482"/>
    <cellStyle name="20% - Accent2 4 2 11 2 2" xfId="27198"/>
    <cellStyle name="20% - Accent2 4 2 11 2 2 2" xfId="46952"/>
    <cellStyle name="20% - Accent2 4 2 11 2 3" xfId="37308"/>
    <cellStyle name="20% - Accent2 4 2 11 3" xfId="22388"/>
    <cellStyle name="20% - Accent2 4 2 11 3 2" xfId="42143"/>
    <cellStyle name="20% - Accent2 4 2 11 4" xfId="32499"/>
    <cellStyle name="20% - Accent2 4 2 12" xfId="15386"/>
    <cellStyle name="20% - Accent2 4 2 12 2" xfId="20258"/>
    <cellStyle name="20% - Accent2 4 2 12 2 2" xfId="29972"/>
    <cellStyle name="20% - Accent2 4 2 12 2 2 2" xfId="49725"/>
    <cellStyle name="20% - Accent2 4 2 12 2 3" xfId="40081"/>
    <cellStyle name="20% - Accent2 4 2 12 3" xfId="25160"/>
    <cellStyle name="20% - Accent2 4 2 12 3 2" xfId="44914"/>
    <cellStyle name="20% - Accent2 4 2 12 4" xfId="35270"/>
    <cellStyle name="20% - Accent2 4 2 13" xfId="15832"/>
    <cellStyle name="20% - Accent2 4 2 13 2" xfId="25548"/>
    <cellStyle name="20% - Accent2 4 2 13 2 2" xfId="45302"/>
    <cellStyle name="20% - Accent2 4 2 13 3" xfId="35658"/>
    <cellStyle name="20% - Accent2 4 2 14" xfId="20705"/>
    <cellStyle name="20% - Accent2 4 2 14 2" xfId="40485"/>
    <cellStyle name="20% - Accent2 4 2 15" xfId="30403"/>
    <cellStyle name="20% - Accent2 4 2 15 2" xfId="50151"/>
    <cellStyle name="20% - Accent2 4 2 16" xfId="30816"/>
    <cellStyle name="20% - Accent2 4 2 2" xfId="30"/>
    <cellStyle name="20% - Accent2 4 2 2 10" xfId="15387"/>
    <cellStyle name="20% - Accent2 4 2 2 10 2" xfId="20259"/>
    <cellStyle name="20% - Accent2 4 2 2 10 2 2" xfId="29973"/>
    <cellStyle name="20% - Accent2 4 2 2 10 2 2 2" xfId="49726"/>
    <cellStyle name="20% - Accent2 4 2 2 10 2 3" xfId="40082"/>
    <cellStyle name="20% - Accent2 4 2 2 10 3" xfId="25161"/>
    <cellStyle name="20% - Accent2 4 2 2 10 3 2" xfId="44915"/>
    <cellStyle name="20% - Accent2 4 2 2 10 4" xfId="35271"/>
    <cellStyle name="20% - Accent2 4 2 2 11" xfId="15833"/>
    <cellStyle name="20% - Accent2 4 2 2 11 2" xfId="25549"/>
    <cellStyle name="20% - Accent2 4 2 2 11 2 2" xfId="45303"/>
    <cellStyle name="20% - Accent2 4 2 2 11 3" xfId="35659"/>
    <cellStyle name="20% - Accent2 4 2 2 12" xfId="20706"/>
    <cellStyle name="20% - Accent2 4 2 2 12 2" xfId="40486"/>
    <cellStyle name="20% - Accent2 4 2 2 13" xfId="30404"/>
    <cellStyle name="20% - Accent2 4 2 2 13 2" xfId="50152"/>
    <cellStyle name="20% - Accent2 4 2 2 14" xfId="30817"/>
    <cellStyle name="20% - Accent2 4 2 2 2" xfId="712"/>
    <cellStyle name="20% - Accent2 4 2 2 2 2" xfId="2184"/>
    <cellStyle name="20% - Accent2 4 2 2 2 2 2" xfId="2185"/>
    <cellStyle name="20% - Accent2 4 2 2 2 2 2 2" xfId="2186"/>
    <cellStyle name="20% - Accent2 4 2 2 2 2 2 2 2" xfId="17485"/>
    <cellStyle name="20% - Accent2 4 2 2 2 2 2 2 2 2" xfId="27201"/>
    <cellStyle name="20% - Accent2 4 2 2 2 2 2 2 2 2 2" xfId="46955"/>
    <cellStyle name="20% - Accent2 4 2 2 2 2 2 2 2 3" xfId="37311"/>
    <cellStyle name="20% - Accent2 4 2 2 2 2 2 2 3" xfId="22391"/>
    <cellStyle name="20% - Accent2 4 2 2 2 2 2 2 3 2" xfId="42146"/>
    <cellStyle name="20% - Accent2 4 2 2 2 2 2 2 4" xfId="32502"/>
    <cellStyle name="20% - Accent2 4 2 2 2 2 2 3" xfId="17484"/>
    <cellStyle name="20% - Accent2 4 2 2 2 2 2 3 2" xfId="27200"/>
    <cellStyle name="20% - Accent2 4 2 2 2 2 2 3 2 2" xfId="46954"/>
    <cellStyle name="20% - Accent2 4 2 2 2 2 2 3 3" xfId="37310"/>
    <cellStyle name="20% - Accent2 4 2 2 2 2 2 4" xfId="22390"/>
    <cellStyle name="20% - Accent2 4 2 2 2 2 2 4 2" xfId="42145"/>
    <cellStyle name="20% - Accent2 4 2 2 2 2 2 5" xfId="32501"/>
    <cellStyle name="20% - Accent2 4 2 2 2 2 3" xfId="2187"/>
    <cellStyle name="20% - Accent2 4 2 2 2 2 3 2" xfId="17486"/>
    <cellStyle name="20% - Accent2 4 2 2 2 2 3 2 2" xfId="27202"/>
    <cellStyle name="20% - Accent2 4 2 2 2 2 3 2 2 2" xfId="46956"/>
    <cellStyle name="20% - Accent2 4 2 2 2 2 3 2 3" xfId="37312"/>
    <cellStyle name="20% - Accent2 4 2 2 2 2 3 3" xfId="22392"/>
    <cellStyle name="20% - Accent2 4 2 2 2 2 3 3 2" xfId="42147"/>
    <cellStyle name="20% - Accent2 4 2 2 2 2 3 4" xfId="32503"/>
    <cellStyle name="20% - Accent2 4 2 2 2 2 4" xfId="17483"/>
    <cellStyle name="20% - Accent2 4 2 2 2 2 4 2" xfId="27199"/>
    <cellStyle name="20% - Accent2 4 2 2 2 2 4 2 2" xfId="46953"/>
    <cellStyle name="20% - Accent2 4 2 2 2 2 4 3" xfId="37309"/>
    <cellStyle name="20% - Accent2 4 2 2 2 2 5" xfId="22389"/>
    <cellStyle name="20% - Accent2 4 2 2 2 2 5 2" xfId="42144"/>
    <cellStyle name="20% - Accent2 4 2 2 2 2 6" xfId="32500"/>
    <cellStyle name="20% - Accent2 4 2 2 2 3" xfId="2188"/>
    <cellStyle name="20% - Accent2 4 2 2 2 3 2" xfId="2189"/>
    <cellStyle name="20% - Accent2 4 2 2 2 3 2 2" xfId="17488"/>
    <cellStyle name="20% - Accent2 4 2 2 2 3 2 2 2" xfId="27204"/>
    <cellStyle name="20% - Accent2 4 2 2 2 3 2 2 2 2" xfId="46958"/>
    <cellStyle name="20% - Accent2 4 2 2 2 3 2 2 3" xfId="37314"/>
    <cellStyle name="20% - Accent2 4 2 2 2 3 2 3" xfId="22394"/>
    <cellStyle name="20% - Accent2 4 2 2 2 3 2 3 2" xfId="42149"/>
    <cellStyle name="20% - Accent2 4 2 2 2 3 2 4" xfId="32505"/>
    <cellStyle name="20% - Accent2 4 2 2 2 3 3" xfId="17487"/>
    <cellStyle name="20% - Accent2 4 2 2 2 3 3 2" xfId="27203"/>
    <cellStyle name="20% - Accent2 4 2 2 2 3 3 2 2" xfId="46957"/>
    <cellStyle name="20% - Accent2 4 2 2 2 3 3 3" xfId="37313"/>
    <cellStyle name="20% - Accent2 4 2 2 2 3 4" xfId="22393"/>
    <cellStyle name="20% - Accent2 4 2 2 2 3 4 2" xfId="42148"/>
    <cellStyle name="20% - Accent2 4 2 2 2 3 5" xfId="32504"/>
    <cellStyle name="20% - Accent2 4 2 2 2 4" xfId="2190"/>
    <cellStyle name="20% - Accent2 4 2 2 2 4 2" xfId="17489"/>
    <cellStyle name="20% - Accent2 4 2 2 2 4 2 2" xfId="27205"/>
    <cellStyle name="20% - Accent2 4 2 2 2 4 2 2 2" xfId="46959"/>
    <cellStyle name="20% - Accent2 4 2 2 2 4 2 3" xfId="37315"/>
    <cellStyle name="20% - Accent2 4 2 2 2 4 3" xfId="22395"/>
    <cellStyle name="20% - Accent2 4 2 2 2 4 3 2" xfId="42150"/>
    <cellStyle name="20% - Accent2 4 2 2 2 4 4" xfId="32506"/>
    <cellStyle name="20% - Accent2 4 2 2 2 5" xfId="15388"/>
    <cellStyle name="20% - Accent2 4 2 2 2 5 2" xfId="20260"/>
    <cellStyle name="20% - Accent2 4 2 2 2 5 2 2" xfId="29974"/>
    <cellStyle name="20% - Accent2 4 2 2 2 5 2 2 2" xfId="49727"/>
    <cellStyle name="20% - Accent2 4 2 2 2 5 2 3" xfId="40083"/>
    <cellStyle name="20% - Accent2 4 2 2 2 5 3" xfId="25162"/>
    <cellStyle name="20% - Accent2 4 2 2 2 5 3 2" xfId="44916"/>
    <cellStyle name="20% - Accent2 4 2 2 2 5 4" xfId="35272"/>
    <cellStyle name="20% - Accent2 4 2 2 2 6" xfId="16059"/>
    <cellStyle name="20% - Accent2 4 2 2 2 6 2" xfId="25775"/>
    <cellStyle name="20% - Accent2 4 2 2 2 6 2 2" xfId="45529"/>
    <cellStyle name="20% - Accent2 4 2 2 2 6 3" xfId="35885"/>
    <cellStyle name="20% - Accent2 4 2 2 2 7" xfId="20965"/>
    <cellStyle name="20% - Accent2 4 2 2 2 7 2" xfId="40720"/>
    <cellStyle name="20% - Accent2 4 2 2 2 8" xfId="30405"/>
    <cellStyle name="20% - Accent2 4 2 2 2 8 2" xfId="50153"/>
    <cellStyle name="20% - Accent2 4 2 2 2 9" xfId="31076"/>
    <cellStyle name="20% - Accent2 4 2 2 3" xfId="713"/>
    <cellStyle name="20% - Accent2 4 2 2 3 2" xfId="2191"/>
    <cellStyle name="20% - Accent2 4 2 2 3 2 2" xfId="2192"/>
    <cellStyle name="20% - Accent2 4 2 2 3 2 2 2" xfId="2193"/>
    <cellStyle name="20% - Accent2 4 2 2 3 2 2 2 2" xfId="17492"/>
    <cellStyle name="20% - Accent2 4 2 2 3 2 2 2 2 2" xfId="27208"/>
    <cellStyle name="20% - Accent2 4 2 2 3 2 2 2 2 2 2" xfId="46962"/>
    <cellStyle name="20% - Accent2 4 2 2 3 2 2 2 2 3" xfId="37318"/>
    <cellStyle name="20% - Accent2 4 2 2 3 2 2 2 3" xfId="22398"/>
    <cellStyle name="20% - Accent2 4 2 2 3 2 2 2 3 2" xfId="42153"/>
    <cellStyle name="20% - Accent2 4 2 2 3 2 2 2 4" xfId="32509"/>
    <cellStyle name="20% - Accent2 4 2 2 3 2 2 3" xfId="17491"/>
    <cellStyle name="20% - Accent2 4 2 2 3 2 2 3 2" xfId="27207"/>
    <cellStyle name="20% - Accent2 4 2 2 3 2 2 3 2 2" xfId="46961"/>
    <cellStyle name="20% - Accent2 4 2 2 3 2 2 3 3" xfId="37317"/>
    <cellStyle name="20% - Accent2 4 2 2 3 2 2 4" xfId="22397"/>
    <cellStyle name="20% - Accent2 4 2 2 3 2 2 4 2" xfId="42152"/>
    <cellStyle name="20% - Accent2 4 2 2 3 2 2 5" xfId="32508"/>
    <cellStyle name="20% - Accent2 4 2 2 3 2 3" xfId="2194"/>
    <cellStyle name="20% - Accent2 4 2 2 3 2 3 2" xfId="17493"/>
    <cellStyle name="20% - Accent2 4 2 2 3 2 3 2 2" xfId="27209"/>
    <cellStyle name="20% - Accent2 4 2 2 3 2 3 2 2 2" xfId="46963"/>
    <cellStyle name="20% - Accent2 4 2 2 3 2 3 2 3" xfId="37319"/>
    <cellStyle name="20% - Accent2 4 2 2 3 2 3 3" xfId="22399"/>
    <cellStyle name="20% - Accent2 4 2 2 3 2 3 3 2" xfId="42154"/>
    <cellStyle name="20% - Accent2 4 2 2 3 2 3 4" xfId="32510"/>
    <cellStyle name="20% - Accent2 4 2 2 3 2 4" xfId="17490"/>
    <cellStyle name="20% - Accent2 4 2 2 3 2 4 2" xfId="27206"/>
    <cellStyle name="20% - Accent2 4 2 2 3 2 4 2 2" xfId="46960"/>
    <cellStyle name="20% - Accent2 4 2 2 3 2 4 3" xfId="37316"/>
    <cellStyle name="20% - Accent2 4 2 2 3 2 5" xfId="22396"/>
    <cellStyle name="20% - Accent2 4 2 2 3 2 5 2" xfId="42151"/>
    <cellStyle name="20% - Accent2 4 2 2 3 2 6" xfId="32507"/>
    <cellStyle name="20% - Accent2 4 2 2 3 3" xfId="2195"/>
    <cellStyle name="20% - Accent2 4 2 2 3 3 2" xfId="2196"/>
    <cellStyle name="20% - Accent2 4 2 2 3 3 2 2" xfId="17495"/>
    <cellStyle name="20% - Accent2 4 2 2 3 3 2 2 2" xfId="27211"/>
    <cellStyle name="20% - Accent2 4 2 2 3 3 2 2 2 2" xfId="46965"/>
    <cellStyle name="20% - Accent2 4 2 2 3 3 2 2 3" xfId="37321"/>
    <cellStyle name="20% - Accent2 4 2 2 3 3 2 3" xfId="22401"/>
    <cellStyle name="20% - Accent2 4 2 2 3 3 2 3 2" xfId="42156"/>
    <cellStyle name="20% - Accent2 4 2 2 3 3 2 4" xfId="32512"/>
    <cellStyle name="20% - Accent2 4 2 2 3 3 3" xfId="17494"/>
    <cellStyle name="20% - Accent2 4 2 2 3 3 3 2" xfId="27210"/>
    <cellStyle name="20% - Accent2 4 2 2 3 3 3 2 2" xfId="46964"/>
    <cellStyle name="20% - Accent2 4 2 2 3 3 3 3" xfId="37320"/>
    <cellStyle name="20% - Accent2 4 2 2 3 3 4" xfId="22400"/>
    <cellStyle name="20% - Accent2 4 2 2 3 3 4 2" xfId="42155"/>
    <cellStyle name="20% - Accent2 4 2 2 3 3 5" xfId="32511"/>
    <cellStyle name="20% - Accent2 4 2 2 3 4" xfId="2197"/>
    <cellStyle name="20% - Accent2 4 2 2 3 4 2" xfId="17496"/>
    <cellStyle name="20% - Accent2 4 2 2 3 4 2 2" xfId="27212"/>
    <cellStyle name="20% - Accent2 4 2 2 3 4 2 2 2" xfId="46966"/>
    <cellStyle name="20% - Accent2 4 2 2 3 4 2 3" xfId="37322"/>
    <cellStyle name="20% - Accent2 4 2 2 3 4 3" xfId="22402"/>
    <cellStyle name="20% - Accent2 4 2 2 3 4 3 2" xfId="42157"/>
    <cellStyle name="20% - Accent2 4 2 2 3 4 4" xfId="32513"/>
    <cellStyle name="20% - Accent2 4 2 2 3 5" xfId="16060"/>
    <cellStyle name="20% - Accent2 4 2 2 3 5 2" xfId="25776"/>
    <cellStyle name="20% - Accent2 4 2 2 3 5 2 2" xfId="45530"/>
    <cellStyle name="20% - Accent2 4 2 2 3 5 3" xfId="35886"/>
    <cellStyle name="20% - Accent2 4 2 2 3 6" xfId="20966"/>
    <cellStyle name="20% - Accent2 4 2 2 3 6 2" xfId="40721"/>
    <cellStyle name="20% - Accent2 4 2 2 3 7" xfId="31077"/>
    <cellStyle name="20% - Accent2 4 2 2 4" xfId="2198"/>
    <cellStyle name="20% - Accent2 4 2 2 4 2" xfId="2199"/>
    <cellStyle name="20% - Accent2 4 2 2 4 2 2" xfId="2200"/>
    <cellStyle name="20% - Accent2 4 2 2 4 2 2 2" xfId="2201"/>
    <cellStyle name="20% - Accent2 4 2 2 4 2 2 2 2" xfId="17500"/>
    <cellStyle name="20% - Accent2 4 2 2 4 2 2 2 2 2" xfId="27216"/>
    <cellStyle name="20% - Accent2 4 2 2 4 2 2 2 2 2 2" xfId="46970"/>
    <cellStyle name="20% - Accent2 4 2 2 4 2 2 2 2 3" xfId="37326"/>
    <cellStyle name="20% - Accent2 4 2 2 4 2 2 2 3" xfId="22406"/>
    <cellStyle name="20% - Accent2 4 2 2 4 2 2 2 3 2" xfId="42161"/>
    <cellStyle name="20% - Accent2 4 2 2 4 2 2 2 4" xfId="32517"/>
    <cellStyle name="20% - Accent2 4 2 2 4 2 2 3" xfId="17499"/>
    <cellStyle name="20% - Accent2 4 2 2 4 2 2 3 2" xfId="27215"/>
    <cellStyle name="20% - Accent2 4 2 2 4 2 2 3 2 2" xfId="46969"/>
    <cellStyle name="20% - Accent2 4 2 2 4 2 2 3 3" xfId="37325"/>
    <cellStyle name="20% - Accent2 4 2 2 4 2 2 4" xfId="22405"/>
    <cellStyle name="20% - Accent2 4 2 2 4 2 2 4 2" xfId="42160"/>
    <cellStyle name="20% - Accent2 4 2 2 4 2 2 5" xfId="32516"/>
    <cellStyle name="20% - Accent2 4 2 2 4 2 3" xfId="2202"/>
    <cellStyle name="20% - Accent2 4 2 2 4 2 3 2" xfId="17501"/>
    <cellStyle name="20% - Accent2 4 2 2 4 2 3 2 2" xfId="27217"/>
    <cellStyle name="20% - Accent2 4 2 2 4 2 3 2 2 2" xfId="46971"/>
    <cellStyle name="20% - Accent2 4 2 2 4 2 3 2 3" xfId="37327"/>
    <cellStyle name="20% - Accent2 4 2 2 4 2 3 3" xfId="22407"/>
    <cellStyle name="20% - Accent2 4 2 2 4 2 3 3 2" xfId="42162"/>
    <cellStyle name="20% - Accent2 4 2 2 4 2 3 4" xfId="32518"/>
    <cellStyle name="20% - Accent2 4 2 2 4 2 4" xfId="17498"/>
    <cellStyle name="20% - Accent2 4 2 2 4 2 4 2" xfId="27214"/>
    <cellStyle name="20% - Accent2 4 2 2 4 2 4 2 2" xfId="46968"/>
    <cellStyle name="20% - Accent2 4 2 2 4 2 4 3" xfId="37324"/>
    <cellStyle name="20% - Accent2 4 2 2 4 2 5" xfId="22404"/>
    <cellStyle name="20% - Accent2 4 2 2 4 2 5 2" xfId="42159"/>
    <cellStyle name="20% - Accent2 4 2 2 4 2 6" xfId="32515"/>
    <cellStyle name="20% - Accent2 4 2 2 4 3" xfId="2203"/>
    <cellStyle name="20% - Accent2 4 2 2 4 3 2" xfId="2204"/>
    <cellStyle name="20% - Accent2 4 2 2 4 3 2 2" xfId="17503"/>
    <cellStyle name="20% - Accent2 4 2 2 4 3 2 2 2" xfId="27219"/>
    <cellStyle name="20% - Accent2 4 2 2 4 3 2 2 2 2" xfId="46973"/>
    <cellStyle name="20% - Accent2 4 2 2 4 3 2 2 3" xfId="37329"/>
    <cellStyle name="20% - Accent2 4 2 2 4 3 2 3" xfId="22409"/>
    <cellStyle name="20% - Accent2 4 2 2 4 3 2 3 2" xfId="42164"/>
    <cellStyle name="20% - Accent2 4 2 2 4 3 2 4" xfId="32520"/>
    <cellStyle name="20% - Accent2 4 2 2 4 3 3" xfId="17502"/>
    <cellStyle name="20% - Accent2 4 2 2 4 3 3 2" xfId="27218"/>
    <cellStyle name="20% - Accent2 4 2 2 4 3 3 2 2" xfId="46972"/>
    <cellStyle name="20% - Accent2 4 2 2 4 3 3 3" xfId="37328"/>
    <cellStyle name="20% - Accent2 4 2 2 4 3 4" xfId="22408"/>
    <cellStyle name="20% - Accent2 4 2 2 4 3 4 2" xfId="42163"/>
    <cellStyle name="20% - Accent2 4 2 2 4 3 5" xfId="32519"/>
    <cellStyle name="20% - Accent2 4 2 2 4 4" xfId="2205"/>
    <cellStyle name="20% - Accent2 4 2 2 4 4 2" xfId="17504"/>
    <cellStyle name="20% - Accent2 4 2 2 4 4 2 2" xfId="27220"/>
    <cellStyle name="20% - Accent2 4 2 2 4 4 2 2 2" xfId="46974"/>
    <cellStyle name="20% - Accent2 4 2 2 4 4 2 3" xfId="37330"/>
    <cellStyle name="20% - Accent2 4 2 2 4 4 3" xfId="22410"/>
    <cellStyle name="20% - Accent2 4 2 2 4 4 3 2" xfId="42165"/>
    <cellStyle name="20% - Accent2 4 2 2 4 4 4" xfId="32521"/>
    <cellStyle name="20% - Accent2 4 2 2 4 5" xfId="17497"/>
    <cellStyle name="20% - Accent2 4 2 2 4 5 2" xfId="27213"/>
    <cellStyle name="20% - Accent2 4 2 2 4 5 2 2" xfId="46967"/>
    <cellStyle name="20% - Accent2 4 2 2 4 5 3" xfId="37323"/>
    <cellStyle name="20% - Accent2 4 2 2 4 6" xfId="22403"/>
    <cellStyle name="20% - Accent2 4 2 2 4 6 2" xfId="42158"/>
    <cellStyle name="20% - Accent2 4 2 2 4 7" xfId="32514"/>
    <cellStyle name="20% - Accent2 4 2 2 5" xfId="2206"/>
    <cellStyle name="20% - Accent2 4 2 2 5 2" xfId="2207"/>
    <cellStyle name="20% - Accent2 4 2 2 5 2 2" xfId="2208"/>
    <cellStyle name="20% - Accent2 4 2 2 5 2 2 2" xfId="17507"/>
    <cellStyle name="20% - Accent2 4 2 2 5 2 2 2 2" xfId="27223"/>
    <cellStyle name="20% - Accent2 4 2 2 5 2 2 2 2 2" xfId="46977"/>
    <cellStyle name="20% - Accent2 4 2 2 5 2 2 2 3" xfId="37333"/>
    <cellStyle name="20% - Accent2 4 2 2 5 2 2 3" xfId="22413"/>
    <cellStyle name="20% - Accent2 4 2 2 5 2 2 3 2" xfId="42168"/>
    <cellStyle name="20% - Accent2 4 2 2 5 2 2 4" xfId="32524"/>
    <cellStyle name="20% - Accent2 4 2 2 5 2 3" xfId="17506"/>
    <cellStyle name="20% - Accent2 4 2 2 5 2 3 2" xfId="27222"/>
    <cellStyle name="20% - Accent2 4 2 2 5 2 3 2 2" xfId="46976"/>
    <cellStyle name="20% - Accent2 4 2 2 5 2 3 3" xfId="37332"/>
    <cellStyle name="20% - Accent2 4 2 2 5 2 4" xfId="22412"/>
    <cellStyle name="20% - Accent2 4 2 2 5 2 4 2" xfId="42167"/>
    <cellStyle name="20% - Accent2 4 2 2 5 2 5" xfId="32523"/>
    <cellStyle name="20% - Accent2 4 2 2 5 3" xfId="2209"/>
    <cellStyle name="20% - Accent2 4 2 2 5 3 2" xfId="17508"/>
    <cellStyle name="20% - Accent2 4 2 2 5 3 2 2" xfId="27224"/>
    <cellStyle name="20% - Accent2 4 2 2 5 3 2 2 2" xfId="46978"/>
    <cellStyle name="20% - Accent2 4 2 2 5 3 2 3" xfId="37334"/>
    <cellStyle name="20% - Accent2 4 2 2 5 3 3" xfId="22414"/>
    <cellStyle name="20% - Accent2 4 2 2 5 3 3 2" xfId="42169"/>
    <cellStyle name="20% - Accent2 4 2 2 5 3 4" xfId="32525"/>
    <cellStyle name="20% - Accent2 4 2 2 5 4" xfId="17505"/>
    <cellStyle name="20% - Accent2 4 2 2 5 4 2" xfId="27221"/>
    <cellStyle name="20% - Accent2 4 2 2 5 4 2 2" xfId="46975"/>
    <cellStyle name="20% - Accent2 4 2 2 5 4 3" xfId="37331"/>
    <cellStyle name="20% - Accent2 4 2 2 5 5" xfId="22411"/>
    <cellStyle name="20% - Accent2 4 2 2 5 5 2" xfId="42166"/>
    <cellStyle name="20% - Accent2 4 2 2 5 6" xfId="32522"/>
    <cellStyle name="20% - Accent2 4 2 2 6" xfId="2210"/>
    <cellStyle name="20% - Accent2 4 2 2 6 2" xfId="2211"/>
    <cellStyle name="20% - Accent2 4 2 2 6 2 2" xfId="17510"/>
    <cellStyle name="20% - Accent2 4 2 2 6 2 2 2" xfId="27226"/>
    <cellStyle name="20% - Accent2 4 2 2 6 2 2 2 2" xfId="46980"/>
    <cellStyle name="20% - Accent2 4 2 2 6 2 2 3" xfId="37336"/>
    <cellStyle name="20% - Accent2 4 2 2 6 2 3" xfId="22416"/>
    <cellStyle name="20% - Accent2 4 2 2 6 2 3 2" xfId="42171"/>
    <cellStyle name="20% - Accent2 4 2 2 6 2 4" xfId="32527"/>
    <cellStyle name="20% - Accent2 4 2 2 6 3" xfId="17509"/>
    <cellStyle name="20% - Accent2 4 2 2 6 3 2" xfId="27225"/>
    <cellStyle name="20% - Accent2 4 2 2 6 3 2 2" xfId="46979"/>
    <cellStyle name="20% - Accent2 4 2 2 6 3 3" xfId="37335"/>
    <cellStyle name="20% - Accent2 4 2 2 6 4" xfId="22415"/>
    <cellStyle name="20% - Accent2 4 2 2 6 4 2" xfId="42170"/>
    <cellStyle name="20% - Accent2 4 2 2 6 5" xfId="32526"/>
    <cellStyle name="20% - Accent2 4 2 2 7" xfId="2212"/>
    <cellStyle name="20% - Accent2 4 2 2 7 2" xfId="17511"/>
    <cellStyle name="20% - Accent2 4 2 2 7 2 2" xfId="27227"/>
    <cellStyle name="20% - Accent2 4 2 2 7 2 2 2" xfId="46981"/>
    <cellStyle name="20% - Accent2 4 2 2 7 2 3" xfId="37337"/>
    <cellStyle name="20% - Accent2 4 2 2 7 3" xfId="22417"/>
    <cellStyle name="20% - Accent2 4 2 2 7 3 2" xfId="42172"/>
    <cellStyle name="20% - Accent2 4 2 2 7 4" xfId="32528"/>
    <cellStyle name="20% - Accent2 4 2 2 8" xfId="2213"/>
    <cellStyle name="20% - Accent2 4 2 2 8 2" xfId="17512"/>
    <cellStyle name="20% - Accent2 4 2 2 8 2 2" xfId="27228"/>
    <cellStyle name="20% - Accent2 4 2 2 8 2 2 2" xfId="46982"/>
    <cellStyle name="20% - Accent2 4 2 2 8 2 3" xfId="37338"/>
    <cellStyle name="20% - Accent2 4 2 2 8 3" xfId="22418"/>
    <cellStyle name="20% - Accent2 4 2 2 8 3 2" xfId="42173"/>
    <cellStyle name="20% - Accent2 4 2 2 8 4" xfId="32529"/>
    <cellStyle name="20% - Accent2 4 2 2 9" xfId="2214"/>
    <cellStyle name="20% - Accent2 4 2 2 9 2" xfId="17513"/>
    <cellStyle name="20% - Accent2 4 2 2 9 2 2" xfId="27229"/>
    <cellStyle name="20% - Accent2 4 2 2 9 2 2 2" xfId="46983"/>
    <cellStyle name="20% - Accent2 4 2 2 9 2 3" xfId="37339"/>
    <cellStyle name="20% - Accent2 4 2 2 9 3" xfId="22419"/>
    <cellStyle name="20% - Accent2 4 2 2 9 3 2" xfId="42174"/>
    <cellStyle name="20% - Accent2 4 2 2 9 4" xfId="32530"/>
    <cellStyle name="20% - Accent2 4 2 3" xfId="714"/>
    <cellStyle name="20% - Accent2 4 2 3 2" xfId="2215"/>
    <cellStyle name="20% - Accent2 4 2 3 2 2" xfId="2216"/>
    <cellStyle name="20% - Accent2 4 2 3 2 2 2" xfId="2217"/>
    <cellStyle name="20% - Accent2 4 2 3 2 2 2 2" xfId="17516"/>
    <cellStyle name="20% - Accent2 4 2 3 2 2 2 2 2" xfId="27232"/>
    <cellStyle name="20% - Accent2 4 2 3 2 2 2 2 2 2" xfId="46986"/>
    <cellStyle name="20% - Accent2 4 2 3 2 2 2 2 3" xfId="37342"/>
    <cellStyle name="20% - Accent2 4 2 3 2 2 2 3" xfId="22422"/>
    <cellStyle name="20% - Accent2 4 2 3 2 2 2 3 2" xfId="42177"/>
    <cellStyle name="20% - Accent2 4 2 3 2 2 2 4" xfId="32533"/>
    <cellStyle name="20% - Accent2 4 2 3 2 2 3" xfId="17515"/>
    <cellStyle name="20% - Accent2 4 2 3 2 2 3 2" xfId="27231"/>
    <cellStyle name="20% - Accent2 4 2 3 2 2 3 2 2" xfId="46985"/>
    <cellStyle name="20% - Accent2 4 2 3 2 2 3 3" xfId="37341"/>
    <cellStyle name="20% - Accent2 4 2 3 2 2 4" xfId="22421"/>
    <cellStyle name="20% - Accent2 4 2 3 2 2 4 2" xfId="42176"/>
    <cellStyle name="20% - Accent2 4 2 3 2 2 5" xfId="32532"/>
    <cellStyle name="20% - Accent2 4 2 3 2 3" xfId="2218"/>
    <cellStyle name="20% - Accent2 4 2 3 2 3 2" xfId="17517"/>
    <cellStyle name="20% - Accent2 4 2 3 2 3 2 2" xfId="27233"/>
    <cellStyle name="20% - Accent2 4 2 3 2 3 2 2 2" xfId="46987"/>
    <cellStyle name="20% - Accent2 4 2 3 2 3 2 3" xfId="37343"/>
    <cellStyle name="20% - Accent2 4 2 3 2 3 3" xfId="22423"/>
    <cellStyle name="20% - Accent2 4 2 3 2 3 3 2" xfId="42178"/>
    <cellStyle name="20% - Accent2 4 2 3 2 3 4" xfId="32534"/>
    <cellStyle name="20% - Accent2 4 2 3 2 4" xfId="17514"/>
    <cellStyle name="20% - Accent2 4 2 3 2 4 2" xfId="27230"/>
    <cellStyle name="20% - Accent2 4 2 3 2 4 2 2" xfId="46984"/>
    <cellStyle name="20% - Accent2 4 2 3 2 4 3" xfId="37340"/>
    <cellStyle name="20% - Accent2 4 2 3 2 5" xfId="22420"/>
    <cellStyle name="20% - Accent2 4 2 3 2 5 2" xfId="42175"/>
    <cellStyle name="20% - Accent2 4 2 3 2 6" xfId="32531"/>
    <cellStyle name="20% - Accent2 4 2 3 3" xfId="2219"/>
    <cellStyle name="20% - Accent2 4 2 3 3 2" xfId="2220"/>
    <cellStyle name="20% - Accent2 4 2 3 3 2 2" xfId="17519"/>
    <cellStyle name="20% - Accent2 4 2 3 3 2 2 2" xfId="27235"/>
    <cellStyle name="20% - Accent2 4 2 3 3 2 2 2 2" xfId="46989"/>
    <cellStyle name="20% - Accent2 4 2 3 3 2 2 3" xfId="37345"/>
    <cellStyle name="20% - Accent2 4 2 3 3 2 3" xfId="22425"/>
    <cellStyle name="20% - Accent2 4 2 3 3 2 3 2" xfId="42180"/>
    <cellStyle name="20% - Accent2 4 2 3 3 2 4" xfId="32536"/>
    <cellStyle name="20% - Accent2 4 2 3 3 3" xfId="17518"/>
    <cellStyle name="20% - Accent2 4 2 3 3 3 2" xfId="27234"/>
    <cellStyle name="20% - Accent2 4 2 3 3 3 2 2" xfId="46988"/>
    <cellStyle name="20% - Accent2 4 2 3 3 3 3" xfId="37344"/>
    <cellStyle name="20% - Accent2 4 2 3 3 4" xfId="22424"/>
    <cellStyle name="20% - Accent2 4 2 3 3 4 2" xfId="42179"/>
    <cellStyle name="20% - Accent2 4 2 3 3 5" xfId="32535"/>
    <cellStyle name="20% - Accent2 4 2 3 4" xfId="2221"/>
    <cellStyle name="20% - Accent2 4 2 3 4 2" xfId="17520"/>
    <cellStyle name="20% - Accent2 4 2 3 4 2 2" xfId="27236"/>
    <cellStyle name="20% - Accent2 4 2 3 4 2 2 2" xfId="46990"/>
    <cellStyle name="20% - Accent2 4 2 3 4 2 3" xfId="37346"/>
    <cellStyle name="20% - Accent2 4 2 3 4 3" xfId="22426"/>
    <cellStyle name="20% - Accent2 4 2 3 4 3 2" xfId="42181"/>
    <cellStyle name="20% - Accent2 4 2 3 4 4" xfId="32537"/>
    <cellStyle name="20% - Accent2 4 2 3 5" xfId="15389"/>
    <cellStyle name="20% - Accent2 4 2 3 5 2" xfId="20261"/>
    <cellStyle name="20% - Accent2 4 2 3 5 2 2" xfId="29975"/>
    <cellStyle name="20% - Accent2 4 2 3 5 2 2 2" xfId="49728"/>
    <cellStyle name="20% - Accent2 4 2 3 5 2 3" xfId="40084"/>
    <cellStyle name="20% - Accent2 4 2 3 5 3" xfId="25163"/>
    <cellStyle name="20% - Accent2 4 2 3 5 3 2" xfId="44917"/>
    <cellStyle name="20% - Accent2 4 2 3 5 4" xfId="35273"/>
    <cellStyle name="20% - Accent2 4 2 3 6" xfId="16061"/>
    <cellStyle name="20% - Accent2 4 2 3 6 2" xfId="25777"/>
    <cellStyle name="20% - Accent2 4 2 3 6 2 2" xfId="45531"/>
    <cellStyle name="20% - Accent2 4 2 3 6 3" xfId="35887"/>
    <cellStyle name="20% - Accent2 4 2 3 7" xfId="20967"/>
    <cellStyle name="20% - Accent2 4 2 3 7 2" xfId="40722"/>
    <cellStyle name="20% - Accent2 4 2 3 8" xfId="30406"/>
    <cellStyle name="20% - Accent2 4 2 3 8 2" xfId="50154"/>
    <cellStyle name="20% - Accent2 4 2 3 9" xfId="31078"/>
    <cellStyle name="20% - Accent2 4 2 4" xfId="715"/>
    <cellStyle name="20% - Accent2 4 2 4 2" xfId="2222"/>
    <cellStyle name="20% - Accent2 4 2 4 2 2" xfId="2223"/>
    <cellStyle name="20% - Accent2 4 2 4 2 2 2" xfId="2224"/>
    <cellStyle name="20% - Accent2 4 2 4 2 2 2 2" xfId="17523"/>
    <cellStyle name="20% - Accent2 4 2 4 2 2 2 2 2" xfId="27239"/>
    <cellStyle name="20% - Accent2 4 2 4 2 2 2 2 2 2" xfId="46993"/>
    <cellStyle name="20% - Accent2 4 2 4 2 2 2 2 3" xfId="37349"/>
    <cellStyle name="20% - Accent2 4 2 4 2 2 2 3" xfId="22429"/>
    <cellStyle name="20% - Accent2 4 2 4 2 2 2 3 2" xfId="42184"/>
    <cellStyle name="20% - Accent2 4 2 4 2 2 2 4" xfId="32540"/>
    <cellStyle name="20% - Accent2 4 2 4 2 2 3" xfId="17522"/>
    <cellStyle name="20% - Accent2 4 2 4 2 2 3 2" xfId="27238"/>
    <cellStyle name="20% - Accent2 4 2 4 2 2 3 2 2" xfId="46992"/>
    <cellStyle name="20% - Accent2 4 2 4 2 2 3 3" xfId="37348"/>
    <cellStyle name="20% - Accent2 4 2 4 2 2 4" xfId="22428"/>
    <cellStyle name="20% - Accent2 4 2 4 2 2 4 2" xfId="42183"/>
    <cellStyle name="20% - Accent2 4 2 4 2 2 5" xfId="32539"/>
    <cellStyle name="20% - Accent2 4 2 4 2 3" xfId="2225"/>
    <cellStyle name="20% - Accent2 4 2 4 2 3 2" xfId="17524"/>
    <cellStyle name="20% - Accent2 4 2 4 2 3 2 2" xfId="27240"/>
    <cellStyle name="20% - Accent2 4 2 4 2 3 2 2 2" xfId="46994"/>
    <cellStyle name="20% - Accent2 4 2 4 2 3 2 3" xfId="37350"/>
    <cellStyle name="20% - Accent2 4 2 4 2 3 3" xfId="22430"/>
    <cellStyle name="20% - Accent2 4 2 4 2 3 3 2" xfId="42185"/>
    <cellStyle name="20% - Accent2 4 2 4 2 3 4" xfId="32541"/>
    <cellStyle name="20% - Accent2 4 2 4 2 4" xfId="17521"/>
    <cellStyle name="20% - Accent2 4 2 4 2 4 2" xfId="27237"/>
    <cellStyle name="20% - Accent2 4 2 4 2 4 2 2" xfId="46991"/>
    <cellStyle name="20% - Accent2 4 2 4 2 4 3" xfId="37347"/>
    <cellStyle name="20% - Accent2 4 2 4 2 5" xfId="22427"/>
    <cellStyle name="20% - Accent2 4 2 4 2 5 2" xfId="42182"/>
    <cellStyle name="20% - Accent2 4 2 4 2 6" xfId="32538"/>
    <cellStyle name="20% - Accent2 4 2 4 3" xfId="2226"/>
    <cellStyle name="20% - Accent2 4 2 4 3 2" xfId="2227"/>
    <cellStyle name="20% - Accent2 4 2 4 3 2 2" xfId="17526"/>
    <cellStyle name="20% - Accent2 4 2 4 3 2 2 2" xfId="27242"/>
    <cellStyle name="20% - Accent2 4 2 4 3 2 2 2 2" xfId="46996"/>
    <cellStyle name="20% - Accent2 4 2 4 3 2 2 3" xfId="37352"/>
    <cellStyle name="20% - Accent2 4 2 4 3 2 3" xfId="22432"/>
    <cellStyle name="20% - Accent2 4 2 4 3 2 3 2" xfId="42187"/>
    <cellStyle name="20% - Accent2 4 2 4 3 2 4" xfId="32543"/>
    <cellStyle name="20% - Accent2 4 2 4 3 3" xfId="17525"/>
    <cellStyle name="20% - Accent2 4 2 4 3 3 2" xfId="27241"/>
    <cellStyle name="20% - Accent2 4 2 4 3 3 2 2" xfId="46995"/>
    <cellStyle name="20% - Accent2 4 2 4 3 3 3" xfId="37351"/>
    <cellStyle name="20% - Accent2 4 2 4 3 4" xfId="22431"/>
    <cellStyle name="20% - Accent2 4 2 4 3 4 2" xfId="42186"/>
    <cellStyle name="20% - Accent2 4 2 4 3 5" xfId="32542"/>
    <cellStyle name="20% - Accent2 4 2 4 4" xfId="2228"/>
    <cellStyle name="20% - Accent2 4 2 4 4 2" xfId="17527"/>
    <cellStyle name="20% - Accent2 4 2 4 4 2 2" xfId="27243"/>
    <cellStyle name="20% - Accent2 4 2 4 4 2 2 2" xfId="46997"/>
    <cellStyle name="20% - Accent2 4 2 4 4 2 3" xfId="37353"/>
    <cellStyle name="20% - Accent2 4 2 4 4 3" xfId="22433"/>
    <cellStyle name="20% - Accent2 4 2 4 4 3 2" xfId="42188"/>
    <cellStyle name="20% - Accent2 4 2 4 4 4" xfId="32544"/>
    <cellStyle name="20% - Accent2 4 2 4 5" xfId="16062"/>
    <cellStyle name="20% - Accent2 4 2 4 5 2" xfId="25778"/>
    <cellStyle name="20% - Accent2 4 2 4 5 2 2" xfId="45532"/>
    <cellStyle name="20% - Accent2 4 2 4 5 3" xfId="35888"/>
    <cellStyle name="20% - Accent2 4 2 4 6" xfId="20968"/>
    <cellStyle name="20% - Accent2 4 2 4 6 2" xfId="40723"/>
    <cellStyle name="20% - Accent2 4 2 4 7" xfId="31079"/>
    <cellStyle name="20% - Accent2 4 2 5" xfId="2229"/>
    <cellStyle name="20% - Accent2 4 2 5 2" xfId="2230"/>
    <cellStyle name="20% - Accent2 4 2 5 2 2" xfId="2231"/>
    <cellStyle name="20% - Accent2 4 2 5 2 2 2" xfId="2232"/>
    <cellStyle name="20% - Accent2 4 2 5 2 2 2 2" xfId="17531"/>
    <cellStyle name="20% - Accent2 4 2 5 2 2 2 2 2" xfId="27247"/>
    <cellStyle name="20% - Accent2 4 2 5 2 2 2 2 2 2" xfId="47001"/>
    <cellStyle name="20% - Accent2 4 2 5 2 2 2 2 3" xfId="37357"/>
    <cellStyle name="20% - Accent2 4 2 5 2 2 2 3" xfId="22437"/>
    <cellStyle name="20% - Accent2 4 2 5 2 2 2 3 2" xfId="42192"/>
    <cellStyle name="20% - Accent2 4 2 5 2 2 2 4" xfId="32548"/>
    <cellStyle name="20% - Accent2 4 2 5 2 2 3" xfId="17530"/>
    <cellStyle name="20% - Accent2 4 2 5 2 2 3 2" xfId="27246"/>
    <cellStyle name="20% - Accent2 4 2 5 2 2 3 2 2" xfId="47000"/>
    <cellStyle name="20% - Accent2 4 2 5 2 2 3 3" xfId="37356"/>
    <cellStyle name="20% - Accent2 4 2 5 2 2 4" xfId="22436"/>
    <cellStyle name="20% - Accent2 4 2 5 2 2 4 2" xfId="42191"/>
    <cellStyle name="20% - Accent2 4 2 5 2 2 5" xfId="32547"/>
    <cellStyle name="20% - Accent2 4 2 5 2 3" xfId="2233"/>
    <cellStyle name="20% - Accent2 4 2 5 2 3 2" xfId="17532"/>
    <cellStyle name="20% - Accent2 4 2 5 2 3 2 2" xfId="27248"/>
    <cellStyle name="20% - Accent2 4 2 5 2 3 2 2 2" xfId="47002"/>
    <cellStyle name="20% - Accent2 4 2 5 2 3 2 3" xfId="37358"/>
    <cellStyle name="20% - Accent2 4 2 5 2 3 3" xfId="22438"/>
    <cellStyle name="20% - Accent2 4 2 5 2 3 3 2" xfId="42193"/>
    <cellStyle name="20% - Accent2 4 2 5 2 3 4" xfId="32549"/>
    <cellStyle name="20% - Accent2 4 2 5 2 4" xfId="17529"/>
    <cellStyle name="20% - Accent2 4 2 5 2 4 2" xfId="27245"/>
    <cellStyle name="20% - Accent2 4 2 5 2 4 2 2" xfId="46999"/>
    <cellStyle name="20% - Accent2 4 2 5 2 4 3" xfId="37355"/>
    <cellStyle name="20% - Accent2 4 2 5 2 5" xfId="22435"/>
    <cellStyle name="20% - Accent2 4 2 5 2 5 2" xfId="42190"/>
    <cellStyle name="20% - Accent2 4 2 5 2 6" xfId="32546"/>
    <cellStyle name="20% - Accent2 4 2 5 3" xfId="2234"/>
    <cellStyle name="20% - Accent2 4 2 5 3 2" xfId="2235"/>
    <cellStyle name="20% - Accent2 4 2 5 3 2 2" xfId="17534"/>
    <cellStyle name="20% - Accent2 4 2 5 3 2 2 2" xfId="27250"/>
    <cellStyle name="20% - Accent2 4 2 5 3 2 2 2 2" xfId="47004"/>
    <cellStyle name="20% - Accent2 4 2 5 3 2 2 3" xfId="37360"/>
    <cellStyle name="20% - Accent2 4 2 5 3 2 3" xfId="22440"/>
    <cellStyle name="20% - Accent2 4 2 5 3 2 3 2" xfId="42195"/>
    <cellStyle name="20% - Accent2 4 2 5 3 2 4" xfId="32551"/>
    <cellStyle name="20% - Accent2 4 2 5 3 3" xfId="17533"/>
    <cellStyle name="20% - Accent2 4 2 5 3 3 2" xfId="27249"/>
    <cellStyle name="20% - Accent2 4 2 5 3 3 2 2" xfId="47003"/>
    <cellStyle name="20% - Accent2 4 2 5 3 3 3" xfId="37359"/>
    <cellStyle name="20% - Accent2 4 2 5 3 4" xfId="22439"/>
    <cellStyle name="20% - Accent2 4 2 5 3 4 2" xfId="42194"/>
    <cellStyle name="20% - Accent2 4 2 5 3 5" xfId="32550"/>
    <cellStyle name="20% - Accent2 4 2 5 4" xfId="2236"/>
    <cellStyle name="20% - Accent2 4 2 5 4 2" xfId="17535"/>
    <cellStyle name="20% - Accent2 4 2 5 4 2 2" xfId="27251"/>
    <cellStyle name="20% - Accent2 4 2 5 4 2 2 2" xfId="47005"/>
    <cellStyle name="20% - Accent2 4 2 5 4 2 3" xfId="37361"/>
    <cellStyle name="20% - Accent2 4 2 5 4 3" xfId="22441"/>
    <cellStyle name="20% - Accent2 4 2 5 4 3 2" xfId="42196"/>
    <cellStyle name="20% - Accent2 4 2 5 4 4" xfId="32552"/>
    <cellStyle name="20% - Accent2 4 2 5 5" xfId="17528"/>
    <cellStyle name="20% - Accent2 4 2 5 5 2" xfId="27244"/>
    <cellStyle name="20% - Accent2 4 2 5 5 2 2" xfId="46998"/>
    <cellStyle name="20% - Accent2 4 2 5 5 3" xfId="37354"/>
    <cellStyle name="20% - Accent2 4 2 5 6" xfId="22434"/>
    <cellStyle name="20% - Accent2 4 2 5 6 2" xfId="42189"/>
    <cellStyle name="20% - Accent2 4 2 5 7" xfId="32545"/>
    <cellStyle name="20% - Accent2 4 2 6" xfId="2237"/>
    <cellStyle name="20% - Accent2 4 2 6 2" xfId="2238"/>
    <cellStyle name="20% - Accent2 4 2 6 2 2" xfId="2239"/>
    <cellStyle name="20% - Accent2 4 2 6 2 2 2" xfId="17538"/>
    <cellStyle name="20% - Accent2 4 2 6 2 2 2 2" xfId="27254"/>
    <cellStyle name="20% - Accent2 4 2 6 2 2 2 2 2" xfId="47008"/>
    <cellStyle name="20% - Accent2 4 2 6 2 2 2 3" xfId="37364"/>
    <cellStyle name="20% - Accent2 4 2 6 2 2 3" xfId="22444"/>
    <cellStyle name="20% - Accent2 4 2 6 2 2 3 2" xfId="42199"/>
    <cellStyle name="20% - Accent2 4 2 6 2 2 4" xfId="32555"/>
    <cellStyle name="20% - Accent2 4 2 6 2 3" xfId="17537"/>
    <cellStyle name="20% - Accent2 4 2 6 2 3 2" xfId="27253"/>
    <cellStyle name="20% - Accent2 4 2 6 2 3 2 2" xfId="47007"/>
    <cellStyle name="20% - Accent2 4 2 6 2 3 3" xfId="37363"/>
    <cellStyle name="20% - Accent2 4 2 6 2 4" xfId="22443"/>
    <cellStyle name="20% - Accent2 4 2 6 2 4 2" xfId="42198"/>
    <cellStyle name="20% - Accent2 4 2 6 2 5" xfId="32554"/>
    <cellStyle name="20% - Accent2 4 2 6 3" xfId="2240"/>
    <cellStyle name="20% - Accent2 4 2 6 3 2" xfId="17539"/>
    <cellStyle name="20% - Accent2 4 2 6 3 2 2" xfId="27255"/>
    <cellStyle name="20% - Accent2 4 2 6 3 2 2 2" xfId="47009"/>
    <cellStyle name="20% - Accent2 4 2 6 3 2 3" xfId="37365"/>
    <cellStyle name="20% - Accent2 4 2 6 3 3" xfId="22445"/>
    <cellStyle name="20% - Accent2 4 2 6 3 3 2" xfId="42200"/>
    <cellStyle name="20% - Accent2 4 2 6 3 4" xfId="32556"/>
    <cellStyle name="20% - Accent2 4 2 6 4" xfId="17536"/>
    <cellStyle name="20% - Accent2 4 2 6 4 2" xfId="27252"/>
    <cellStyle name="20% - Accent2 4 2 6 4 2 2" xfId="47006"/>
    <cellStyle name="20% - Accent2 4 2 6 4 3" xfId="37362"/>
    <cellStyle name="20% - Accent2 4 2 6 5" xfId="22442"/>
    <cellStyle name="20% - Accent2 4 2 6 5 2" xfId="42197"/>
    <cellStyle name="20% - Accent2 4 2 6 6" xfId="32553"/>
    <cellStyle name="20% - Accent2 4 2 7" xfId="2241"/>
    <cellStyle name="20% - Accent2 4 2 7 2" xfId="2242"/>
    <cellStyle name="20% - Accent2 4 2 7 2 2" xfId="17541"/>
    <cellStyle name="20% - Accent2 4 2 7 2 2 2" xfId="27257"/>
    <cellStyle name="20% - Accent2 4 2 7 2 2 2 2" xfId="47011"/>
    <cellStyle name="20% - Accent2 4 2 7 2 2 3" xfId="37367"/>
    <cellStyle name="20% - Accent2 4 2 7 2 3" xfId="22447"/>
    <cellStyle name="20% - Accent2 4 2 7 2 3 2" xfId="42202"/>
    <cellStyle name="20% - Accent2 4 2 7 2 4" xfId="32558"/>
    <cellStyle name="20% - Accent2 4 2 7 3" xfId="17540"/>
    <cellStyle name="20% - Accent2 4 2 7 3 2" xfId="27256"/>
    <cellStyle name="20% - Accent2 4 2 7 3 2 2" xfId="47010"/>
    <cellStyle name="20% - Accent2 4 2 7 3 3" xfId="37366"/>
    <cellStyle name="20% - Accent2 4 2 7 4" xfId="22446"/>
    <cellStyle name="20% - Accent2 4 2 7 4 2" xfId="42201"/>
    <cellStyle name="20% - Accent2 4 2 7 5" xfId="32557"/>
    <cellStyle name="20% - Accent2 4 2 8" xfId="2243"/>
    <cellStyle name="20% - Accent2 4 2 8 2" xfId="2244"/>
    <cellStyle name="20% - Accent2 4 2 8 2 2" xfId="17543"/>
    <cellStyle name="20% - Accent2 4 2 8 2 2 2" xfId="27259"/>
    <cellStyle name="20% - Accent2 4 2 8 2 2 2 2" xfId="47013"/>
    <cellStyle name="20% - Accent2 4 2 8 2 2 3" xfId="37369"/>
    <cellStyle name="20% - Accent2 4 2 8 2 3" xfId="22449"/>
    <cellStyle name="20% - Accent2 4 2 8 2 3 2" xfId="42204"/>
    <cellStyle name="20% - Accent2 4 2 8 2 4" xfId="32560"/>
    <cellStyle name="20% - Accent2 4 2 8 3" xfId="17542"/>
    <cellStyle name="20% - Accent2 4 2 8 3 2" xfId="27258"/>
    <cellStyle name="20% - Accent2 4 2 8 3 2 2" xfId="47012"/>
    <cellStyle name="20% - Accent2 4 2 8 3 3" xfId="37368"/>
    <cellStyle name="20% - Accent2 4 2 8 4" xfId="22448"/>
    <cellStyle name="20% - Accent2 4 2 8 4 2" xfId="42203"/>
    <cellStyle name="20% - Accent2 4 2 8 5" xfId="32559"/>
    <cellStyle name="20% - Accent2 4 2 9" xfId="2245"/>
    <cellStyle name="20% - Accent2 4 2 9 2" xfId="17544"/>
    <cellStyle name="20% - Accent2 4 2 9 2 2" xfId="27260"/>
    <cellStyle name="20% - Accent2 4 2 9 2 2 2" xfId="47014"/>
    <cellStyle name="20% - Accent2 4 2 9 2 3" xfId="37370"/>
    <cellStyle name="20% - Accent2 4 2 9 3" xfId="22450"/>
    <cellStyle name="20% - Accent2 4 2 9 3 2" xfId="42205"/>
    <cellStyle name="20% - Accent2 4 2 9 4" xfId="32561"/>
    <cellStyle name="20% - Accent2 4 3" xfId="31"/>
    <cellStyle name="20% - Accent2 4 3 10" xfId="15390"/>
    <cellStyle name="20% - Accent2 4 3 10 2" xfId="20262"/>
    <cellStyle name="20% - Accent2 4 3 10 2 2" xfId="29976"/>
    <cellStyle name="20% - Accent2 4 3 10 2 2 2" xfId="49729"/>
    <cellStyle name="20% - Accent2 4 3 10 2 3" xfId="40085"/>
    <cellStyle name="20% - Accent2 4 3 10 3" xfId="25164"/>
    <cellStyle name="20% - Accent2 4 3 10 3 2" xfId="44918"/>
    <cellStyle name="20% - Accent2 4 3 10 4" xfId="35274"/>
    <cellStyle name="20% - Accent2 4 3 11" xfId="15834"/>
    <cellStyle name="20% - Accent2 4 3 11 2" xfId="25550"/>
    <cellStyle name="20% - Accent2 4 3 11 2 2" xfId="45304"/>
    <cellStyle name="20% - Accent2 4 3 11 3" xfId="35660"/>
    <cellStyle name="20% - Accent2 4 3 12" xfId="20707"/>
    <cellStyle name="20% - Accent2 4 3 12 2" xfId="40487"/>
    <cellStyle name="20% - Accent2 4 3 13" xfId="30407"/>
    <cellStyle name="20% - Accent2 4 3 13 2" xfId="50155"/>
    <cellStyle name="20% - Accent2 4 3 14" xfId="30818"/>
    <cellStyle name="20% - Accent2 4 3 2" xfId="716"/>
    <cellStyle name="20% - Accent2 4 3 2 2" xfId="2246"/>
    <cellStyle name="20% - Accent2 4 3 2 2 2" xfId="2247"/>
    <cellStyle name="20% - Accent2 4 3 2 2 2 2" xfId="2248"/>
    <cellStyle name="20% - Accent2 4 3 2 2 2 2 2" xfId="17547"/>
    <cellStyle name="20% - Accent2 4 3 2 2 2 2 2 2" xfId="27263"/>
    <cellStyle name="20% - Accent2 4 3 2 2 2 2 2 2 2" xfId="47017"/>
    <cellStyle name="20% - Accent2 4 3 2 2 2 2 2 3" xfId="37373"/>
    <cellStyle name="20% - Accent2 4 3 2 2 2 2 3" xfId="22453"/>
    <cellStyle name="20% - Accent2 4 3 2 2 2 2 3 2" xfId="42208"/>
    <cellStyle name="20% - Accent2 4 3 2 2 2 2 4" xfId="32564"/>
    <cellStyle name="20% - Accent2 4 3 2 2 2 3" xfId="17546"/>
    <cellStyle name="20% - Accent2 4 3 2 2 2 3 2" xfId="27262"/>
    <cellStyle name="20% - Accent2 4 3 2 2 2 3 2 2" xfId="47016"/>
    <cellStyle name="20% - Accent2 4 3 2 2 2 3 3" xfId="37372"/>
    <cellStyle name="20% - Accent2 4 3 2 2 2 4" xfId="22452"/>
    <cellStyle name="20% - Accent2 4 3 2 2 2 4 2" xfId="42207"/>
    <cellStyle name="20% - Accent2 4 3 2 2 2 5" xfId="32563"/>
    <cellStyle name="20% - Accent2 4 3 2 2 3" xfId="2249"/>
    <cellStyle name="20% - Accent2 4 3 2 2 3 2" xfId="17548"/>
    <cellStyle name="20% - Accent2 4 3 2 2 3 2 2" xfId="27264"/>
    <cellStyle name="20% - Accent2 4 3 2 2 3 2 2 2" xfId="47018"/>
    <cellStyle name="20% - Accent2 4 3 2 2 3 2 3" xfId="37374"/>
    <cellStyle name="20% - Accent2 4 3 2 2 3 3" xfId="22454"/>
    <cellStyle name="20% - Accent2 4 3 2 2 3 3 2" xfId="42209"/>
    <cellStyle name="20% - Accent2 4 3 2 2 3 4" xfId="32565"/>
    <cellStyle name="20% - Accent2 4 3 2 2 4" xfId="17545"/>
    <cellStyle name="20% - Accent2 4 3 2 2 4 2" xfId="27261"/>
    <cellStyle name="20% - Accent2 4 3 2 2 4 2 2" xfId="47015"/>
    <cellStyle name="20% - Accent2 4 3 2 2 4 3" xfId="37371"/>
    <cellStyle name="20% - Accent2 4 3 2 2 5" xfId="22451"/>
    <cellStyle name="20% - Accent2 4 3 2 2 5 2" xfId="42206"/>
    <cellStyle name="20% - Accent2 4 3 2 2 6" xfId="32562"/>
    <cellStyle name="20% - Accent2 4 3 2 3" xfId="2250"/>
    <cellStyle name="20% - Accent2 4 3 2 3 2" xfId="2251"/>
    <cellStyle name="20% - Accent2 4 3 2 3 2 2" xfId="17550"/>
    <cellStyle name="20% - Accent2 4 3 2 3 2 2 2" xfId="27266"/>
    <cellStyle name="20% - Accent2 4 3 2 3 2 2 2 2" xfId="47020"/>
    <cellStyle name="20% - Accent2 4 3 2 3 2 2 3" xfId="37376"/>
    <cellStyle name="20% - Accent2 4 3 2 3 2 3" xfId="22456"/>
    <cellStyle name="20% - Accent2 4 3 2 3 2 3 2" xfId="42211"/>
    <cellStyle name="20% - Accent2 4 3 2 3 2 4" xfId="32567"/>
    <cellStyle name="20% - Accent2 4 3 2 3 3" xfId="17549"/>
    <cellStyle name="20% - Accent2 4 3 2 3 3 2" xfId="27265"/>
    <cellStyle name="20% - Accent2 4 3 2 3 3 2 2" xfId="47019"/>
    <cellStyle name="20% - Accent2 4 3 2 3 3 3" xfId="37375"/>
    <cellStyle name="20% - Accent2 4 3 2 3 4" xfId="22455"/>
    <cellStyle name="20% - Accent2 4 3 2 3 4 2" xfId="42210"/>
    <cellStyle name="20% - Accent2 4 3 2 3 5" xfId="32566"/>
    <cellStyle name="20% - Accent2 4 3 2 4" xfId="2252"/>
    <cellStyle name="20% - Accent2 4 3 2 4 2" xfId="17551"/>
    <cellStyle name="20% - Accent2 4 3 2 4 2 2" xfId="27267"/>
    <cellStyle name="20% - Accent2 4 3 2 4 2 2 2" xfId="47021"/>
    <cellStyle name="20% - Accent2 4 3 2 4 2 3" xfId="37377"/>
    <cellStyle name="20% - Accent2 4 3 2 4 3" xfId="22457"/>
    <cellStyle name="20% - Accent2 4 3 2 4 3 2" xfId="42212"/>
    <cellStyle name="20% - Accent2 4 3 2 4 4" xfId="32568"/>
    <cellStyle name="20% - Accent2 4 3 2 5" xfId="15391"/>
    <cellStyle name="20% - Accent2 4 3 2 5 2" xfId="20263"/>
    <cellStyle name="20% - Accent2 4 3 2 5 2 2" xfId="29977"/>
    <cellStyle name="20% - Accent2 4 3 2 5 2 2 2" xfId="49730"/>
    <cellStyle name="20% - Accent2 4 3 2 5 2 3" xfId="40086"/>
    <cellStyle name="20% - Accent2 4 3 2 5 3" xfId="25165"/>
    <cellStyle name="20% - Accent2 4 3 2 5 3 2" xfId="44919"/>
    <cellStyle name="20% - Accent2 4 3 2 5 4" xfId="35275"/>
    <cellStyle name="20% - Accent2 4 3 2 6" xfId="16063"/>
    <cellStyle name="20% - Accent2 4 3 2 6 2" xfId="25779"/>
    <cellStyle name="20% - Accent2 4 3 2 6 2 2" xfId="45533"/>
    <cellStyle name="20% - Accent2 4 3 2 6 3" xfId="35889"/>
    <cellStyle name="20% - Accent2 4 3 2 7" xfId="20969"/>
    <cellStyle name="20% - Accent2 4 3 2 7 2" xfId="40724"/>
    <cellStyle name="20% - Accent2 4 3 2 8" xfId="30408"/>
    <cellStyle name="20% - Accent2 4 3 2 8 2" xfId="50156"/>
    <cellStyle name="20% - Accent2 4 3 2 9" xfId="31080"/>
    <cellStyle name="20% - Accent2 4 3 3" xfId="717"/>
    <cellStyle name="20% - Accent2 4 3 3 2" xfId="2253"/>
    <cellStyle name="20% - Accent2 4 3 3 2 2" xfId="2254"/>
    <cellStyle name="20% - Accent2 4 3 3 2 2 2" xfId="2255"/>
    <cellStyle name="20% - Accent2 4 3 3 2 2 2 2" xfId="17554"/>
    <cellStyle name="20% - Accent2 4 3 3 2 2 2 2 2" xfId="27270"/>
    <cellStyle name="20% - Accent2 4 3 3 2 2 2 2 2 2" xfId="47024"/>
    <cellStyle name="20% - Accent2 4 3 3 2 2 2 2 3" xfId="37380"/>
    <cellStyle name="20% - Accent2 4 3 3 2 2 2 3" xfId="22460"/>
    <cellStyle name="20% - Accent2 4 3 3 2 2 2 3 2" xfId="42215"/>
    <cellStyle name="20% - Accent2 4 3 3 2 2 2 4" xfId="32571"/>
    <cellStyle name="20% - Accent2 4 3 3 2 2 3" xfId="17553"/>
    <cellStyle name="20% - Accent2 4 3 3 2 2 3 2" xfId="27269"/>
    <cellStyle name="20% - Accent2 4 3 3 2 2 3 2 2" xfId="47023"/>
    <cellStyle name="20% - Accent2 4 3 3 2 2 3 3" xfId="37379"/>
    <cellStyle name="20% - Accent2 4 3 3 2 2 4" xfId="22459"/>
    <cellStyle name="20% - Accent2 4 3 3 2 2 4 2" xfId="42214"/>
    <cellStyle name="20% - Accent2 4 3 3 2 2 5" xfId="32570"/>
    <cellStyle name="20% - Accent2 4 3 3 2 3" xfId="2256"/>
    <cellStyle name="20% - Accent2 4 3 3 2 3 2" xfId="17555"/>
    <cellStyle name="20% - Accent2 4 3 3 2 3 2 2" xfId="27271"/>
    <cellStyle name="20% - Accent2 4 3 3 2 3 2 2 2" xfId="47025"/>
    <cellStyle name="20% - Accent2 4 3 3 2 3 2 3" xfId="37381"/>
    <cellStyle name="20% - Accent2 4 3 3 2 3 3" xfId="22461"/>
    <cellStyle name="20% - Accent2 4 3 3 2 3 3 2" xfId="42216"/>
    <cellStyle name="20% - Accent2 4 3 3 2 3 4" xfId="32572"/>
    <cellStyle name="20% - Accent2 4 3 3 2 4" xfId="17552"/>
    <cellStyle name="20% - Accent2 4 3 3 2 4 2" xfId="27268"/>
    <cellStyle name="20% - Accent2 4 3 3 2 4 2 2" xfId="47022"/>
    <cellStyle name="20% - Accent2 4 3 3 2 4 3" xfId="37378"/>
    <cellStyle name="20% - Accent2 4 3 3 2 5" xfId="22458"/>
    <cellStyle name="20% - Accent2 4 3 3 2 5 2" xfId="42213"/>
    <cellStyle name="20% - Accent2 4 3 3 2 6" xfId="32569"/>
    <cellStyle name="20% - Accent2 4 3 3 3" xfId="2257"/>
    <cellStyle name="20% - Accent2 4 3 3 3 2" xfId="2258"/>
    <cellStyle name="20% - Accent2 4 3 3 3 2 2" xfId="17557"/>
    <cellStyle name="20% - Accent2 4 3 3 3 2 2 2" xfId="27273"/>
    <cellStyle name="20% - Accent2 4 3 3 3 2 2 2 2" xfId="47027"/>
    <cellStyle name="20% - Accent2 4 3 3 3 2 2 3" xfId="37383"/>
    <cellStyle name="20% - Accent2 4 3 3 3 2 3" xfId="22463"/>
    <cellStyle name="20% - Accent2 4 3 3 3 2 3 2" xfId="42218"/>
    <cellStyle name="20% - Accent2 4 3 3 3 2 4" xfId="32574"/>
    <cellStyle name="20% - Accent2 4 3 3 3 3" xfId="17556"/>
    <cellStyle name="20% - Accent2 4 3 3 3 3 2" xfId="27272"/>
    <cellStyle name="20% - Accent2 4 3 3 3 3 2 2" xfId="47026"/>
    <cellStyle name="20% - Accent2 4 3 3 3 3 3" xfId="37382"/>
    <cellStyle name="20% - Accent2 4 3 3 3 4" xfId="22462"/>
    <cellStyle name="20% - Accent2 4 3 3 3 4 2" xfId="42217"/>
    <cellStyle name="20% - Accent2 4 3 3 3 5" xfId="32573"/>
    <cellStyle name="20% - Accent2 4 3 3 4" xfId="2259"/>
    <cellStyle name="20% - Accent2 4 3 3 4 2" xfId="17558"/>
    <cellStyle name="20% - Accent2 4 3 3 4 2 2" xfId="27274"/>
    <cellStyle name="20% - Accent2 4 3 3 4 2 2 2" xfId="47028"/>
    <cellStyle name="20% - Accent2 4 3 3 4 2 3" xfId="37384"/>
    <cellStyle name="20% - Accent2 4 3 3 4 3" xfId="22464"/>
    <cellStyle name="20% - Accent2 4 3 3 4 3 2" xfId="42219"/>
    <cellStyle name="20% - Accent2 4 3 3 4 4" xfId="32575"/>
    <cellStyle name="20% - Accent2 4 3 3 5" xfId="16064"/>
    <cellStyle name="20% - Accent2 4 3 3 5 2" xfId="25780"/>
    <cellStyle name="20% - Accent2 4 3 3 5 2 2" xfId="45534"/>
    <cellStyle name="20% - Accent2 4 3 3 5 3" xfId="35890"/>
    <cellStyle name="20% - Accent2 4 3 3 6" xfId="20970"/>
    <cellStyle name="20% - Accent2 4 3 3 6 2" xfId="40725"/>
    <cellStyle name="20% - Accent2 4 3 3 7" xfId="31081"/>
    <cellStyle name="20% - Accent2 4 3 4" xfId="2260"/>
    <cellStyle name="20% - Accent2 4 3 4 2" xfId="2261"/>
    <cellStyle name="20% - Accent2 4 3 4 2 2" xfId="2262"/>
    <cellStyle name="20% - Accent2 4 3 4 2 2 2" xfId="2263"/>
    <cellStyle name="20% - Accent2 4 3 4 2 2 2 2" xfId="17562"/>
    <cellStyle name="20% - Accent2 4 3 4 2 2 2 2 2" xfId="27278"/>
    <cellStyle name="20% - Accent2 4 3 4 2 2 2 2 2 2" xfId="47032"/>
    <cellStyle name="20% - Accent2 4 3 4 2 2 2 2 3" xfId="37388"/>
    <cellStyle name="20% - Accent2 4 3 4 2 2 2 3" xfId="22468"/>
    <cellStyle name="20% - Accent2 4 3 4 2 2 2 3 2" xfId="42223"/>
    <cellStyle name="20% - Accent2 4 3 4 2 2 2 4" xfId="32579"/>
    <cellStyle name="20% - Accent2 4 3 4 2 2 3" xfId="17561"/>
    <cellStyle name="20% - Accent2 4 3 4 2 2 3 2" xfId="27277"/>
    <cellStyle name="20% - Accent2 4 3 4 2 2 3 2 2" xfId="47031"/>
    <cellStyle name="20% - Accent2 4 3 4 2 2 3 3" xfId="37387"/>
    <cellStyle name="20% - Accent2 4 3 4 2 2 4" xfId="22467"/>
    <cellStyle name="20% - Accent2 4 3 4 2 2 4 2" xfId="42222"/>
    <cellStyle name="20% - Accent2 4 3 4 2 2 5" xfId="32578"/>
    <cellStyle name="20% - Accent2 4 3 4 2 3" xfId="2264"/>
    <cellStyle name="20% - Accent2 4 3 4 2 3 2" xfId="17563"/>
    <cellStyle name="20% - Accent2 4 3 4 2 3 2 2" xfId="27279"/>
    <cellStyle name="20% - Accent2 4 3 4 2 3 2 2 2" xfId="47033"/>
    <cellStyle name="20% - Accent2 4 3 4 2 3 2 3" xfId="37389"/>
    <cellStyle name="20% - Accent2 4 3 4 2 3 3" xfId="22469"/>
    <cellStyle name="20% - Accent2 4 3 4 2 3 3 2" xfId="42224"/>
    <cellStyle name="20% - Accent2 4 3 4 2 3 4" xfId="32580"/>
    <cellStyle name="20% - Accent2 4 3 4 2 4" xfId="17560"/>
    <cellStyle name="20% - Accent2 4 3 4 2 4 2" xfId="27276"/>
    <cellStyle name="20% - Accent2 4 3 4 2 4 2 2" xfId="47030"/>
    <cellStyle name="20% - Accent2 4 3 4 2 4 3" xfId="37386"/>
    <cellStyle name="20% - Accent2 4 3 4 2 5" xfId="22466"/>
    <cellStyle name="20% - Accent2 4 3 4 2 5 2" xfId="42221"/>
    <cellStyle name="20% - Accent2 4 3 4 2 6" xfId="32577"/>
    <cellStyle name="20% - Accent2 4 3 4 3" xfId="2265"/>
    <cellStyle name="20% - Accent2 4 3 4 3 2" xfId="2266"/>
    <cellStyle name="20% - Accent2 4 3 4 3 2 2" xfId="17565"/>
    <cellStyle name="20% - Accent2 4 3 4 3 2 2 2" xfId="27281"/>
    <cellStyle name="20% - Accent2 4 3 4 3 2 2 2 2" xfId="47035"/>
    <cellStyle name="20% - Accent2 4 3 4 3 2 2 3" xfId="37391"/>
    <cellStyle name="20% - Accent2 4 3 4 3 2 3" xfId="22471"/>
    <cellStyle name="20% - Accent2 4 3 4 3 2 3 2" xfId="42226"/>
    <cellStyle name="20% - Accent2 4 3 4 3 2 4" xfId="32582"/>
    <cellStyle name="20% - Accent2 4 3 4 3 3" xfId="17564"/>
    <cellStyle name="20% - Accent2 4 3 4 3 3 2" xfId="27280"/>
    <cellStyle name="20% - Accent2 4 3 4 3 3 2 2" xfId="47034"/>
    <cellStyle name="20% - Accent2 4 3 4 3 3 3" xfId="37390"/>
    <cellStyle name="20% - Accent2 4 3 4 3 4" xfId="22470"/>
    <cellStyle name="20% - Accent2 4 3 4 3 4 2" xfId="42225"/>
    <cellStyle name="20% - Accent2 4 3 4 3 5" xfId="32581"/>
    <cellStyle name="20% - Accent2 4 3 4 4" xfId="2267"/>
    <cellStyle name="20% - Accent2 4 3 4 4 2" xfId="17566"/>
    <cellStyle name="20% - Accent2 4 3 4 4 2 2" xfId="27282"/>
    <cellStyle name="20% - Accent2 4 3 4 4 2 2 2" xfId="47036"/>
    <cellStyle name="20% - Accent2 4 3 4 4 2 3" xfId="37392"/>
    <cellStyle name="20% - Accent2 4 3 4 4 3" xfId="22472"/>
    <cellStyle name="20% - Accent2 4 3 4 4 3 2" xfId="42227"/>
    <cellStyle name="20% - Accent2 4 3 4 4 4" xfId="32583"/>
    <cellStyle name="20% - Accent2 4 3 4 5" xfId="17559"/>
    <cellStyle name="20% - Accent2 4 3 4 5 2" xfId="27275"/>
    <cellStyle name="20% - Accent2 4 3 4 5 2 2" xfId="47029"/>
    <cellStyle name="20% - Accent2 4 3 4 5 3" xfId="37385"/>
    <cellStyle name="20% - Accent2 4 3 4 6" xfId="22465"/>
    <cellStyle name="20% - Accent2 4 3 4 6 2" xfId="42220"/>
    <cellStyle name="20% - Accent2 4 3 4 7" xfId="32576"/>
    <cellStyle name="20% - Accent2 4 3 5" xfId="2268"/>
    <cellStyle name="20% - Accent2 4 3 5 2" xfId="2269"/>
    <cellStyle name="20% - Accent2 4 3 5 2 2" xfId="2270"/>
    <cellStyle name="20% - Accent2 4 3 5 2 2 2" xfId="17569"/>
    <cellStyle name="20% - Accent2 4 3 5 2 2 2 2" xfId="27285"/>
    <cellStyle name="20% - Accent2 4 3 5 2 2 2 2 2" xfId="47039"/>
    <cellStyle name="20% - Accent2 4 3 5 2 2 2 3" xfId="37395"/>
    <cellStyle name="20% - Accent2 4 3 5 2 2 3" xfId="22475"/>
    <cellStyle name="20% - Accent2 4 3 5 2 2 3 2" xfId="42230"/>
    <cellStyle name="20% - Accent2 4 3 5 2 2 4" xfId="32586"/>
    <cellStyle name="20% - Accent2 4 3 5 2 3" xfId="17568"/>
    <cellStyle name="20% - Accent2 4 3 5 2 3 2" xfId="27284"/>
    <cellStyle name="20% - Accent2 4 3 5 2 3 2 2" xfId="47038"/>
    <cellStyle name="20% - Accent2 4 3 5 2 3 3" xfId="37394"/>
    <cellStyle name="20% - Accent2 4 3 5 2 4" xfId="22474"/>
    <cellStyle name="20% - Accent2 4 3 5 2 4 2" xfId="42229"/>
    <cellStyle name="20% - Accent2 4 3 5 2 5" xfId="32585"/>
    <cellStyle name="20% - Accent2 4 3 5 3" xfId="2271"/>
    <cellStyle name="20% - Accent2 4 3 5 3 2" xfId="17570"/>
    <cellStyle name="20% - Accent2 4 3 5 3 2 2" xfId="27286"/>
    <cellStyle name="20% - Accent2 4 3 5 3 2 2 2" xfId="47040"/>
    <cellStyle name="20% - Accent2 4 3 5 3 2 3" xfId="37396"/>
    <cellStyle name="20% - Accent2 4 3 5 3 3" xfId="22476"/>
    <cellStyle name="20% - Accent2 4 3 5 3 3 2" xfId="42231"/>
    <cellStyle name="20% - Accent2 4 3 5 3 4" xfId="32587"/>
    <cellStyle name="20% - Accent2 4 3 5 4" xfId="17567"/>
    <cellStyle name="20% - Accent2 4 3 5 4 2" xfId="27283"/>
    <cellStyle name="20% - Accent2 4 3 5 4 2 2" xfId="47037"/>
    <cellStyle name="20% - Accent2 4 3 5 4 3" xfId="37393"/>
    <cellStyle name="20% - Accent2 4 3 5 5" xfId="22473"/>
    <cellStyle name="20% - Accent2 4 3 5 5 2" xfId="42228"/>
    <cellStyle name="20% - Accent2 4 3 5 6" xfId="32584"/>
    <cellStyle name="20% - Accent2 4 3 6" xfId="2272"/>
    <cellStyle name="20% - Accent2 4 3 6 2" xfId="2273"/>
    <cellStyle name="20% - Accent2 4 3 6 2 2" xfId="17572"/>
    <cellStyle name="20% - Accent2 4 3 6 2 2 2" xfId="27288"/>
    <cellStyle name="20% - Accent2 4 3 6 2 2 2 2" xfId="47042"/>
    <cellStyle name="20% - Accent2 4 3 6 2 2 3" xfId="37398"/>
    <cellStyle name="20% - Accent2 4 3 6 2 3" xfId="22478"/>
    <cellStyle name="20% - Accent2 4 3 6 2 3 2" xfId="42233"/>
    <cellStyle name="20% - Accent2 4 3 6 2 4" xfId="32589"/>
    <cellStyle name="20% - Accent2 4 3 6 3" xfId="17571"/>
    <cellStyle name="20% - Accent2 4 3 6 3 2" xfId="27287"/>
    <cellStyle name="20% - Accent2 4 3 6 3 2 2" xfId="47041"/>
    <cellStyle name="20% - Accent2 4 3 6 3 3" xfId="37397"/>
    <cellStyle name="20% - Accent2 4 3 6 4" xfId="22477"/>
    <cellStyle name="20% - Accent2 4 3 6 4 2" xfId="42232"/>
    <cellStyle name="20% - Accent2 4 3 6 5" xfId="32588"/>
    <cellStyle name="20% - Accent2 4 3 7" xfId="2274"/>
    <cellStyle name="20% - Accent2 4 3 7 2" xfId="17573"/>
    <cellStyle name="20% - Accent2 4 3 7 2 2" xfId="27289"/>
    <cellStyle name="20% - Accent2 4 3 7 2 2 2" xfId="47043"/>
    <cellStyle name="20% - Accent2 4 3 7 2 3" xfId="37399"/>
    <cellStyle name="20% - Accent2 4 3 7 3" xfId="22479"/>
    <cellStyle name="20% - Accent2 4 3 7 3 2" xfId="42234"/>
    <cellStyle name="20% - Accent2 4 3 7 4" xfId="32590"/>
    <cellStyle name="20% - Accent2 4 3 8" xfId="2275"/>
    <cellStyle name="20% - Accent2 4 3 8 2" xfId="17574"/>
    <cellStyle name="20% - Accent2 4 3 8 2 2" xfId="27290"/>
    <cellStyle name="20% - Accent2 4 3 8 2 2 2" xfId="47044"/>
    <cellStyle name="20% - Accent2 4 3 8 2 3" xfId="37400"/>
    <cellStyle name="20% - Accent2 4 3 8 3" xfId="22480"/>
    <cellStyle name="20% - Accent2 4 3 8 3 2" xfId="42235"/>
    <cellStyle name="20% - Accent2 4 3 8 4" xfId="32591"/>
    <cellStyle name="20% - Accent2 4 3 9" xfId="2276"/>
    <cellStyle name="20% - Accent2 4 3 9 2" xfId="17575"/>
    <cellStyle name="20% - Accent2 4 3 9 2 2" xfId="27291"/>
    <cellStyle name="20% - Accent2 4 3 9 2 2 2" xfId="47045"/>
    <cellStyle name="20% - Accent2 4 3 9 2 3" xfId="37401"/>
    <cellStyle name="20% - Accent2 4 3 9 3" xfId="22481"/>
    <cellStyle name="20% - Accent2 4 3 9 3 2" xfId="42236"/>
    <cellStyle name="20% - Accent2 4 3 9 4" xfId="32592"/>
    <cellStyle name="20% - Accent2 4 4" xfId="718"/>
    <cellStyle name="20% - Accent2 4 4 2" xfId="2277"/>
    <cellStyle name="20% - Accent2 4 4 2 2" xfId="2278"/>
    <cellStyle name="20% - Accent2 4 4 2 2 2" xfId="2279"/>
    <cellStyle name="20% - Accent2 4 4 2 2 2 2" xfId="17578"/>
    <cellStyle name="20% - Accent2 4 4 2 2 2 2 2" xfId="27294"/>
    <cellStyle name="20% - Accent2 4 4 2 2 2 2 2 2" xfId="47048"/>
    <cellStyle name="20% - Accent2 4 4 2 2 2 2 3" xfId="37404"/>
    <cellStyle name="20% - Accent2 4 4 2 2 2 3" xfId="22484"/>
    <cellStyle name="20% - Accent2 4 4 2 2 2 3 2" xfId="42239"/>
    <cellStyle name="20% - Accent2 4 4 2 2 2 4" xfId="32595"/>
    <cellStyle name="20% - Accent2 4 4 2 2 3" xfId="17577"/>
    <cellStyle name="20% - Accent2 4 4 2 2 3 2" xfId="27293"/>
    <cellStyle name="20% - Accent2 4 4 2 2 3 2 2" xfId="47047"/>
    <cellStyle name="20% - Accent2 4 4 2 2 3 3" xfId="37403"/>
    <cellStyle name="20% - Accent2 4 4 2 2 4" xfId="22483"/>
    <cellStyle name="20% - Accent2 4 4 2 2 4 2" xfId="42238"/>
    <cellStyle name="20% - Accent2 4 4 2 2 5" xfId="32594"/>
    <cellStyle name="20% - Accent2 4 4 2 3" xfId="2280"/>
    <cellStyle name="20% - Accent2 4 4 2 3 2" xfId="17579"/>
    <cellStyle name="20% - Accent2 4 4 2 3 2 2" xfId="27295"/>
    <cellStyle name="20% - Accent2 4 4 2 3 2 2 2" xfId="47049"/>
    <cellStyle name="20% - Accent2 4 4 2 3 2 3" xfId="37405"/>
    <cellStyle name="20% - Accent2 4 4 2 3 3" xfId="22485"/>
    <cellStyle name="20% - Accent2 4 4 2 3 3 2" xfId="42240"/>
    <cellStyle name="20% - Accent2 4 4 2 3 4" xfId="32596"/>
    <cellStyle name="20% - Accent2 4 4 2 4" xfId="17576"/>
    <cellStyle name="20% - Accent2 4 4 2 4 2" xfId="27292"/>
    <cellStyle name="20% - Accent2 4 4 2 4 2 2" xfId="47046"/>
    <cellStyle name="20% - Accent2 4 4 2 4 3" xfId="37402"/>
    <cellStyle name="20% - Accent2 4 4 2 5" xfId="22482"/>
    <cellStyle name="20% - Accent2 4 4 2 5 2" xfId="42237"/>
    <cellStyle name="20% - Accent2 4 4 2 6" xfId="32593"/>
    <cellStyle name="20% - Accent2 4 4 3" xfId="2281"/>
    <cellStyle name="20% - Accent2 4 4 3 2" xfId="2282"/>
    <cellStyle name="20% - Accent2 4 4 3 2 2" xfId="17581"/>
    <cellStyle name="20% - Accent2 4 4 3 2 2 2" xfId="27297"/>
    <cellStyle name="20% - Accent2 4 4 3 2 2 2 2" xfId="47051"/>
    <cellStyle name="20% - Accent2 4 4 3 2 2 3" xfId="37407"/>
    <cellStyle name="20% - Accent2 4 4 3 2 3" xfId="22487"/>
    <cellStyle name="20% - Accent2 4 4 3 2 3 2" xfId="42242"/>
    <cellStyle name="20% - Accent2 4 4 3 2 4" xfId="32598"/>
    <cellStyle name="20% - Accent2 4 4 3 3" xfId="17580"/>
    <cellStyle name="20% - Accent2 4 4 3 3 2" xfId="27296"/>
    <cellStyle name="20% - Accent2 4 4 3 3 2 2" xfId="47050"/>
    <cellStyle name="20% - Accent2 4 4 3 3 3" xfId="37406"/>
    <cellStyle name="20% - Accent2 4 4 3 4" xfId="22486"/>
    <cellStyle name="20% - Accent2 4 4 3 4 2" xfId="42241"/>
    <cellStyle name="20% - Accent2 4 4 3 5" xfId="32597"/>
    <cellStyle name="20% - Accent2 4 4 4" xfId="2283"/>
    <cellStyle name="20% - Accent2 4 4 4 2" xfId="17582"/>
    <cellStyle name="20% - Accent2 4 4 4 2 2" xfId="27298"/>
    <cellStyle name="20% - Accent2 4 4 4 2 2 2" xfId="47052"/>
    <cellStyle name="20% - Accent2 4 4 4 2 3" xfId="37408"/>
    <cellStyle name="20% - Accent2 4 4 4 3" xfId="22488"/>
    <cellStyle name="20% - Accent2 4 4 4 3 2" xfId="42243"/>
    <cellStyle name="20% - Accent2 4 4 4 4" xfId="32599"/>
    <cellStyle name="20% - Accent2 4 4 5" xfId="15392"/>
    <cellStyle name="20% - Accent2 4 4 5 2" xfId="20264"/>
    <cellStyle name="20% - Accent2 4 4 5 2 2" xfId="29978"/>
    <cellStyle name="20% - Accent2 4 4 5 2 2 2" xfId="49731"/>
    <cellStyle name="20% - Accent2 4 4 5 2 3" xfId="40087"/>
    <cellStyle name="20% - Accent2 4 4 5 3" xfId="25166"/>
    <cellStyle name="20% - Accent2 4 4 5 3 2" xfId="44920"/>
    <cellStyle name="20% - Accent2 4 4 5 4" xfId="35276"/>
    <cellStyle name="20% - Accent2 4 4 6" xfId="16065"/>
    <cellStyle name="20% - Accent2 4 4 6 2" xfId="25781"/>
    <cellStyle name="20% - Accent2 4 4 6 2 2" xfId="45535"/>
    <cellStyle name="20% - Accent2 4 4 6 3" xfId="35891"/>
    <cellStyle name="20% - Accent2 4 4 7" xfId="20971"/>
    <cellStyle name="20% - Accent2 4 4 7 2" xfId="40726"/>
    <cellStyle name="20% - Accent2 4 4 8" xfId="30409"/>
    <cellStyle name="20% - Accent2 4 4 8 2" xfId="50157"/>
    <cellStyle name="20% - Accent2 4 4 9" xfId="31082"/>
    <cellStyle name="20% - Accent2 4 5" xfId="719"/>
    <cellStyle name="20% - Accent2 4 5 2" xfId="2284"/>
    <cellStyle name="20% - Accent2 4 5 2 2" xfId="2285"/>
    <cellStyle name="20% - Accent2 4 5 2 2 2" xfId="2286"/>
    <cellStyle name="20% - Accent2 4 5 2 2 2 2" xfId="17585"/>
    <cellStyle name="20% - Accent2 4 5 2 2 2 2 2" xfId="27301"/>
    <cellStyle name="20% - Accent2 4 5 2 2 2 2 2 2" xfId="47055"/>
    <cellStyle name="20% - Accent2 4 5 2 2 2 2 3" xfId="37411"/>
    <cellStyle name="20% - Accent2 4 5 2 2 2 3" xfId="22491"/>
    <cellStyle name="20% - Accent2 4 5 2 2 2 3 2" xfId="42246"/>
    <cellStyle name="20% - Accent2 4 5 2 2 2 4" xfId="32602"/>
    <cellStyle name="20% - Accent2 4 5 2 2 3" xfId="17584"/>
    <cellStyle name="20% - Accent2 4 5 2 2 3 2" xfId="27300"/>
    <cellStyle name="20% - Accent2 4 5 2 2 3 2 2" xfId="47054"/>
    <cellStyle name="20% - Accent2 4 5 2 2 3 3" xfId="37410"/>
    <cellStyle name="20% - Accent2 4 5 2 2 4" xfId="22490"/>
    <cellStyle name="20% - Accent2 4 5 2 2 4 2" xfId="42245"/>
    <cellStyle name="20% - Accent2 4 5 2 2 5" xfId="32601"/>
    <cellStyle name="20% - Accent2 4 5 2 3" xfId="2287"/>
    <cellStyle name="20% - Accent2 4 5 2 3 2" xfId="17586"/>
    <cellStyle name="20% - Accent2 4 5 2 3 2 2" xfId="27302"/>
    <cellStyle name="20% - Accent2 4 5 2 3 2 2 2" xfId="47056"/>
    <cellStyle name="20% - Accent2 4 5 2 3 2 3" xfId="37412"/>
    <cellStyle name="20% - Accent2 4 5 2 3 3" xfId="22492"/>
    <cellStyle name="20% - Accent2 4 5 2 3 3 2" xfId="42247"/>
    <cellStyle name="20% - Accent2 4 5 2 3 4" xfId="32603"/>
    <cellStyle name="20% - Accent2 4 5 2 4" xfId="17583"/>
    <cellStyle name="20% - Accent2 4 5 2 4 2" xfId="27299"/>
    <cellStyle name="20% - Accent2 4 5 2 4 2 2" xfId="47053"/>
    <cellStyle name="20% - Accent2 4 5 2 4 3" xfId="37409"/>
    <cellStyle name="20% - Accent2 4 5 2 5" xfId="22489"/>
    <cellStyle name="20% - Accent2 4 5 2 5 2" xfId="42244"/>
    <cellStyle name="20% - Accent2 4 5 2 6" xfId="32600"/>
    <cellStyle name="20% - Accent2 4 5 3" xfId="2288"/>
    <cellStyle name="20% - Accent2 4 5 3 2" xfId="2289"/>
    <cellStyle name="20% - Accent2 4 5 3 2 2" xfId="17588"/>
    <cellStyle name="20% - Accent2 4 5 3 2 2 2" xfId="27304"/>
    <cellStyle name="20% - Accent2 4 5 3 2 2 2 2" xfId="47058"/>
    <cellStyle name="20% - Accent2 4 5 3 2 2 3" xfId="37414"/>
    <cellStyle name="20% - Accent2 4 5 3 2 3" xfId="22494"/>
    <cellStyle name="20% - Accent2 4 5 3 2 3 2" xfId="42249"/>
    <cellStyle name="20% - Accent2 4 5 3 2 4" xfId="32605"/>
    <cellStyle name="20% - Accent2 4 5 3 3" xfId="17587"/>
    <cellStyle name="20% - Accent2 4 5 3 3 2" xfId="27303"/>
    <cellStyle name="20% - Accent2 4 5 3 3 2 2" xfId="47057"/>
    <cellStyle name="20% - Accent2 4 5 3 3 3" xfId="37413"/>
    <cellStyle name="20% - Accent2 4 5 3 4" xfId="22493"/>
    <cellStyle name="20% - Accent2 4 5 3 4 2" xfId="42248"/>
    <cellStyle name="20% - Accent2 4 5 3 5" xfId="32604"/>
    <cellStyle name="20% - Accent2 4 5 4" xfId="2290"/>
    <cellStyle name="20% - Accent2 4 5 4 2" xfId="17589"/>
    <cellStyle name="20% - Accent2 4 5 4 2 2" xfId="27305"/>
    <cellStyle name="20% - Accent2 4 5 4 2 2 2" xfId="47059"/>
    <cellStyle name="20% - Accent2 4 5 4 2 3" xfId="37415"/>
    <cellStyle name="20% - Accent2 4 5 4 3" xfId="22495"/>
    <cellStyle name="20% - Accent2 4 5 4 3 2" xfId="42250"/>
    <cellStyle name="20% - Accent2 4 5 4 4" xfId="32606"/>
    <cellStyle name="20% - Accent2 4 5 5" xfId="16066"/>
    <cellStyle name="20% - Accent2 4 5 5 2" xfId="25782"/>
    <cellStyle name="20% - Accent2 4 5 5 2 2" xfId="45536"/>
    <cellStyle name="20% - Accent2 4 5 5 3" xfId="35892"/>
    <cellStyle name="20% - Accent2 4 5 6" xfId="20972"/>
    <cellStyle name="20% - Accent2 4 5 6 2" xfId="40727"/>
    <cellStyle name="20% - Accent2 4 5 7" xfId="31083"/>
    <cellStyle name="20% - Accent2 4 6" xfId="2291"/>
    <cellStyle name="20% - Accent2 4 6 2" xfId="2292"/>
    <cellStyle name="20% - Accent2 4 6 2 2" xfId="2293"/>
    <cellStyle name="20% - Accent2 4 6 2 2 2" xfId="2294"/>
    <cellStyle name="20% - Accent2 4 6 2 2 2 2" xfId="17593"/>
    <cellStyle name="20% - Accent2 4 6 2 2 2 2 2" xfId="27309"/>
    <cellStyle name="20% - Accent2 4 6 2 2 2 2 2 2" xfId="47063"/>
    <cellStyle name="20% - Accent2 4 6 2 2 2 2 3" xfId="37419"/>
    <cellStyle name="20% - Accent2 4 6 2 2 2 3" xfId="22499"/>
    <cellStyle name="20% - Accent2 4 6 2 2 2 3 2" xfId="42254"/>
    <cellStyle name="20% - Accent2 4 6 2 2 2 4" xfId="32610"/>
    <cellStyle name="20% - Accent2 4 6 2 2 3" xfId="17592"/>
    <cellStyle name="20% - Accent2 4 6 2 2 3 2" xfId="27308"/>
    <cellStyle name="20% - Accent2 4 6 2 2 3 2 2" xfId="47062"/>
    <cellStyle name="20% - Accent2 4 6 2 2 3 3" xfId="37418"/>
    <cellStyle name="20% - Accent2 4 6 2 2 4" xfId="22498"/>
    <cellStyle name="20% - Accent2 4 6 2 2 4 2" xfId="42253"/>
    <cellStyle name="20% - Accent2 4 6 2 2 5" xfId="32609"/>
    <cellStyle name="20% - Accent2 4 6 2 3" xfId="2295"/>
    <cellStyle name="20% - Accent2 4 6 2 3 2" xfId="17594"/>
    <cellStyle name="20% - Accent2 4 6 2 3 2 2" xfId="27310"/>
    <cellStyle name="20% - Accent2 4 6 2 3 2 2 2" xfId="47064"/>
    <cellStyle name="20% - Accent2 4 6 2 3 2 3" xfId="37420"/>
    <cellStyle name="20% - Accent2 4 6 2 3 3" xfId="22500"/>
    <cellStyle name="20% - Accent2 4 6 2 3 3 2" xfId="42255"/>
    <cellStyle name="20% - Accent2 4 6 2 3 4" xfId="32611"/>
    <cellStyle name="20% - Accent2 4 6 2 4" xfId="17591"/>
    <cellStyle name="20% - Accent2 4 6 2 4 2" xfId="27307"/>
    <cellStyle name="20% - Accent2 4 6 2 4 2 2" xfId="47061"/>
    <cellStyle name="20% - Accent2 4 6 2 4 3" xfId="37417"/>
    <cellStyle name="20% - Accent2 4 6 2 5" xfId="22497"/>
    <cellStyle name="20% - Accent2 4 6 2 5 2" xfId="42252"/>
    <cellStyle name="20% - Accent2 4 6 2 6" xfId="32608"/>
    <cellStyle name="20% - Accent2 4 6 3" xfId="2296"/>
    <cellStyle name="20% - Accent2 4 6 3 2" xfId="2297"/>
    <cellStyle name="20% - Accent2 4 6 3 2 2" xfId="17596"/>
    <cellStyle name="20% - Accent2 4 6 3 2 2 2" xfId="27312"/>
    <cellStyle name="20% - Accent2 4 6 3 2 2 2 2" xfId="47066"/>
    <cellStyle name="20% - Accent2 4 6 3 2 2 3" xfId="37422"/>
    <cellStyle name="20% - Accent2 4 6 3 2 3" xfId="22502"/>
    <cellStyle name="20% - Accent2 4 6 3 2 3 2" xfId="42257"/>
    <cellStyle name="20% - Accent2 4 6 3 2 4" xfId="32613"/>
    <cellStyle name="20% - Accent2 4 6 3 3" xfId="17595"/>
    <cellStyle name="20% - Accent2 4 6 3 3 2" xfId="27311"/>
    <cellStyle name="20% - Accent2 4 6 3 3 2 2" xfId="47065"/>
    <cellStyle name="20% - Accent2 4 6 3 3 3" xfId="37421"/>
    <cellStyle name="20% - Accent2 4 6 3 4" xfId="22501"/>
    <cellStyle name="20% - Accent2 4 6 3 4 2" xfId="42256"/>
    <cellStyle name="20% - Accent2 4 6 3 5" xfId="32612"/>
    <cellStyle name="20% - Accent2 4 6 4" xfId="2298"/>
    <cellStyle name="20% - Accent2 4 6 4 2" xfId="17597"/>
    <cellStyle name="20% - Accent2 4 6 4 2 2" xfId="27313"/>
    <cellStyle name="20% - Accent2 4 6 4 2 2 2" xfId="47067"/>
    <cellStyle name="20% - Accent2 4 6 4 2 3" xfId="37423"/>
    <cellStyle name="20% - Accent2 4 6 4 3" xfId="22503"/>
    <cellStyle name="20% - Accent2 4 6 4 3 2" xfId="42258"/>
    <cellStyle name="20% - Accent2 4 6 4 4" xfId="32614"/>
    <cellStyle name="20% - Accent2 4 6 5" xfId="17590"/>
    <cellStyle name="20% - Accent2 4 6 5 2" xfId="27306"/>
    <cellStyle name="20% - Accent2 4 6 5 2 2" xfId="47060"/>
    <cellStyle name="20% - Accent2 4 6 5 3" xfId="37416"/>
    <cellStyle name="20% - Accent2 4 6 6" xfId="22496"/>
    <cellStyle name="20% - Accent2 4 6 6 2" xfId="42251"/>
    <cellStyle name="20% - Accent2 4 6 7" xfId="32607"/>
    <cellStyle name="20% - Accent2 4 7" xfId="2299"/>
    <cellStyle name="20% - Accent2 4 7 2" xfId="2300"/>
    <cellStyle name="20% - Accent2 4 7 2 2" xfId="2301"/>
    <cellStyle name="20% - Accent2 4 7 2 2 2" xfId="17600"/>
    <cellStyle name="20% - Accent2 4 7 2 2 2 2" xfId="27316"/>
    <cellStyle name="20% - Accent2 4 7 2 2 2 2 2" xfId="47070"/>
    <cellStyle name="20% - Accent2 4 7 2 2 2 3" xfId="37426"/>
    <cellStyle name="20% - Accent2 4 7 2 2 3" xfId="22506"/>
    <cellStyle name="20% - Accent2 4 7 2 2 3 2" xfId="42261"/>
    <cellStyle name="20% - Accent2 4 7 2 2 4" xfId="32617"/>
    <cellStyle name="20% - Accent2 4 7 2 3" xfId="17599"/>
    <cellStyle name="20% - Accent2 4 7 2 3 2" xfId="27315"/>
    <cellStyle name="20% - Accent2 4 7 2 3 2 2" xfId="47069"/>
    <cellStyle name="20% - Accent2 4 7 2 3 3" xfId="37425"/>
    <cellStyle name="20% - Accent2 4 7 2 4" xfId="22505"/>
    <cellStyle name="20% - Accent2 4 7 2 4 2" xfId="42260"/>
    <cellStyle name="20% - Accent2 4 7 2 5" xfId="32616"/>
    <cellStyle name="20% - Accent2 4 7 3" xfId="2302"/>
    <cellStyle name="20% - Accent2 4 7 3 2" xfId="17601"/>
    <cellStyle name="20% - Accent2 4 7 3 2 2" xfId="27317"/>
    <cellStyle name="20% - Accent2 4 7 3 2 2 2" xfId="47071"/>
    <cellStyle name="20% - Accent2 4 7 3 2 3" xfId="37427"/>
    <cellStyle name="20% - Accent2 4 7 3 3" xfId="22507"/>
    <cellStyle name="20% - Accent2 4 7 3 3 2" xfId="42262"/>
    <cellStyle name="20% - Accent2 4 7 3 4" xfId="32618"/>
    <cellStyle name="20% - Accent2 4 7 4" xfId="17598"/>
    <cellStyle name="20% - Accent2 4 7 4 2" xfId="27314"/>
    <cellStyle name="20% - Accent2 4 7 4 2 2" xfId="47068"/>
    <cellStyle name="20% - Accent2 4 7 4 3" xfId="37424"/>
    <cellStyle name="20% - Accent2 4 7 5" xfId="22504"/>
    <cellStyle name="20% - Accent2 4 7 5 2" xfId="42259"/>
    <cellStyle name="20% - Accent2 4 7 6" xfId="32615"/>
    <cellStyle name="20% - Accent2 4 8" xfId="2303"/>
    <cellStyle name="20% - Accent2 4 8 2" xfId="2304"/>
    <cellStyle name="20% - Accent2 4 8 2 2" xfId="17603"/>
    <cellStyle name="20% - Accent2 4 8 2 2 2" xfId="27319"/>
    <cellStyle name="20% - Accent2 4 8 2 2 2 2" xfId="47073"/>
    <cellStyle name="20% - Accent2 4 8 2 2 3" xfId="37429"/>
    <cellStyle name="20% - Accent2 4 8 2 3" xfId="22509"/>
    <cellStyle name="20% - Accent2 4 8 2 3 2" xfId="42264"/>
    <cellStyle name="20% - Accent2 4 8 2 4" xfId="32620"/>
    <cellStyle name="20% - Accent2 4 8 3" xfId="17602"/>
    <cellStyle name="20% - Accent2 4 8 3 2" xfId="27318"/>
    <cellStyle name="20% - Accent2 4 8 3 2 2" xfId="47072"/>
    <cellStyle name="20% - Accent2 4 8 3 3" xfId="37428"/>
    <cellStyle name="20% - Accent2 4 8 4" xfId="22508"/>
    <cellStyle name="20% - Accent2 4 8 4 2" xfId="42263"/>
    <cellStyle name="20% - Accent2 4 8 5" xfId="32619"/>
    <cellStyle name="20% - Accent2 4 9" xfId="2305"/>
    <cellStyle name="20% - Accent2 4 9 2" xfId="2306"/>
    <cellStyle name="20% - Accent2 4 9 2 2" xfId="17605"/>
    <cellStyle name="20% - Accent2 4 9 2 2 2" xfId="27321"/>
    <cellStyle name="20% - Accent2 4 9 2 2 2 2" xfId="47075"/>
    <cellStyle name="20% - Accent2 4 9 2 2 3" xfId="37431"/>
    <cellStyle name="20% - Accent2 4 9 2 3" xfId="22511"/>
    <cellStyle name="20% - Accent2 4 9 2 3 2" xfId="42266"/>
    <cellStyle name="20% - Accent2 4 9 2 4" xfId="32622"/>
    <cellStyle name="20% - Accent2 4 9 3" xfId="17604"/>
    <cellStyle name="20% - Accent2 4 9 3 2" xfId="27320"/>
    <cellStyle name="20% - Accent2 4 9 3 2 2" xfId="47074"/>
    <cellStyle name="20% - Accent2 4 9 3 3" xfId="37430"/>
    <cellStyle name="20% - Accent2 4 9 4" xfId="22510"/>
    <cellStyle name="20% - Accent2 4 9 4 2" xfId="42265"/>
    <cellStyle name="20% - Accent2 4 9 5" xfId="32621"/>
    <cellStyle name="20% - Accent2 5" xfId="32"/>
    <cellStyle name="20% - Accent2 5 10" xfId="2307"/>
    <cellStyle name="20% - Accent2 5 10 2" xfId="17606"/>
    <cellStyle name="20% - Accent2 5 10 2 2" xfId="27322"/>
    <cellStyle name="20% - Accent2 5 10 2 2 2" xfId="47076"/>
    <cellStyle name="20% - Accent2 5 10 2 3" xfId="37432"/>
    <cellStyle name="20% - Accent2 5 10 3" xfId="22512"/>
    <cellStyle name="20% - Accent2 5 10 3 2" xfId="42267"/>
    <cellStyle name="20% - Accent2 5 10 4" xfId="32623"/>
    <cellStyle name="20% - Accent2 5 11" xfId="2308"/>
    <cellStyle name="20% - Accent2 5 11 2" xfId="17607"/>
    <cellStyle name="20% - Accent2 5 11 2 2" xfId="27323"/>
    <cellStyle name="20% - Accent2 5 11 2 2 2" xfId="47077"/>
    <cellStyle name="20% - Accent2 5 11 2 3" xfId="37433"/>
    <cellStyle name="20% - Accent2 5 11 3" xfId="22513"/>
    <cellStyle name="20% - Accent2 5 11 3 2" xfId="42268"/>
    <cellStyle name="20% - Accent2 5 11 4" xfId="32624"/>
    <cellStyle name="20% - Accent2 5 12" xfId="15393"/>
    <cellStyle name="20% - Accent2 5 12 2" xfId="20265"/>
    <cellStyle name="20% - Accent2 5 12 2 2" xfId="29979"/>
    <cellStyle name="20% - Accent2 5 12 2 2 2" xfId="49732"/>
    <cellStyle name="20% - Accent2 5 12 2 3" xfId="40088"/>
    <cellStyle name="20% - Accent2 5 12 3" xfId="25167"/>
    <cellStyle name="20% - Accent2 5 12 3 2" xfId="44921"/>
    <cellStyle name="20% - Accent2 5 12 4" xfId="35277"/>
    <cellStyle name="20% - Accent2 5 13" xfId="15835"/>
    <cellStyle name="20% - Accent2 5 13 2" xfId="25551"/>
    <cellStyle name="20% - Accent2 5 13 2 2" xfId="45305"/>
    <cellStyle name="20% - Accent2 5 13 3" xfId="35661"/>
    <cellStyle name="20% - Accent2 5 14" xfId="20708"/>
    <cellStyle name="20% - Accent2 5 14 2" xfId="40488"/>
    <cellStyle name="20% - Accent2 5 15" xfId="30410"/>
    <cellStyle name="20% - Accent2 5 15 2" xfId="50158"/>
    <cellStyle name="20% - Accent2 5 16" xfId="30819"/>
    <cellStyle name="20% - Accent2 5 2" xfId="33"/>
    <cellStyle name="20% - Accent2 5 2 10" xfId="15394"/>
    <cellStyle name="20% - Accent2 5 2 10 2" xfId="20266"/>
    <cellStyle name="20% - Accent2 5 2 10 2 2" xfId="29980"/>
    <cellStyle name="20% - Accent2 5 2 10 2 2 2" xfId="49733"/>
    <cellStyle name="20% - Accent2 5 2 10 2 3" xfId="40089"/>
    <cellStyle name="20% - Accent2 5 2 10 3" xfId="25168"/>
    <cellStyle name="20% - Accent2 5 2 10 3 2" xfId="44922"/>
    <cellStyle name="20% - Accent2 5 2 10 4" xfId="35278"/>
    <cellStyle name="20% - Accent2 5 2 11" xfId="15836"/>
    <cellStyle name="20% - Accent2 5 2 11 2" xfId="25552"/>
    <cellStyle name="20% - Accent2 5 2 11 2 2" xfId="45306"/>
    <cellStyle name="20% - Accent2 5 2 11 3" xfId="35662"/>
    <cellStyle name="20% - Accent2 5 2 12" xfId="20709"/>
    <cellStyle name="20% - Accent2 5 2 12 2" xfId="40489"/>
    <cellStyle name="20% - Accent2 5 2 13" xfId="30411"/>
    <cellStyle name="20% - Accent2 5 2 13 2" xfId="50159"/>
    <cellStyle name="20% - Accent2 5 2 14" xfId="30820"/>
    <cellStyle name="20% - Accent2 5 2 2" xfId="720"/>
    <cellStyle name="20% - Accent2 5 2 2 2" xfId="2309"/>
    <cellStyle name="20% - Accent2 5 2 2 2 2" xfId="2310"/>
    <cellStyle name="20% - Accent2 5 2 2 2 2 2" xfId="2311"/>
    <cellStyle name="20% - Accent2 5 2 2 2 2 2 2" xfId="17610"/>
    <cellStyle name="20% - Accent2 5 2 2 2 2 2 2 2" xfId="27326"/>
    <cellStyle name="20% - Accent2 5 2 2 2 2 2 2 2 2" xfId="47080"/>
    <cellStyle name="20% - Accent2 5 2 2 2 2 2 2 3" xfId="37436"/>
    <cellStyle name="20% - Accent2 5 2 2 2 2 2 3" xfId="22516"/>
    <cellStyle name="20% - Accent2 5 2 2 2 2 2 3 2" xfId="42271"/>
    <cellStyle name="20% - Accent2 5 2 2 2 2 2 4" xfId="32627"/>
    <cellStyle name="20% - Accent2 5 2 2 2 2 3" xfId="17609"/>
    <cellStyle name="20% - Accent2 5 2 2 2 2 3 2" xfId="27325"/>
    <cellStyle name="20% - Accent2 5 2 2 2 2 3 2 2" xfId="47079"/>
    <cellStyle name="20% - Accent2 5 2 2 2 2 3 3" xfId="37435"/>
    <cellStyle name="20% - Accent2 5 2 2 2 2 4" xfId="22515"/>
    <cellStyle name="20% - Accent2 5 2 2 2 2 4 2" xfId="42270"/>
    <cellStyle name="20% - Accent2 5 2 2 2 2 5" xfId="32626"/>
    <cellStyle name="20% - Accent2 5 2 2 2 3" xfId="2312"/>
    <cellStyle name="20% - Accent2 5 2 2 2 3 2" xfId="17611"/>
    <cellStyle name="20% - Accent2 5 2 2 2 3 2 2" xfId="27327"/>
    <cellStyle name="20% - Accent2 5 2 2 2 3 2 2 2" xfId="47081"/>
    <cellStyle name="20% - Accent2 5 2 2 2 3 2 3" xfId="37437"/>
    <cellStyle name="20% - Accent2 5 2 2 2 3 3" xfId="22517"/>
    <cellStyle name="20% - Accent2 5 2 2 2 3 3 2" xfId="42272"/>
    <cellStyle name="20% - Accent2 5 2 2 2 3 4" xfId="32628"/>
    <cellStyle name="20% - Accent2 5 2 2 2 4" xfId="17608"/>
    <cellStyle name="20% - Accent2 5 2 2 2 4 2" xfId="27324"/>
    <cellStyle name="20% - Accent2 5 2 2 2 4 2 2" xfId="47078"/>
    <cellStyle name="20% - Accent2 5 2 2 2 4 3" xfId="37434"/>
    <cellStyle name="20% - Accent2 5 2 2 2 5" xfId="22514"/>
    <cellStyle name="20% - Accent2 5 2 2 2 5 2" xfId="42269"/>
    <cellStyle name="20% - Accent2 5 2 2 2 6" xfId="32625"/>
    <cellStyle name="20% - Accent2 5 2 2 3" xfId="2313"/>
    <cellStyle name="20% - Accent2 5 2 2 3 2" xfId="2314"/>
    <cellStyle name="20% - Accent2 5 2 2 3 2 2" xfId="17613"/>
    <cellStyle name="20% - Accent2 5 2 2 3 2 2 2" xfId="27329"/>
    <cellStyle name="20% - Accent2 5 2 2 3 2 2 2 2" xfId="47083"/>
    <cellStyle name="20% - Accent2 5 2 2 3 2 2 3" xfId="37439"/>
    <cellStyle name="20% - Accent2 5 2 2 3 2 3" xfId="22519"/>
    <cellStyle name="20% - Accent2 5 2 2 3 2 3 2" xfId="42274"/>
    <cellStyle name="20% - Accent2 5 2 2 3 2 4" xfId="32630"/>
    <cellStyle name="20% - Accent2 5 2 2 3 3" xfId="17612"/>
    <cellStyle name="20% - Accent2 5 2 2 3 3 2" xfId="27328"/>
    <cellStyle name="20% - Accent2 5 2 2 3 3 2 2" xfId="47082"/>
    <cellStyle name="20% - Accent2 5 2 2 3 3 3" xfId="37438"/>
    <cellStyle name="20% - Accent2 5 2 2 3 4" xfId="22518"/>
    <cellStyle name="20% - Accent2 5 2 2 3 4 2" xfId="42273"/>
    <cellStyle name="20% - Accent2 5 2 2 3 5" xfId="32629"/>
    <cellStyle name="20% - Accent2 5 2 2 4" xfId="2315"/>
    <cellStyle name="20% - Accent2 5 2 2 4 2" xfId="17614"/>
    <cellStyle name="20% - Accent2 5 2 2 4 2 2" xfId="27330"/>
    <cellStyle name="20% - Accent2 5 2 2 4 2 2 2" xfId="47084"/>
    <cellStyle name="20% - Accent2 5 2 2 4 2 3" xfId="37440"/>
    <cellStyle name="20% - Accent2 5 2 2 4 3" xfId="22520"/>
    <cellStyle name="20% - Accent2 5 2 2 4 3 2" xfId="42275"/>
    <cellStyle name="20% - Accent2 5 2 2 4 4" xfId="32631"/>
    <cellStyle name="20% - Accent2 5 2 2 5" xfId="15395"/>
    <cellStyle name="20% - Accent2 5 2 2 5 2" xfId="20267"/>
    <cellStyle name="20% - Accent2 5 2 2 5 2 2" xfId="29981"/>
    <cellStyle name="20% - Accent2 5 2 2 5 2 2 2" xfId="49734"/>
    <cellStyle name="20% - Accent2 5 2 2 5 2 3" xfId="40090"/>
    <cellStyle name="20% - Accent2 5 2 2 5 3" xfId="25169"/>
    <cellStyle name="20% - Accent2 5 2 2 5 3 2" xfId="44923"/>
    <cellStyle name="20% - Accent2 5 2 2 5 4" xfId="35279"/>
    <cellStyle name="20% - Accent2 5 2 2 6" xfId="16067"/>
    <cellStyle name="20% - Accent2 5 2 2 6 2" xfId="25783"/>
    <cellStyle name="20% - Accent2 5 2 2 6 2 2" xfId="45537"/>
    <cellStyle name="20% - Accent2 5 2 2 6 3" xfId="35893"/>
    <cellStyle name="20% - Accent2 5 2 2 7" xfId="20973"/>
    <cellStyle name="20% - Accent2 5 2 2 7 2" xfId="40728"/>
    <cellStyle name="20% - Accent2 5 2 2 8" xfId="30412"/>
    <cellStyle name="20% - Accent2 5 2 2 8 2" xfId="50160"/>
    <cellStyle name="20% - Accent2 5 2 2 9" xfId="31084"/>
    <cellStyle name="20% - Accent2 5 2 3" xfId="721"/>
    <cellStyle name="20% - Accent2 5 2 3 2" xfId="2316"/>
    <cellStyle name="20% - Accent2 5 2 3 2 2" xfId="2317"/>
    <cellStyle name="20% - Accent2 5 2 3 2 2 2" xfId="2318"/>
    <cellStyle name="20% - Accent2 5 2 3 2 2 2 2" xfId="17617"/>
    <cellStyle name="20% - Accent2 5 2 3 2 2 2 2 2" xfId="27333"/>
    <cellStyle name="20% - Accent2 5 2 3 2 2 2 2 2 2" xfId="47087"/>
    <cellStyle name="20% - Accent2 5 2 3 2 2 2 2 3" xfId="37443"/>
    <cellStyle name="20% - Accent2 5 2 3 2 2 2 3" xfId="22523"/>
    <cellStyle name="20% - Accent2 5 2 3 2 2 2 3 2" xfId="42278"/>
    <cellStyle name="20% - Accent2 5 2 3 2 2 2 4" xfId="32634"/>
    <cellStyle name="20% - Accent2 5 2 3 2 2 3" xfId="17616"/>
    <cellStyle name="20% - Accent2 5 2 3 2 2 3 2" xfId="27332"/>
    <cellStyle name="20% - Accent2 5 2 3 2 2 3 2 2" xfId="47086"/>
    <cellStyle name="20% - Accent2 5 2 3 2 2 3 3" xfId="37442"/>
    <cellStyle name="20% - Accent2 5 2 3 2 2 4" xfId="22522"/>
    <cellStyle name="20% - Accent2 5 2 3 2 2 4 2" xfId="42277"/>
    <cellStyle name="20% - Accent2 5 2 3 2 2 5" xfId="32633"/>
    <cellStyle name="20% - Accent2 5 2 3 2 3" xfId="2319"/>
    <cellStyle name="20% - Accent2 5 2 3 2 3 2" xfId="17618"/>
    <cellStyle name="20% - Accent2 5 2 3 2 3 2 2" xfId="27334"/>
    <cellStyle name="20% - Accent2 5 2 3 2 3 2 2 2" xfId="47088"/>
    <cellStyle name="20% - Accent2 5 2 3 2 3 2 3" xfId="37444"/>
    <cellStyle name="20% - Accent2 5 2 3 2 3 3" xfId="22524"/>
    <cellStyle name="20% - Accent2 5 2 3 2 3 3 2" xfId="42279"/>
    <cellStyle name="20% - Accent2 5 2 3 2 3 4" xfId="32635"/>
    <cellStyle name="20% - Accent2 5 2 3 2 4" xfId="17615"/>
    <cellStyle name="20% - Accent2 5 2 3 2 4 2" xfId="27331"/>
    <cellStyle name="20% - Accent2 5 2 3 2 4 2 2" xfId="47085"/>
    <cellStyle name="20% - Accent2 5 2 3 2 4 3" xfId="37441"/>
    <cellStyle name="20% - Accent2 5 2 3 2 5" xfId="22521"/>
    <cellStyle name="20% - Accent2 5 2 3 2 5 2" xfId="42276"/>
    <cellStyle name="20% - Accent2 5 2 3 2 6" xfId="32632"/>
    <cellStyle name="20% - Accent2 5 2 3 3" xfId="2320"/>
    <cellStyle name="20% - Accent2 5 2 3 3 2" xfId="2321"/>
    <cellStyle name="20% - Accent2 5 2 3 3 2 2" xfId="17620"/>
    <cellStyle name="20% - Accent2 5 2 3 3 2 2 2" xfId="27336"/>
    <cellStyle name="20% - Accent2 5 2 3 3 2 2 2 2" xfId="47090"/>
    <cellStyle name="20% - Accent2 5 2 3 3 2 2 3" xfId="37446"/>
    <cellStyle name="20% - Accent2 5 2 3 3 2 3" xfId="22526"/>
    <cellStyle name="20% - Accent2 5 2 3 3 2 3 2" xfId="42281"/>
    <cellStyle name="20% - Accent2 5 2 3 3 2 4" xfId="32637"/>
    <cellStyle name="20% - Accent2 5 2 3 3 3" xfId="17619"/>
    <cellStyle name="20% - Accent2 5 2 3 3 3 2" xfId="27335"/>
    <cellStyle name="20% - Accent2 5 2 3 3 3 2 2" xfId="47089"/>
    <cellStyle name="20% - Accent2 5 2 3 3 3 3" xfId="37445"/>
    <cellStyle name="20% - Accent2 5 2 3 3 4" xfId="22525"/>
    <cellStyle name="20% - Accent2 5 2 3 3 4 2" xfId="42280"/>
    <cellStyle name="20% - Accent2 5 2 3 3 5" xfId="32636"/>
    <cellStyle name="20% - Accent2 5 2 3 4" xfId="2322"/>
    <cellStyle name="20% - Accent2 5 2 3 4 2" xfId="17621"/>
    <cellStyle name="20% - Accent2 5 2 3 4 2 2" xfId="27337"/>
    <cellStyle name="20% - Accent2 5 2 3 4 2 2 2" xfId="47091"/>
    <cellStyle name="20% - Accent2 5 2 3 4 2 3" xfId="37447"/>
    <cellStyle name="20% - Accent2 5 2 3 4 3" xfId="22527"/>
    <cellStyle name="20% - Accent2 5 2 3 4 3 2" xfId="42282"/>
    <cellStyle name="20% - Accent2 5 2 3 4 4" xfId="32638"/>
    <cellStyle name="20% - Accent2 5 2 3 5" xfId="16068"/>
    <cellStyle name="20% - Accent2 5 2 3 5 2" xfId="25784"/>
    <cellStyle name="20% - Accent2 5 2 3 5 2 2" xfId="45538"/>
    <cellStyle name="20% - Accent2 5 2 3 5 3" xfId="35894"/>
    <cellStyle name="20% - Accent2 5 2 3 6" xfId="20974"/>
    <cellStyle name="20% - Accent2 5 2 3 6 2" xfId="40729"/>
    <cellStyle name="20% - Accent2 5 2 3 7" xfId="31085"/>
    <cellStyle name="20% - Accent2 5 2 4" xfId="2323"/>
    <cellStyle name="20% - Accent2 5 2 4 2" xfId="2324"/>
    <cellStyle name="20% - Accent2 5 2 4 2 2" xfId="2325"/>
    <cellStyle name="20% - Accent2 5 2 4 2 2 2" xfId="2326"/>
    <cellStyle name="20% - Accent2 5 2 4 2 2 2 2" xfId="17625"/>
    <cellStyle name="20% - Accent2 5 2 4 2 2 2 2 2" xfId="27341"/>
    <cellStyle name="20% - Accent2 5 2 4 2 2 2 2 2 2" xfId="47095"/>
    <cellStyle name="20% - Accent2 5 2 4 2 2 2 2 3" xfId="37451"/>
    <cellStyle name="20% - Accent2 5 2 4 2 2 2 3" xfId="22531"/>
    <cellStyle name="20% - Accent2 5 2 4 2 2 2 3 2" xfId="42286"/>
    <cellStyle name="20% - Accent2 5 2 4 2 2 2 4" xfId="32642"/>
    <cellStyle name="20% - Accent2 5 2 4 2 2 3" xfId="17624"/>
    <cellStyle name="20% - Accent2 5 2 4 2 2 3 2" xfId="27340"/>
    <cellStyle name="20% - Accent2 5 2 4 2 2 3 2 2" xfId="47094"/>
    <cellStyle name="20% - Accent2 5 2 4 2 2 3 3" xfId="37450"/>
    <cellStyle name="20% - Accent2 5 2 4 2 2 4" xfId="22530"/>
    <cellStyle name="20% - Accent2 5 2 4 2 2 4 2" xfId="42285"/>
    <cellStyle name="20% - Accent2 5 2 4 2 2 5" xfId="32641"/>
    <cellStyle name="20% - Accent2 5 2 4 2 3" xfId="2327"/>
    <cellStyle name="20% - Accent2 5 2 4 2 3 2" xfId="17626"/>
    <cellStyle name="20% - Accent2 5 2 4 2 3 2 2" xfId="27342"/>
    <cellStyle name="20% - Accent2 5 2 4 2 3 2 2 2" xfId="47096"/>
    <cellStyle name="20% - Accent2 5 2 4 2 3 2 3" xfId="37452"/>
    <cellStyle name="20% - Accent2 5 2 4 2 3 3" xfId="22532"/>
    <cellStyle name="20% - Accent2 5 2 4 2 3 3 2" xfId="42287"/>
    <cellStyle name="20% - Accent2 5 2 4 2 3 4" xfId="32643"/>
    <cellStyle name="20% - Accent2 5 2 4 2 4" xfId="17623"/>
    <cellStyle name="20% - Accent2 5 2 4 2 4 2" xfId="27339"/>
    <cellStyle name="20% - Accent2 5 2 4 2 4 2 2" xfId="47093"/>
    <cellStyle name="20% - Accent2 5 2 4 2 4 3" xfId="37449"/>
    <cellStyle name="20% - Accent2 5 2 4 2 5" xfId="22529"/>
    <cellStyle name="20% - Accent2 5 2 4 2 5 2" xfId="42284"/>
    <cellStyle name="20% - Accent2 5 2 4 2 6" xfId="32640"/>
    <cellStyle name="20% - Accent2 5 2 4 3" xfId="2328"/>
    <cellStyle name="20% - Accent2 5 2 4 3 2" xfId="2329"/>
    <cellStyle name="20% - Accent2 5 2 4 3 2 2" xfId="17628"/>
    <cellStyle name="20% - Accent2 5 2 4 3 2 2 2" xfId="27344"/>
    <cellStyle name="20% - Accent2 5 2 4 3 2 2 2 2" xfId="47098"/>
    <cellStyle name="20% - Accent2 5 2 4 3 2 2 3" xfId="37454"/>
    <cellStyle name="20% - Accent2 5 2 4 3 2 3" xfId="22534"/>
    <cellStyle name="20% - Accent2 5 2 4 3 2 3 2" xfId="42289"/>
    <cellStyle name="20% - Accent2 5 2 4 3 2 4" xfId="32645"/>
    <cellStyle name="20% - Accent2 5 2 4 3 3" xfId="17627"/>
    <cellStyle name="20% - Accent2 5 2 4 3 3 2" xfId="27343"/>
    <cellStyle name="20% - Accent2 5 2 4 3 3 2 2" xfId="47097"/>
    <cellStyle name="20% - Accent2 5 2 4 3 3 3" xfId="37453"/>
    <cellStyle name="20% - Accent2 5 2 4 3 4" xfId="22533"/>
    <cellStyle name="20% - Accent2 5 2 4 3 4 2" xfId="42288"/>
    <cellStyle name="20% - Accent2 5 2 4 3 5" xfId="32644"/>
    <cellStyle name="20% - Accent2 5 2 4 4" xfId="2330"/>
    <cellStyle name="20% - Accent2 5 2 4 4 2" xfId="17629"/>
    <cellStyle name="20% - Accent2 5 2 4 4 2 2" xfId="27345"/>
    <cellStyle name="20% - Accent2 5 2 4 4 2 2 2" xfId="47099"/>
    <cellStyle name="20% - Accent2 5 2 4 4 2 3" xfId="37455"/>
    <cellStyle name="20% - Accent2 5 2 4 4 3" xfId="22535"/>
    <cellStyle name="20% - Accent2 5 2 4 4 3 2" xfId="42290"/>
    <cellStyle name="20% - Accent2 5 2 4 4 4" xfId="32646"/>
    <cellStyle name="20% - Accent2 5 2 4 5" xfId="17622"/>
    <cellStyle name="20% - Accent2 5 2 4 5 2" xfId="27338"/>
    <cellStyle name="20% - Accent2 5 2 4 5 2 2" xfId="47092"/>
    <cellStyle name="20% - Accent2 5 2 4 5 3" xfId="37448"/>
    <cellStyle name="20% - Accent2 5 2 4 6" xfId="22528"/>
    <cellStyle name="20% - Accent2 5 2 4 6 2" xfId="42283"/>
    <cellStyle name="20% - Accent2 5 2 4 7" xfId="32639"/>
    <cellStyle name="20% - Accent2 5 2 5" xfId="2331"/>
    <cellStyle name="20% - Accent2 5 2 5 2" xfId="2332"/>
    <cellStyle name="20% - Accent2 5 2 5 2 2" xfId="2333"/>
    <cellStyle name="20% - Accent2 5 2 5 2 2 2" xfId="17632"/>
    <cellStyle name="20% - Accent2 5 2 5 2 2 2 2" xfId="27348"/>
    <cellStyle name="20% - Accent2 5 2 5 2 2 2 2 2" xfId="47102"/>
    <cellStyle name="20% - Accent2 5 2 5 2 2 2 3" xfId="37458"/>
    <cellStyle name="20% - Accent2 5 2 5 2 2 3" xfId="22538"/>
    <cellStyle name="20% - Accent2 5 2 5 2 2 3 2" xfId="42293"/>
    <cellStyle name="20% - Accent2 5 2 5 2 2 4" xfId="32649"/>
    <cellStyle name="20% - Accent2 5 2 5 2 3" xfId="17631"/>
    <cellStyle name="20% - Accent2 5 2 5 2 3 2" xfId="27347"/>
    <cellStyle name="20% - Accent2 5 2 5 2 3 2 2" xfId="47101"/>
    <cellStyle name="20% - Accent2 5 2 5 2 3 3" xfId="37457"/>
    <cellStyle name="20% - Accent2 5 2 5 2 4" xfId="22537"/>
    <cellStyle name="20% - Accent2 5 2 5 2 4 2" xfId="42292"/>
    <cellStyle name="20% - Accent2 5 2 5 2 5" xfId="32648"/>
    <cellStyle name="20% - Accent2 5 2 5 3" xfId="2334"/>
    <cellStyle name="20% - Accent2 5 2 5 3 2" xfId="17633"/>
    <cellStyle name="20% - Accent2 5 2 5 3 2 2" xfId="27349"/>
    <cellStyle name="20% - Accent2 5 2 5 3 2 2 2" xfId="47103"/>
    <cellStyle name="20% - Accent2 5 2 5 3 2 3" xfId="37459"/>
    <cellStyle name="20% - Accent2 5 2 5 3 3" xfId="22539"/>
    <cellStyle name="20% - Accent2 5 2 5 3 3 2" xfId="42294"/>
    <cellStyle name="20% - Accent2 5 2 5 3 4" xfId="32650"/>
    <cellStyle name="20% - Accent2 5 2 5 4" xfId="17630"/>
    <cellStyle name="20% - Accent2 5 2 5 4 2" xfId="27346"/>
    <cellStyle name="20% - Accent2 5 2 5 4 2 2" xfId="47100"/>
    <cellStyle name="20% - Accent2 5 2 5 4 3" xfId="37456"/>
    <cellStyle name="20% - Accent2 5 2 5 5" xfId="22536"/>
    <cellStyle name="20% - Accent2 5 2 5 5 2" xfId="42291"/>
    <cellStyle name="20% - Accent2 5 2 5 6" xfId="32647"/>
    <cellStyle name="20% - Accent2 5 2 6" xfId="2335"/>
    <cellStyle name="20% - Accent2 5 2 6 2" xfId="2336"/>
    <cellStyle name="20% - Accent2 5 2 6 2 2" xfId="17635"/>
    <cellStyle name="20% - Accent2 5 2 6 2 2 2" xfId="27351"/>
    <cellStyle name="20% - Accent2 5 2 6 2 2 2 2" xfId="47105"/>
    <cellStyle name="20% - Accent2 5 2 6 2 2 3" xfId="37461"/>
    <cellStyle name="20% - Accent2 5 2 6 2 3" xfId="22541"/>
    <cellStyle name="20% - Accent2 5 2 6 2 3 2" xfId="42296"/>
    <cellStyle name="20% - Accent2 5 2 6 2 4" xfId="32652"/>
    <cellStyle name="20% - Accent2 5 2 6 3" xfId="17634"/>
    <cellStyle name="20% - Accent2 5 2 6 3 2" xfId="27350"/>
    <cellStyle name="20% - Accent2 5 2 6 3 2 2" xfId="47104"/>
    <cellStyle name="20% - Accent2 5 2 6 3 3" xfId="37460"/>
    <cellStyle name="20% - Accent2 5 2 6 4" xfId="22540"/>
    <cellStyle name="20% - Accent2 5 2 6 4 2" xfId="42295"/>
    <cellStyle name="20% - Accent2 5 2 6 5" xfId="32651"/>
    <cellStyle name="20% - Accent2 5 2 7" xfId="2337"/>
    <cellStyle name="20% - Accent2 5 2 7 2" xfId="17636"/>
    <cellStyle name="20% - Accent2 5 2 7 2 2" xfId="27352"/>
    <cellStyle name="20% - Accent2 5 2 7 2 2 2" xfId="47106"/>
    <cellStyle name="20% - Accent2 5 2 7 2 3" xfId="37462"/>
    <cellStyle name="20% - Accent2 5 2 7 3" xfId="22542"/>
    <cellStyle name="20% - Accent2 5 2 7 3 2" xfId="42297"/>
    <cellStyle name="20% - Accent2 5 2 7 4" xfId="32653"/>
    <cellStyle name="20% - Accent2 5 2 8" xfId="2338"/>
    <cellStyle name="20% - Accent2 5 2 8 2" xfId="17637"/>
    <cellStyle name="20% - Accent2 5 2 8 2 2" xfId="27353"/>
    <cellStyle name="20% - Accent2 5 2 8 2 2 2" xfId="47107"/>
    <cellStyle name="20% - Accent2 5 2 8 2 3" xfId="37463"/>
    <cellStyle name="20% - Accent2 5 2 8 3" xfId="22543"/>
    <cellStyle name="20% - Accent2 5 2 8 3 2" xfId="42298"/>
    <cellStyle name="20% - Accent2 5 2 8 4" xfId="32654"/>
    <cellStyle name="20% - Accent2 5 2 9" xfId="2339"/>
    <cellStyle name="20% - Accent2 5 2 9 2" xfId="17638"/>
    <cellStyle name="20% - Accent2 5 2 9 2 2" xfId="27354"/>
    <cellStyle name="20% - Accent2 5 2 9 2 2 2" xfId="47108"/>
    <cellStyle name="20% - Accent2 5 2 9 2 3" xfId="37464"/>
    <cellStyle name="20% - Accent2 5 2 9 3" xfId="22544"/>
    <cellStyle name="20% - Accent2 5 2 9 3 2" xfId="42299"/>
    <cellStyle name="20% - Accent2 5 2 9 4" xfId="32655"/>
    <cellStyle name="20% - Accent2 5 3" xfId="722"/>
    <cellStyle name="20% - Accent2 5 3 2" xfId="2340"/>
    <cellStyle name="20% - Accent2 5 3 2 2" xfId="2341"/>
    <cellStyle name="20% - Accent2 5 3 2 2 2" xfId="2342"/>
    <cellStyle name="20% - Accent2 5 3 2 2 2 2" xfId="17641"/>
    <cellStyle name="20% - Accent2 5 3 2 2 2 2 2" xfId="27357"/>
    <cellStyle name="20% - Accent2 5 3 2 2 2 2 2 2" xfId="47111"/>
    <cellStyle name="20% - Accent2 5 3 2 2 2 2 3" xfId="37467"/>
    <cellStyle name="20% - Accent2 5 3 2 2 2 3" xfId="22547"/>
    <cellStyle name="20% - Accent2 5 3 2 2 2 3 2" xfId="42302"/>
    <cellStyle name="20% - Accent2 5 3 2 2 2 4" xfId="32658"/>
    <cellStyle name="20% - Accent2 5 3 2 2 3" xfId="17640"/>
    <cellStyle name="20% - Accent2 5 3 2 2 3 2" xfId="27356"/>
    <cellStyle name="20% - Accent2 5 3 2 2 3 2 2" xfId="47110"/>
    <cellStyle name="20% - Accent2 5 3 2 2 3 3" xfId="37466"/>
    <cellStyle name="20% - Accent2 5 3 2 2 4" xfId="22546"/>
    <cellStyle name="20% - Accent2 5 3 2 2 4 2" xfId="42301"/>
    <cellStyle name="20% - Accent2 5 3 2 2 5" xfId="32657"/>
    <cellStyle name="20% - Accent2 5 3 2 3" xfId="2343"/>
    <cellStyle name="20% - Accent2 5 3 2 3 2" xfId="17642"/>
    <cellStyle name="20% - Accent2 5 3 2 3 2 2" xfId="27358"/>
    <cellStyle name="20% - Accent2 5 3 2 3 2 2 2" xfId="47112"/>
    <cellStyle name="20% - Accent2 5 3 2 3 2 3" xfId="37468"/>
    <cellStyle name="20% - Accent2 5 3 2 3 3" xfId="22548"/>
    <cellStyle name="20% - Accent2 5 3 2 3 3 2" xfId="42303"/>
    <cellStyle name="20% - Accent2 5 3 2 3 4" xfId="32659"/>
    <cellStyle name="20% - Accent2 5 3 2 4" xfId="17639"/>
    <cellStyle name="20% - Accent2 5 3 2 4 2" xfId="27355"/>
    <cellStyle name="20% - Accent2 5 3 2 4 2 2" xfId="47109"/>
    <cellStyle name="20% - Accent2 5 3 2 4 3" xfId="37465"/>
    <cellStyle name="20% - Accent2 5 3 2 5" xfId="22545"/>
    <cellStyle name="20% - Accent2 5 3 2 5 2" xfId="42300"/>
    <cellStyle name="20% - Accent2 5 3 2 6" xfId="32656"/>
    <cellStyle name="20% - Accent2 5 3 3" xfId="2344"/>
    <cellStyle name="20% - Accent2 5 3 3 2" xfId="2345"/>
    <cellStyle name="20% - Accent2 5 3 3 2 2" xfId="17644"/>
    <cellStyle name="20% - Accent2 5 3 3 2 2 2" xfId="27360"/>
    <cellStyle name="20% - Accent2 5 3 3 2 2 2 2" xfId="47114"/>
    <cellStyle name="20% - Accent2 5 3 3 2 2 3" xfId="37470"/>
    <cellStyle name="20% - Accent2 5 3 3 2 3" xfId="22550"/>
    <cellStyle name="20% - Accent2 5 3 3 2 3 2" xfId="42305"/>
    <cellStyle name="20% - Accent2 5 3 3 2 4" xfId="32661"/>
    <cellStyle name="20% - Accent2 5 3 3 3" xfId="17643"/>
    <cellStyle name="20% - Accent2 5 3 3 3 2" xfId="27359"/>
    <cellStyle name="20% - Accent2 5 3 3 3 2 2" xfId="47113"/>
    <cellStyle name="20% - Accent2 5 3 3 3 3" xfId="37469"/>
    <cellStyle name="20% - Accent2 5 3 3 4" xfId="22549"/>
    <cellStyle name="20% - Accent2 5 3 3 4 2" xfId="42304"/>
    <cellStyle name="20% - Accent2 5 3 3 5" xfId="32660"/>
    <cellStyle name="20% - Accent2 5 3 4" xfId="2346"/>
    <cellStyle name="20% - Accent2 5 3 4 2" xfId="17645"/>
    <cellStyle name="20% - Accent2 5 3 4 2 2" xfId="27361"/>
    <cellStyle name="20% - Accent2 5 3 4 2 2 2" xfId="47115"/>
    <cellStyle name="20% - Accent2 5 3 4 2 3" xfId="37471"/>
    <cellStyle name="20% - Accent2 5 3 4 3" xfId="22551"/>
    <cellStyle name="20% - Accent2 5 3 4 3 2" xfId="42306"/>
    <cellStyle name="20% - Accent2 5 3 4 4" xfId="32662"/>
    <cellStyle name="20% - Accent2 5 3 5" xfId="15396"/>
    <cellStyle name="20% - Accent2 5 3 5 2" xfId="20268"/>
    <cellStyle name="20% - Accent2 5 3 5 2 2" xfId="29982"/>
    <cellStyle name="20% - Accent2 5 3 5 2 2 2" xfId="49735"/>
    <cellStyle name="20% - Accent2 5 3 5 2 3" xfId="40091"/>
    <cellStyle name="20% - Accent2 5 3 5 3" xfId="25170"/>
    <cellStyle name="20% - Accent2 5 3 5 3 2" xfId="44924"/>
    <cellStyle name="20% - Accent2 5 3 5 4" xfId="35280"/>
    <cellStyle name="20% - Accent2 5 3 6" xfId="16069"/>
    <cellStyle name="20% - Accent2 5 3 6 2" xfId="25785"/>
    <cellStyle name="20% - Accent2 5 3 6 2 2" xfId="45539"/>
    <cellStyle name="20% - Accent2 5 3 6 3" xfId="35895"/>
    <cellStyle name="20% - Accent2 5 3 7" xfId="20975"/>
    <cellStyle name="20% - Accent2 5 3 7 2" xfId="40730"/>
    <cellStyle name="20% - Accent2 5 3 8" xfId="30413"/>
    <cellStyle name="20% - Accent2 5 3 8 2" xfId="50161"/>
    <cellStyle name="20% - Accent2 5 3 9" xfId="31086"/>
    <cellStyle name="20% - Accent2 5 4" xfId="723"/>
    <cellStyle name="20% - Accent2 5 4 2" xfId="2347"/>
    <cellStyle name="20% - Accent2 5 4 2 2" xfId="2348"/>
    <cellStyle name="20% - Accent2 5 4 2 2 2" xfId="2349"/>
    <cellStyle name="20% - Accent2 5 4 2 2 2 2" xfId="17648"/>
    <cellStyle name="20% - Accent2 5 4 2 2 2 2 2" xfId="27364"/>
    <cellStyle name="20% - Accent2 5 4 2 2 2 2 2 2" xfId="47118"/>
    <cellStyle name="20% - Accent2 5 4 2 2 2 2 3" xfId="37474"/>
    <cellStyle name="20% - Accent2 5 4 2 2 2 3" xfId="22554"/>
    <cellStyle name="20% - Accent2 5 4 2 2 2 3 2" xfId="42309"/>
    <cellStyle name="20% - Accent2 5 4 2 2 2 4" xfId="32665"/>
    <cellStyle name="20% - Accent2 5 4 2 2 3" xfId="17647"/>
    <cellStyle name="20% - Accent2 5 4 2 2 3 2" xfId="27363"/>
    <cellStyle name="20% - Accent2 5 4 2 2 3 2 2" xfId="47117"/>
    <cellStyle name="20% - Accent2 5 4 2 2 3 3" xfId="37473"/>
    <cellStyle name="20% - Accent2 5 4 2 2 4" xfId="22553"/>
    <cellStyle name="20% - Accent2 5 4 2 2 4 2" xfId="42308"/>
    <cellStyle name="20% - Accent2 5 4 2 2 5" xfId="32664"/>
    <cellStyle name="20% - Accent2 5 4 2 3" xfId="2350"/>
    <cellStyle name="20% - Accent2 5 4 2 3 2" xfId="17649"/>
    <cellStyle name="20% - Accent2 5 4 2 3 2 2" xfId="27365"/>
    <cellStyle name="20% - Accent2 5 4 2 3 2 2 2" xfId="47119"/>
    <cellStyle name="20% - Accent2 5 4 2 3 2 3" xfId="37475"/>
    <cellStyle name="20% - Accent2 5 4 2 3 3" xfId="22555"/>
    <cellStyle name="20% - Accent2 5 4 2 3 3 2" xfId="42310"/>
    <cellStyle name="20% - Accent2 5 4 2 3 4" xfId="32666"/>
    <cellStyle name="20% - Accent2 5 4 2 4" xfId="17646"/>
    <cellStyle name="20% - Accent2 5 4 2 4 2" xfId="27362"/>
    <cellStyle name="20% - Accent2 5 4 2 4 2 2" xfId="47116"/>
    <cellStyle name="20% - Accent2 5 4 2 4 3" xfId="37472"/>
    <cellStyle name="20% - Accent2 5 4 2 5" xfId="22552"/>
    <cellStyle name="20% - Accent2 5 4 2 5 2" xfId="42307"/>
    <cellStyle name="20% - Accent2 5 4 2 6" xfId="32663"/>
    <cellStyle name="20% - Accent2 5 4 3" xfId="2351"/>
    <cellStyle name="20% - Accent2 5 4 3 2" xfId="2352"/>
    <cellStyle name="20% - Accent2 5 4 3 2 2" xfId="17651"/>
    <cellStyle name="20% - Accent2 5 4 3 2 2 2" xfId="27367"/>
    <cellStyle name="20% - Accent2 5 4 3 2 2 2 2" xfId="47121"/>
    <cellStyle name="20% - Accent2 5 4 3 2 2 3" xfId="37477"/>
    <cellStyle name="20% - Accent2 5 4 3 2 3" xfId="22557"/>
    <cellStyle name="20% - Accent2 5 4 3 2 3 2" xfId="42312"/>
    <cellStyle name="20% - Accent2 5 4 3 2 4" xfId="32668"/>
    <cellStyle name="20% - Accent2 5 4 3 3" xfId="17650"/>
    <cellStyle name="20% - Accent2 5 4 3 3 2" xfId="27366"/>
    <cellStyle name="20% - Accent2 5 4 3 3 2 2" xfId="47120"/>
    <cellStyle name="20% - Accent2 5 4 3 3 3" xfId="37476"/>
    <cellStyle name="20% - Accent2 5 4 3 4" xfId="22556"/>
    <cellStyle name="20% - Accent2 5 4 3 4 2" xfId="42311"/>
    <cellStyle name="20% - Accent2 5 4 3 5" xfId="32667"/>
    <cellStyle name="20% - Accent2 5 4 4" xfId="2353"/>
    <cellStyle name="20% - Accent2 5 4 4 2" xfId="17652"/>
    <cellStyle name="20% - Accent2 5 4 4 2 2" xfId="27368"/>
    <cellStyle name="20% - Accent2 5 4 4 2 2 2" xfId="47122"/>
    <cellStyle name="20% - Accent2 5 4 4 2 3" xfId="37478"/>
    <cellStyle name="20% - Accent2 5 4 4 3" xfId="22558"/>
    <cellStyle name="20% - Accent2 5 4 4 3 2" xfId="42313"/>
    <cellStyle name="20% - Accent2 5 4 4 4" xfId="32669"/>
    <cellStyle name="20% - Accent2 5 4 5" xfId="16070"/>
    <cellStyle name="20% - Accent2 5 4 5 2" xfId="25786"/>
    <cellStyle name="20% - Accent2 5 4 5 2 2" xfId="45540"/>
    <cellStyle name="20% - Accent2 5 4 5 3" xfId="35896"/>
    <cellStyle name="20% - Accent2 5 4 6" xfId="20976"/>
    <cellStyle name="20% - Accent2 5 4 6 2" xfId="40731"/>
    <cellStyle name="20% - Accent2 5 4 7" xfId="31087"/>
    <cellStyle name="20% - Accent2 5 5" xfId="2354"/>
    <cellStyle name="20% - Accent2 5 5 2" xfId="2355"/>
    <cellStyle name="20% - Accent2 5 5 2 2" xfId="2356"/>
    <cellStyle name="20% - Accent2 5 5 2 2 2" xfId="2357"/>
    <cellStyle name="20% - Accent2 5 5 2 2 2 2" xfId="17656"/>
    <cellStyle name="20% - Accent2 5 5 2 2 2 2 2" xfId="27372"/>
    <cellStyle name="20% - Accent2 5 5 2 2 2 2 2 2" xfId="47126"/>
    <cellStyle name="20% - Accent2 5 5 2 2 2 2 3" xfId="37482"/>
    <cellStyle name="20% - Accent2 5 5 2 2 2 3" xfId="22562"/>
    <cellStyle name="20% - Accent2 5 5 2 2 2 3 2" xfId="42317"/>
    <cellStyle name="20% - Accent2 5 5 2 2 2 4" xfId="32673"/>
    <cellStyle name="20% - Accent2 5 5 2 2 3" xfId="17655"/>
    <cellStyle name="20% - Accent2 5 5 2 2 3 2" xfId="27371"/>
    <cellStyle name="20% - Accent2 5 5 2 2 3 2 2" xfId="47125"/>
    <cellStyle name="20% - Accent2 5 5 2 2 3 3" xfId="37481"/>
    <cellStyle name="20% - Accent2 5 5 2 2 4" xfId="22561"/>
    <cellStyle name="20% - Accent2 5 5 2 2 4 2" xfId="42316"/>
    <cellStyle name="20% - Accent2 5 5 2 2 5" xfId="32672"/>
    <cellStyle name="20% - Accent2 5 5 2 3" xfId="2358"/>
    <cellStyle name="20% - Accent2 5 5 2 3 2" xfId="17657"/>
    <cellStyle name="20% - Accent2 5 5 2 3 2 2" xfId="27373"/>
    <cellStyle name="20% - Accent2 5 5 2 3 2 2 2" xfId="47127"/>
    <cellStyle name="20% - Accent2 5 5 2 3 2 3" xfId="37483"/>
    <cellStyle name="20% - Accent2 5 5 2 3 3" xfId="22563"/>
    <cellStyle name="20% - Accent2 5 5 2 3 3 2" xfId="42318"/>
    <cellStyle name="20% - Accent2 5 5 2 3 4" xfId="32674"/>
    <cellStyle name="20% - Accent2 5 5 2 4" xfId="17654"/>
    <cellStyle name="20% - Accent2 5 5 2 4 2" xfId="27370"/>
    <cellStyle name="20% - Accent2 5 5 2 4 2 2" xfId="47124"/>
    <cellStyle name="20% - Accent2 5 5 2 4 3" xfId="37480"/>
    <cellStyle name="20% - Accent2 5 5 2 5" xfId="22560"/>
    <cellStyle name="20% - Accent2 5 5 2 5 2" xfId="42315"/>
    <cellStyle name="20% - Accent2 5 5 2 6" xfId="32671"/>
    <cellStyle name="20% - Accent2 5 5 3" xfId="2359"/>
    <cellStyle name="20% - Accent2 5 5 3 2" xfId="2360"/>
    <cellStyle name="20% - Accent2 5 5 3 2 2" xfId="17659"/>
    <cellStyle name="20% - Accent2 5 5 3 2 2 2" xfId="27375"/>
    <cellStyle name="20% - Accent2 5 5 3 2 2 2 2" xfId="47129"/>
    <cellStyle name="20% - Accent2 5 5 3 2 2 3" xfId="37485"/>
    <cellStyle name="20% - Accent2 5 5 3 2 3" xfId="22565"/>
    <cellStyle name="20% - Accent2 5 5 3 2 3 2" xfId="42320"/>
    <cellStyle name="20% - Accent2 5 5 3 2 4" xfId="32676"/>
    <cellStyle name="20% - Accent2 5 5 3 3" xfId="17658"/>
    <cellStyle name="20% - Accent2 5 5 3 3 2" xfId="27374"/>
    <cellStyle name="20% - Accent2 5 5 3 3 2 2" xfId="47128"/>
    <cellStyle name="20% - Accent2 5 5 3 3 3" xfId="37484"/>
    <cellStyle name="20% - Accent2 5 5 3 4" xfId="22564"/>
    <cellStyle name="20% - Accent2 5 5 3 4 2" xfId="42319"/>
    <cellStyle name="20% - Accent2 5 5 3 5" xfId="32675"/>
    <cellStyle name="20% - Accent2 5 5 4" xfId="2361"/>
    <cellStyle name="20% - Accent2 5 5 4 2" xfId="17660"/>
    <cellStyle name="20% - Accent2 5 5 4 2 2" xfId="27376"/>
    <cellStyle name="20% - Accent2 5 5 4 2 2 2" xfId="47130"/>
    <cellStyle name="20% - Accent2 5 5 4 2 3" xfId="37486"/>
    <cellStyle name="20% - Accent2 5 5 4 3" xfId="22566"/>
    <cellStyle name="20% - Accent2 5 5 4 3 2" xfId="42321"/>
    <cellStyle name="20% - Accent2 5 5 4 4" xfId="32677"/>
    <cellStyle name="20% - Accent2 5 5 5" xfId="17653"/>
    <cellStyle name="20% - Accent2 5 5 5 2" xfId="27369"/>
    <cellStyle name="20% - Accent2 5 5 5 2 2" xfId="47123"/>
    <cellStyle name="20% - Accent2 5 5 5 3" xfId="37479"/>
    <cellStyle name="20% - Accent2 5 5 6" xfId="22559"/>
    <cellStyle name="20% - Accent2 5 5 6 2" xfId="42314"/>
    <cellStyle name="20% - Accent2 5 5 7" xfId="32670"/>
    <cellStyle name="20% - Accent2 5 6" xfId="2362"/>
    <cellStyle name="20% - Accent2 5 6 2" xfId="2363"/>
    <cellStyle name="20% - Accent2 5 6 2 2" xfId="2364"/>
    <cellStyle name="20% - Accent2 5 6 2 2 2" xfId="17663"/>
    <cellStyle name="20% - Accent2 5 6 2 2 2 2" xfId="27379"/>
    <cellStyle name="20% - Accent2 5 6 2 2 2 2 2" xfId="47133"/>
    <cellStyle name="20% - Accent2 5 6 2 2 2 3" xfId="37489"/>
    <cellStyle name="20% - Accent2 5 6 2 2 3" xfId="22569"/>
    <cellStyle name="20% - Accent2 5 6 2 2 3 2" xfId="42324"/>
    <cellStyle name="20% - Accent2 5 6 2 2 4" xfId="32680"/>
    <cellStyle name="20% - Accent2 5 6 2 3" xfId="17662"/>
    <cellStyle name="20% - Accent2 5 6 2 3 2" xfId="27378"/>
    <cellStyle name="20% - Accent2 5 6 2 3 2 2" xfId="47132"/>
    <cellStyle name="20% - Accent2 5 6 2 3 3" xfId="37488"/>
    <cellStyle name="20% - Accent2 5 6 2 4" xfId="22568"/>
    <cellStyle name="20% - Accent2 5 6 2 4 2" xfId="42323"/>
    <cellStyle name="20% - Accent2 5 6 2 5" xfId="32679"/>
    <cellStyle name="20% - Accent2 5 6 3" xfId="2365"/>
    <cellStyle name="20% - Accent2 5 6 3 2" xfId="17664"/>
    <cellStyle name="20% - Accent2 5 6 3 2 2" xfId="27380"/>
    <cellStyle name="20% - Accent2 5 6 3 2 2 2" xfId="47134"/>
    <cellStyle name="20% - Accent2 5 6 3 2 3" xfId="37490"/>
    <cellStyle name="20% - Accent2 5 6 3 3" xfId="22570"/>
    <cellStyle name="20% - Accent2 5 6 3 3 2" xfId="42325"/>
    <cellStyle name="20% - Accent2 5 6 3 4" xfId="32681"/>
    <cellStyle name="20% - Accent2 5 6 4" xfId="17661"/>
    <cellStyle name="20% - Accent2 5 6 4 2" xfId="27377"/>
    <cellStyle name="20% - Accent2 5 6 4 2 2" xfId="47131"/>
    <cellStyle name="20% - Accent2 5 6 4 3" xfId="37487"/>
    <cellStyle name="20% - Accent2 5 6 5" xfId="22567"/>
    <cellStyle name="20% - Accent2 5 6 5 2" xfId="42322"/>
    <cellStyle name="20% - Accent2 5 6 6" xfId="32678"/>
    <cellStyle name="20% - Accent2 5 7" xfId="2366"/>
    <cellStyle name="20% - Accent2 5 7 2" xfId="2367"/>
    <cellStyle name="20% - Accent2 5 7 2 2" xfId="17666"/>
    <cellStyle name="20% - Accent2 5 7 2 2 2" xfId="27382"/>
    <cellStyle name="20% - Accent2 5 7 2 2 2 2" xfId="47136"/>
    <cellStyle name="20% - Accent2 5 7 2 2 3" xfId="37492"/>
    <cellStyle name="20% - Accent2 5 7 2 3" xfId="22572"/>
    <cellStyle name="20% - Accent2 5 7 2 3 2" xfId="42327"/>
    <cellStyle name="20% - Accent2 5 7 2 4" xfId="32683"/>
    <cellStyle name="20% - Accent2 5 7 3" xfId="17665"/>
    <cellStyle name="20% - Accent2 5 7 3 2" xfId="27381"/>
    <cellStyle name="20% - Accent2 5 7 3 2 2" xfId="47135"/>
    <cellStyle name="20% - Accent2 5 7 3 3" xfId="37491"/>
    <cellStyle name="20% - Accent2 5 7 4" xfId="22571"/>
    <cellStyle name="20% - Accent2 5 7 4 2" xfId="42326"/>
    <cellStyle name="20% - Accent2 5 7 5" xfId="32682"/>
    <cellStyle name="20% - Accent2 5 8" xfId="2368"/>
    <cellStyle name="20% - Accent2 5 8 2" xfId="2369"/>
    <cellStyle name="20% - Accent2 5 8 2 2" xfId="17668"/>
    <cellStyle name="20% - Accent2 5 8 2 2 2" xfId="27384"/>
    <cellStyle name="20% - Accent2 5 8 2 2 2 2" xfId="47138"/>
    <cellStyle name="20% - Accent2 5 8 2 2 3" xfId="37494"/>
    <cellStyle name="20% - Accent2 5 8 2 3" xfId="22574"/>
    <cellStyle name="20% - Accent2 5 8 2 3 2" xfId="42329"/>
    <cellStyle name="20% - Accent2 5 8 2 4" xfId="32685"/>
    <cellStyle name="20% - Accent2 5 8 3" xfId="17667"/>
    <cellStyle name="20% - Accent2 5 8 3 2" xfId="27383"/>
    <cellStyle name="20% - Accent2 5 8 3 2 2" xfId="47137"/>
    <cellStyle name="20% - Accent2 5 8 3 3" xfId="37493"/>
    <cellStyle name="20% - Accent2 5 8 4" xfId="22573"/>
    <cellStyle name="20% - Accent2 5 8 4 2" xfId="42328"/>
    <cellStyle name="20% - Accent2 5 8 5" xfId="32684"/>
    <cellStyle name="20% - Accent2 5 9" xfId="2370"/>
    <cellStyle name="20% - Accent2 5 9 2" xfId="17669"/>
    <cellStyle name="20% - Accent2 5 9 2 2" xfId="27385"/>
    <cellStyle name="20% - Accent2 5 9 2 2 2" xfId="47139"/>
    <cellStyle name="20% - Accent2 5 9 2 3" xfId="37495"/>
    <cellStyle name="20% - Accent2 5 9 3" xfId="22575"/>
    <cellStyle name="20% - Accent2 5 9 3 2" xfId="42330"/>
    <cellStyle name="20% - Accent2 5 9 4" xfId="32686"/>
    <cellStyle name="20% - Accent2 6" xfId="34"/>
    <cellStyle name="20% - Accent2 6 10" xfId="2371"/>
    <cellStyle name="20% - Accent2 6 10 2" xfId="17670"/>
    <cellStyle name="20% - Accent2 6 10 2 2" xfId="27386"/>
    <cellStyle name="20% - Accent2 6 10 2 2 2" xfId="47140"/>
    <cellStyle name="20% - Accent2 6 10 2 3" xfId="37496"/>
    <cellStyle name="20% - Accent2 6 10 3" xfId="22576"/>
    <cellStyle name="20% - Accent2 6 10 3 2" xfId="42331"/>
    <cellStyle name="20% - Accent2 6 10 4" xfId="32687"/>
    <cellStyle name="20% - Accent2 6 11" xfId="2372"/>
    <cellStyle name="20% - Accent2 6 11 2" xfId="17671"/>
    <cellStyle name="20% - Accent2 6 11 2 2" xfId="27387"/>
    <cellStyle name="20% - Accent2 6 11 2 2 2" xfId="47141"/>
    <cellStyle name="20% - Accent2 6 11 2 3" xfId="37497"/>
    <cellStyle name="20% - Accent2 6 11 3" xfId="22577"/>
    <cellStyle name="20% - Accent2 6 11 3 2" xfId="42332"/>
    <cellStyle name="20% - Accent2 6 11 4" xfId="32688"/>
    <cellStyle name="20% - Accent2 6 12" xfId="15397"/>
    <cellStyle name="20% - Accent2 6 12 2" xfId="20269"/>
    <cellStyle name="20% - Accent2 6 12 2 2" xfId="29983"/>
    <cellStyle name="20% - Accent2 6 12 2 2 2" xfId="49736"/>
    <cellStyle name="20% - Accent2 6 12 2 3" xfId="40092"/>
    <cellStyle name="20% - Accent2 6 12 3" xfId="25171"/>
    <cellStyle name="20% - Accent2 6 12 3 2" xfId="44925"/>
    <cellStyle name="20% - Accent2 6 12 4" xfId="35281"/>
    <cellStyle name="20% - Accent2 6 13" xfId="15837"/>
    <cellStyle name="20% - Accent2 6 13 2" xfId="25553"/>
    <cellStyle name="20% - Accent2 6 13 2 2" xfId="45307"/>
    <cellStyle name="20% - Accent2 6 13 3" xfId="35663"/>
    <cellStyle name="20% - Accent2 6 14" xfId="20710"/>
    <cellStyle name="20% - Accent2 6 14 2" xfId="40490"/>
    <cellStyle name="20% - Accent2 6 15" xfId="30414"/>
    <cellStyle name="20% - Accent2 6 15 2" xfId="50162"/>
    <cellStyle name="20% - Accent2 6 16" xfId="30821"/>
    <cellStyle name="20% - Accent2 6 2" xfId="35"/>
    <cellStyle name="20% - Accent2 6 2 10" xfId="15398"/>
    <cellStyle name="20% - Accent2 6 2 10 2" xfId="20270"/>
    <cellStyle name="20% - Accent2 6 2 10 2 2" xfId="29984"/>
    <cellStyle name="20% - Accent2 6 2 10 2 2 2" xfId="49737"/>
    <cellStyle name="20% - Accent2 6 2 10 2 3" xfId="40093"/>
    <cellStyle name="20% - Accent2 6 2 10 3" xfId="25172"/>
    <cellStyle name="20% - Accent2 6 2 10 3 2" xfId="44926"/>
    <cellStyle name="20% - Accent2 6 2 10 4" xfId="35282"/>
    <cellStyle name="20% - Accent2 6 2 11" xfId="15838"/>
    <cellStyle name="20% - Accent2 6 2 11 2" xfId="25554"/>
    <cellStyle name="20% - Accent2 6 2 11 2 2" xfId="45308"/>
    <cellStyle name="20% - Accent2 6 2 11 3" xfId="35664"/>
    <cellStyle name="20% - Accent2 6 2 12" xfId="20711"/>
    <cellStyle name="20% - Accent2 6 2 12 2" xfId="40491"/>
    <cellStyle name="20% - Accent2 6 2 13" xfId="30415"/>
    <cellStyle name="20% - Accent2 6 2 13 2" xfId="50163"/>
    <cellStyle name="20% - Accent2 6 2 14" xfId="30822"/>
    <cellStyle name="20% - Accent2 6 2 2" xfId="724"/>
    <cellStyle name="20% - Accent2 6 2 2 2" xfId="2373"/>
    <cellStyle name="20% - Accent2 6 2 2 2 2" xfId="2374"/>
    <cellStyle name="20% - Accent2 6 2 2 2 2 2" xfId="2375"/>
    <cellStyle name="20% - Accent2 6 2 2 2 2 2 2" xfId="17674"/>
    <cellStyle name="20% - Accent2 6 2 2 2 2 2 2 2" xfId="27390"/>
    <cellStyle name="20% - Accent2 6 2 2 2 2 2 2 2 2" xfId="47144"/>
    <cellStyle name="20% - Accent2 6 2 2 2 2 2 2 3" xfId="37500"/>
    <cellStyle name="20% - Accent2 6 2 2 2 2 2 3" xfId="22580"/>
    <cellStyle name="20% - Accent2 6 2 2 2 2 2 3 2" xfId="42335"/>
    <cellStyle name="20% - Accent2 6 2 2 2 2 2 4" xfId="32691"/>
    <cellStyle name="20% - Accent2 6 2 2 2 2 3" xfId="17673"/>
    <cellStyle name="20% - Accent2 6 2 2 2 2 3 2" xfId="27389"/>
    <cellStyle name="20% - Accent2 6 2 2 2 2 3 2 2" xfId="47143"/>
    <cellStyle name="20% - Accent2 6 2 2 2 2 3 3" xfId="37499"/>
    <cellStyle name="20% - Accent2 6 2 2 2 2 4" xfId="22579"/>
    <cellStyle name="20% - Accent2 6 2 2 2 2 4 2" xfId="42334"/>
    <cellStyle name="20% - Accent2 6 2 2 2 2 5" xfId="32690"/>
    <cellStyle name="20% - Accent2 6 2 2 2 3" xfId="2376"/>
    <cellStyle name="20% - Accent2 6 2 2 2 3 2" xfId="17675"/>
    <cellStyle name="20% - Accent2 6 2 2 2 3 2 2" xfId="27391"/>
    <cellStyle name="20% - Accent2 6 2 2 2 3 2 2 2" xfId="47145"/>
    <cellStyle name="20% - Accent2 6 2 2 2 3 2 3" xfId="37501"/>
    <cellStyle name="20% - Accent2 6 2 2 2 3 3" xfId="22581"/>
    <cellStyle name="20% - Accent2 6 2 2 2 3 3 2" xfId="42336"/>
    <cellStyle name="20% - Accent2 6 2 2 2 3 4" xfId="32692"/>
    <cellStyle name="20% - Accent2 6 2 2 2 4" xfId="17672"/>
    <cellStyle name="20% - Accent2 6 2 2 2 4 2" xfId="27388"/>
    <cellStyle name="20% - Accent2 6 2 2 2 4 2 2" xfId="47142"/>
    <cellStyle name="20% - Accent2 6 2 2 2 4 3" xfId="37498"/>
    <cellStyle name="20% - Accent2 6 2 2 2 5" xfId="22578"/>
    <cellStyle name="20% - Accent2 6 2 2 2 5 2" xfId="42333"/>
    <cellStyle name="20% - Accent2 6 2 2 2 6" xfId="32689"/>
    <cellStyle name="20% - Accent2 6 2 2 3" xfId="2377"/>
    <cellStyle name="20% - Accent2 6 2 2 3 2" xfId="2378"/>
    <cellStyle name="20% - Accent2 6 2 2 3 2 2" xfId="17677"/>
    <cellStyle name="20% - Accent2 6 2 2 3 2 2 2" xfId="27393"/>
    <cellStyle name="20% - Accent2 6 2 2 3 2 2 2 2" xfId="47147"/>
    <cellStyle name="20% - Accent2 6 2 2 3 2 2 3" xfId="37503"/>
    <cellStyle name="20% - Accent2 6 2 2 3 2 3" xfId="22583"/>
    <cellStyle name="20% - Accent2 6 2 2 3 2 3 2" xfId="42338"/>
    <cellStyle name="20% - Accent2 6 2 2 3 2 4" xfId="32694"/>
    <cellStyle name="20% - Accent2 6 2 2 3 3" xfId="17676"/>
    <cellStyle name="20% - Accent2 6 2 2 3 3 2" xfId="27392"/>
    <cellStyle name="20% - Accent2 6 2 2 3 3 2 2" xfId="47146"/>
    <cellStyle name="20% - Accent2 6 2 2 3 3 3" xfId="37502"/>
    <cellStyle name="20% - Accent2 6 2 2 3 4" xfId="22582"/>
    <cellStyle name="20% - Accent2 6 2 2 3 4 2" xfId="42337"/>
    <cellStyle name="20% - Accent2 6 2 2 3 5" xfId="32693"/>
    <cellStyle name="20% - Accent2 6 2 2 4" xfId="2379"/>
    <cellStyle name="20% - Accent2 6 2 2 4 2" xfId="17678"/>
    <cellStyle name="20% - Accent2 6 2 2 4 2 2" xfId="27394"/>
    <cellStyle name="20% - Accent2 6 2 2 4 2 2 2" xfId="47148"/>
    <cellStyle name="20% - Accent2 6 2 2 4 2 3" xfId="37504"/>
    <cellStyle name="20% - Accent2 6 2 2 4 3" xfId="22584"/>
    <cellStyle name="20% - Accent2 6 2 2 4 3 2" xfId="42339"/>
    <cellStyle name="20% - Accent2 6 2 2 4 4" xfId="32695"/>
    <cellStyle name="20% - Accent2 6 2 2 5" xfId="15399"/>
    <cellStyle name="20% - Accent2 6 2 2 5 2" xfId="20271"/>
    <cellStyle name="20% - Accent2 6 2 2 5 2 2" xfId="29985"/>
    <cellStyle name="20% - Accent2 6 2 2 5 2 2 2" xfId="49738"/>
    <cellStyle name="20% - Accent2 6 2 2 5 2 3" xfId="40094"/>
    <cellStyle name="20% - Accent2 6 2 2 5 3" xfId="25173"/>
    <cellStyle name="20% - Accent2 6 2 2 5 3 2" xfId="44927"/>
    <cellStyle name="20% - Accent2 6 2 2 5 4" xfId="35283"/>
    <cellStyle name="20% - Accent2 6 2 2 6" xfId="16071"/>
    <cellStyle name="20% - Accent2 6 2 2 6 2" xfId="25787"/>
    <cellStyle name="20% - Accent2 6 2 2 6 2 2" xfId="45541"/>
    <cellStyle name="20% - Accent2 6 2 2 6 3" xfId="35897"/>
    <cellStyle name="20% - Accent2 6 2 2 7" xfId="20977"/>
    <cellStyle name="20% - Accent2 6 2 2 7 2" xfId="40732"/>
    <cellStyle name="20% - Accent2 6 2 2 8" xfId="30416"/>
    <cellStyle name="20% - Accent2 6 2 2 8 2" xfId="50164"/>
    <cellStyle name="20% - Accent2 6 2 2 9" xfId="31088"/>
    <cellStyle name="20% - Accent2 6 2 3" xfId="725"/>
    <cellStyle name="20% - Accent2 6 2 3 2" xfId="2380"/>
    <cellStyle name="20% - Accent2 6 2 3 2 2" xfId="2381"/>
    <cellStyle name="20% - Accent2 6 2 3 2 2 2" xfId="2382"/>
    <cellStyle name="20% - Accent2 6 2 3 2 2 2 2" xfId="17681"/>
    <cellStyle name="20% - Accent2 6 2 3 2 2 2 2 2" xfId="27397"/>
    <cellStyle name="20% - Accent2 6 2 3 2 2 2 2 2 2" xfId="47151"/>
    <cellStyle name="20% - Accent2 6 2 3 2 2 2 2 3" xfId="37507"/>
    <cellStyle name="20% - Accent2 6 2 3 2 2 2 3" xfId="22587"/>
    <cellStyle name="20% - Accent2 6 2 3 2 2 2 3 2" xfId="42342"/>
    <cellStyle name="20% - Accent2 6 2 3 2 2 2 4" xfId="32698"/>
    <cellStyle name="20% - Accent2 6 2 3 2 2 3" xfId="17680"/>
    <cellStyle name="20% - Accent2 6 2 3 2 2 3 2" xfId="27396"/>
    <cellStyle name="20% - Accent2 6 2 3 2 2 3 2 2" xfId="47150"/>
    <cellStyle name="20% - Accent2 6 2 3 2 2 3 3" xfId="37506"/>
    <cellStyle name="20% - Accent2 6 2 3 2 2 4" xfId="22586"/>
    <cellStyle name="20% - Accent2 6 2 3 2 2 4 2" xfId="42341"/>
    <cellStyle name="20% - Accent2 6 2 3 2 2 5" xfId="32697"/>
    <cellStyle name="20% - Accent2 6 2 3 2 3" xfId="2383"/>
    <cellStyle name="20% - Accent2 6 2 3 2 3 2" xfId="17682"/>
    <cellStyle name="20% - Accent2 6 2 3 2 3 2 2" xfId="27398"/>
    <cellStyle name="20% - Accent2 6 2 3 2 3 2 2 2" xfId="47152"/>
    <cellStyle name="20% - Accent2 6 2 3 2 3 2 3" xfId="37508"/>
    <cellStyle name="20% - Accent2 6 2 3 2 3 3" xfId="22588"/>
    <cellStyle name="20% - Accent2 6 2 3 2 3 3 2" xfId="42343"/>
    <cellStyle name="20% - Accent2 6 2 3 2 3 4" xfId="32699"/>
    <cellStyle name="20% - Accent2 6 2 3 2 4" xfId="17679"/>
    <cellStyle name="20% - Accent2 6 2 3 2 4 2" xfId="27395"/>
    <cellStyle name="20% - Accent2 6 2 3 2 4 2 2" xfId="47149"/>
    <cellStyle name="20% - Accent2 6 2 3 2 4 3" xfId="37505"/>
    <cellStyle name="20% - Accent2 6 2 3 2 5" xfId="22585"/>
    <cellStyle name="20% - Accent2 6 2 3 2 5 2" xfId="42340"/>
    <cellStyle name="20% - Accent2 6 2 3 2 6" xfId="32696"/>
    <cellStyle name="20% - Accent2 6 2 3 3" xfId="2384"/>
    <cellStyle name="20% - Accent2 6 2 3 3 2" xfId="2385"/>
    <cellStyle name="20% - Accent2 6 2 3 3 2 2" xfId="17684"/>
    <cellStyle name="20% - Accent2 6 2 3 3 2 2 2" xfId="27400"/>
    <cellStyle name="20% - Accent2 6 2 3 3 2 2 2 2" xfId="47154"/>
    <cellStyle name="20% - Accent2 6 2 3 3 2 2 3" xfId="37510"/>
    <cellStyle name="20% - Accent2 6 2 3 3 2 3" xfId="22590"/>
    <cellStyle name="20% - Accent2 6 2 3 3 2 3 2" xfId="42345"/>
    <cellStyle name="20% - Accent2 6 2 3 3 2 4" xfId="32701"/>
    <cellStyle name="20% - Accent2 6 2 3 3 3" xfId="17683"/>
    <cellStyle name="20% - Accent2 6 2 3 3 3 2" xfId="27399"/>
    <cellStyle name="20% - Accent2 6 2 3 3 3 2 2" xfId="47153"/>
    <cellStyle name="20% - Accent2 6 2 3 3 3 3" xfId="37509"/>
    <cellStyle name="20% - Accent2 6 2 3 3 4" xfId="22589"/>
    <cellStyle name="20% - Accent2 6 2 3 3 4 2" xfId="42344"/>
    <cellStyle name="20% - Accent2 6 2 3 3 5" xfId="32700"/>
    <cellStyle name="20% - Accent2 6 2 3 4" xfId="2386"/>
    <cellStyle name="20% - Accent2 6 2 3 4 2" xfId="17685"/>
    <cellStyle name="20% - Accent2 6 2 3 4 2 2" xfId="27401"/>
    <cellStyle name="20% - Accent2 6 2 3 4 2 2 2" xfId="47155"/>
    <cellStyle name="20% - Accent2 6 2 3 4 2 3" xfId="37511"/>
    <cellStyle name="20% - Accent2 6 2 3 4 3" xfId="22591"/>
    <cellStyle name="20% - Accent2 6 2 3 4 3 2" xfId="42346"/>
    <cellStyle name="20% - Accent2 6 2 3 4 4" xfId="32702"/>
    <cellStyle name="20% - Accent2 6 2 3 5" xfId="16072"/>
    <cellStyle name="20% - Accent2 6 2 3 5 2" xfId="25788"/>
    <cellStyle name="20% - Accent2 6 2 3 5 2 2" xfId="45542"/>
    <cellStyle name="20% - Accent2 6 2 3 5 3" xfId="35898"/>
    <cellStyle name="20% - Accent2 6 2 3 6" xfId="20978"/>
    <cellStyle name="20% - Accent2 6 2 3 6 2" xfId="40733"/>
    <cellStyle name="20% - Accent2 6 2 3 7" xfId="31089"/>
    <cellStyle name="20% - Accent2 6 2 4" xfId="2387"/>
    <cellStyle name="20% - Accent2 6 2 4 2" xfId="2388"/>
    <cellStyle name="20% - Accent2 6 2 4 2 2" xfId="2389"/>
    <cellStyle name="20% - Accent2 6 2 4 2 2 2" xfId="2390"/>
    <cellStyle name="20% - Accent2 6 2 4 2 2 2 2" xfId="17689"/>
    <cellStyle name="20% - Accent2 6 2 4 2 2 2 2 2" xfId="27405"/>
    <cellStyle name="20% - Accent2 6 2 4 2 2 2 2 2 2" xfId="47159"/>
    <cellStyle name="20% - Accent2 6 2 4 2 2 2 2 3" xfId="37515"/>
    <cellStyle name="20% - Accent2 6 2 4 2 2 2 3" xfId="22595"/>
    <cellStyle name="20% - Accent2 6 2 4 2 2 2 3 2" xfId="42350"/>
    <cellStyle name="20% - Accent2 6 2 4 2 2 2 4" xfId="32706"/>
    <cellStyle name="20% - Accent2 6 2 4 2 2 3" xfId="17688"/>
    <cellStyle name="20% - Accent2 6 2 4 2 2 3 2" xfId="27404"/>
    <cellStyle name="20% - Accent2 6 2 4 2 2 3 2 2" xfId="47158"/>
    <cellStyle name="20% - Accent2 6 2 4 2 2 3 3" xfId="37514"/>
    <cellStyle name="20% - Accent2 6 2 4 2 2 4" xfId="22594"/>
    <cellStyle name="20% - Accent2 6 2 4 2 2 4 2" xfId="42349"/>
    <cellStyle name="20% - Accent2 6 2 4 2 2 5" xfId="32705"/>
    <cellStyle name="20% - Accent2 6 2 4 2 3" xfId="2391"/>
    <cellStyle name="20% - Accent2 6 2 4 2 3 2" xfId="17690"/>
    <cellStyle name="20% - Accent2 6 2 4 2 3 2 2" xfId="27406"/>
    <cellStyle name="20% - Accent2 6 2 4 2 3 2 2 2" xfId="47160"/>
    <cellStyle name="20% - Accent2 6 2 4 2 3 2 3" xfId="37516"/>
    <cellStyle name="20% - Accent2 6 2 4 2 3 3" xfId="22596"/>
    <cellStyle name="20% - Accent2 6 2 4 2 3 3 2" xfId="42351"/>
    <cellStyle name="20% - Accent2 6 2 4 2 3 4" xfId="32707"/>
    <cellStyle name="20% - Accent2 6 2 4 2 4" xfId="17687"/>
    <cellStyle name="20% - Accent2 6 2 4 2 4 2" xfId="27403"/>
    <cellStyle name="20% - Accent2 6 2 4 2 4 2 2" xfId="47157"/>
    <cellStyle name="20% - Accent2 6 2 4 2 4 3" xfId="37513"/>
    <cellStyle name="20% - Accent2 6 2 4 2 5" xfId="22593"/>
    <cellStyle name="20% - Accent2 6 2 4 2 5 2" xfId="42348"/>
    <cellStyle name="20% - Accent2 6 2 4 2 6" xfId="32704"/>
    <cellStyle name="20% - Accent2 6 2 4 3" xfId="2392"/>
    <cellStyle name="20% - Accent2 6 2 4 3 2" xfId="2393"/>
    <cellStyle name="20% - Accent2 6 2 4 3 2 2" xfId="17692"/>
    <cellStyle name="20% - Accent2 6 2 4 3 2 2 2" xfId="27408"/>
    <cellStyle name="20% - Accent2 6 2 4 3 2 2 2 2" xfId="47162"/>
    <cellStyle name="20% - Accent2 6 2 4 3 2 2 3" xfId="37518"/>
    <cellStyle name="20% - Accent2 6 2 4 3 2 3" xfId="22598"/>
    <cellStyle name="20% - Accent2 6 2 4 3 2 3 2" xfId="42353"/>
    <cellStyle name="20% - Accent2 6 2 4 3 2 4" xfId="32709"/>
    <cellStyle name="20% - Accent2 6 2 4 3 3" xfId="17691"/>
    <cellStyle name="20% - Accent2 6 2 4 3 3 2" xfId="27407"/>
    <cellStyle name="20% - Accent2 6 2 4 3 3 2 2" xfId="47161"/>
    <cellStyle name="20% - Accent2 6 2 4 3 3 3" xfId="37517"/>
    <cellStyle name="20% - Accent2 6 2 4 3 4" xfId="22597"/>
    <cellStyle name="20% - Accent2 6 2 4 3 4 2" xfId="42352"/>
    <cellStyle name="20% - Accent2 6 2 4 3 5" xfId="32708"/>
    <cellStyle name="20% - Accent2 6 2 4 4" xfId="2394"/>
    <cellStyle name="20% - Accent2 6 2 4 4 2" xfId="17693"/>
    <cellStyle name="20% - Accent2 6 2 4 4 2 2" xfId="27409"/>
    <cellStyle name="20% - Accent2 6 2 4 4 2 2 2" xfId="47163"/>
    <cellStyle name="20% - Accent2 6 2 4 4 2 3" xfId="37519"/>
    <cellStyle name="20% - Accent2 6 2 4 4 3" xfId="22599"/>
    <cellStyle name="20% - Accent2 6 2 4 4 3 2" xfId="42354"/>
    <cellStyle name="20% - Accent2 6 2 4 4 4" xfId="32710"/>
    <cellStyle name="20% - Accent2 6 2 4 5" xfId="17686"/>
    <cellStyle name="20% - Accent2 6 2 4 5 2" xfId="27402"/>
    <cellStyle name="20% - Accent2 6 2 4 5 2 2" xfId="47156"/>
    <cellStyle name="20% - Accent2 6 2 4 5 3" xfId="37512"/>
    <cellStyle name="20% - Accent2 6 2 4 6" xfId="22592"/>
    <cellStyle name="20% - Accent2 6 2 4 6 2" xfId="42347"/>
    <cellStyle name="20% - Accent2 6 2 4 7" xfId="32703"/>
    <cellStyle name="20% - Accent2 6 2 5" xfId="2395"/>
    <cellStyle name="20% - Accent2 6 2 5 2" xfId="2396"/>
    <cellStyle name="20% - Accent2 6 2 5 2 2" xfId="2397"/>
    <cellStyle name="20% - Accent2 6 2 5 2 2 2" xfId="17696"/>
    <cellStyle name="20% - Accent2 6 2 5 2 2 2 2" xfId="27412"/>
    <cellStyle name="20% - Accent2 6 2 5 2 2 2 2 2" xfId="47166"/>
    <cellStyle name="20% - Accent2 6 2 5 2 2 2 3" xfId="37522"/>
    <cellStyle name="20% - Accent2 6 2 5 2 2 3" xfId="22602"/>
    <cellStyle name="20% - Accent2 6 2 5 2 2 3 2" xfId="42357"/>
    <cellStyle name="20% - Accent2 6 2 5 2 2 4" xfId="32713"/>
    <cellStyle name="20% - Accent2 6 2 5 2 3" xfId="17695"/>
    <cellStyle name="20% - Accent2 6 2 5 2 3 2" xfId="27411"/>
    <cellStyle name="20% - Accent2 6 2 5 2 3 2 2" xfId="47165"/>
    <cellStyle name="20% - Accent2 6 2 5 2 3 3" xfId="37521"/>
    <cellStyle name="20% - Accent2 6 2 5 2 4" xfId="22601"/>
    <cellStyle name="20% - Accent2 6 2 5 2 4 2" xfId="42356"/>
    <cellStyle name="20% - Accent2 6 2 5 2 5" xfId="32712"/>
    <cellStyle name="20% - Accent2 6 2 5 3" xfId="2398"/>
    <cellStyle name="20% - Accent2 6 2 5 3 2" xfId="17697"/>
    <cellStyle name="20% - Accent2 6 2 5 3 2 2" xfId="27413"/>
    <cellStyle name="20% - Accent2 6 2 5 3 2 2 2" xfId="47167"/>
    <cellStyle name="20% - Accent2 6 2 5 3 2 3" xfId="37523"/>
    <cellStyle name="20% - Accent2 6 2 5 3 3" xfId="22603"/>
    <cellStyle name="20% - Accent2 6 2 5 3 3 2" xfId="42358"/>
    <cellStyle name="20% - Accent2 6 2 5 3 4" xfId="32714"/>
    <cellStyle name="20% - Accent2 6 2 5 4" xfId="17694"/>
    <cellStyle name="20% - Accent2 6 2 5 4 2" xfId="27410"/>
    <cellStyle name="20% - Accent2 6 2 5 4 2 2" xfId="47164"/>
    <cellStyle name="20% - Accent2 6 2 5 4 3" xfId="37520"/>
    <cellStyle name="20% - Accent2 6 2 5 5" xfId="22600"/>
    <cellStyle name="20% - Accent2 6 2 5 5 2" xfId="42355"/>
    <cellStyle name="20% - Accent2 6 2 5 6" xfId="32711"/>
    <cellStyle name="20% - Accent2 6 2 6" xfId="2399"/>
    <cellStyle name="20% - Accent2 6 2 6 2" xfId="2400"/>
    <cellStyle name="20% - Accent2 6 2 6 2 2" xfId="17699"/>
    <cellStyle name="20% - Accent2 6 2 6 2 2 2" xfId="27415"/>
    <cellStyle name="20% - Accent2 6 2 6 2 2 2 2" xfId="47169"/>
    <cellStyle name="20% - Accent2 6 2 6 2 2 3" xfId="37525"/>
    <cellStyle name="20% - Accent2 6 2 6 2 3" xfId="22605"/>
    <cellStyle name="20% - Accent2 6 2 6 2 3 2" xfId="42360"/>
    <cellStyle name="20% - Accent2 6 2 6 2 4" xfId="32716"/>
    <cellStyle name="20% - Accent2 6 2 6 3" xfId="17698"/>
    <cellStyle name="20% - Accent2 6 2 6 3 2" xfId="27414"/>
    <cellStyle name="20% - Accent2 6 2 6 3 2 2" xfId="47168"/>
    <cellStyle name="20% - Accent2 6 2 6 3 3" xfId="37524"/>
    <cellStyle name="20% - Accent2 6 2 6 4" xfId="22604"/>
    <cellStyle name="20% - Accent2 6 2 6 4 2" xfId="42359"/>
    <cellStyle name="20% - Accent2 6 2 6 5" xfId="32715"/>
    <cellStyle name="20% - Accent2 6 2 7" xfId="2401"/>
    <cellStyle name="20% - Accent2 6 2 7 2" xfId="17700"/>
    <cellStyle name="20% - Accent2 6 2 7 2 2" xfId="27416"/>
    <cellStyle name="20% - Accent2 6 2 7 2 2 2" xfId="47170"/>
    <cellStyle name="20% - Accent2 6 2 7 2 3" xfId="37526"/>
    <cellStyle name="20% - Accent2 6 2 7 3" xfId="22606"/>
    <cellStyle name="20% - Accent2 6 2 7 3 2" xfId="42361"/>
    <cellStyle name="20% - Accent2 6 2 7 4" xfId="32717"/>
    <cellStyle name="20% - Accent2 6 2 8" xfId="2402"/>
    <cellStyle name="20% - Accent2 6 2 8 2" xfId="17701"/>
    <cellStyle name="20% - Accent2 6 2 8 2 2" xfId="27417"/>
    <cellStyle name="20% - Accent2 6 2 8 2 2 2" xfId="47171"/>
    <cellStyle name="20% - Accent2 6 2 8 2 3" xfId="37527"/>
    <cellStyle name="20% - Accent2 6 2 8 3" xfId="22607"/>
    <cellStyle name="20% - Accent2 6 2 8 3 2" xfId="42362"/>
    <cellStyle name="20% - Accent2 6 2 8 4" xfId="32718"/>
    <cellStyle name="20% - Accent2 6 2 9" xfId="2403"/>
    <cellStyle name="20% - Accent2 6 2 9 2" xfId="17702"/>
    <cellStyle name="20% - Accent2 6 2 9 2 2" xfId="27418"/>
    <cellStyle name="20% - Accent2 6 2 9 2 2 2" xfId="47172"/>
    <cellStyle name="20% - Accent2 6 2 9 2 3" xfId="37528"/>
    <cellStyle name="20% - Accent2 6 2 9 3" xfId="22608"/>
    <cellStyle name="20% - Accent2 6 2 9 3 2" xfId="42363"/>
    <cellStyle name="20% - Accent2 6 2 9 4" xfId="32719"/>
    <cellStyle name="20% - Accent2 6 3" xfId="726"/>
    <cellStyle name="20% - Accent2 6 3 2" xfId="2404"/>
    <cellStyle name="20% - Accent2 6 3 2 2" xfId="2405"/>
    <cellStyle name="20% - Accent2 6 3 2 2 2" xfId="2406"/>
    <cellStyle name="20% - Accent2 6 3 2 2 2 2" xfId="17705"/>
    <cellStyle name="20% - Accent2 6 3 2 2 2 2 2" xfId="27421"/>
    <cellStyle name="20% - Accent2 6 3 2 2 2 2 2 2" xfId="47175"/>
    <cellStyle name="20% - Accent2 6 3 2 2 2 2 3" xfId="37531"/>
    <cellStyle name="20% - Accent2 6 3 2 2 2 3" xfId="22611"/>
    <cellStyle name="20% - Accent2 6 3 2 2 2 3 2" xfId="42366"/>
    <cellStyle name="20% - Accent2 6 3 2 2 2 4" xfId="32722"/>
    <cellStyle name="20% - Accent2 6 3 2 2 3" xfId="17704"/>
    <cellStyle name="20% - Accent2 6 3 2 2 3 2" xfId="27420"/>
    <cellStyle name="20% - Accent2 6 3 2 2 3 2 2" xfId="47174"/>
    <cellStyle name="20% - Accent2 6 3 2 2 3 3" xfId="37530"/>
    <cellStyle name="20% - Accent2 6 3 2 2 4" xfId="22610"/>
    <cellStyle name="20% - Accent2 6 3 2 2 4 2" xfId="42365"/>
    <cellStyle name="20% - Accent2 6 3 2 2 5" xfId="32721"/>
    <cellStyle name="20% - Accent2 6 3 2 3" xfId="2407"/>
    <cellStyle name="20% - Accent2 6 3 2 3 2" xfId="17706"/>
    <cellStyle name="20% - Accent2 6 3 2 3 2 2" xfId="27422"/>
    <cellStyle name="20% - Accent2 6 3 2 3 2 2 2" xfId="47176"/>
    <cellStyle name="20% - Accent2 6 3 2 3 2 3" xfId="37532"/>
    <cellStyle name="20% - Accent2 6 3 2 3 3" xfId="22612"/>
    <cellStyle name="20% - Accent2 6 3 2 3 3 2" xfId="42367"/>
    <cellStyle name="20% - Accent2 6 3 2 3 4" xfId="32723"/>
    <cellStyle name="20% - Accent2 6 3 2 4" xfId="17703"/>
    <cellStyle name="20% - Accent2 6 3 2 4 2" xfId="27419"/>
    <cellStyle name="20% - Accent2 6 3 2 4 2 2" xfId="47173"/>
    <cellStyle name="20% - Accent2 6 3 2 4 3" xfId="37529"/>
    <cellStyle name="20% - Accent2 6 3 2 5" xfId="22609"/>
    <cellStyle name="20% - Accent2 6 3 2 5 2" xfId="42364"/>
    <cellStyle name="20% - Accent2 6 3 2 6" xfId="32720"/>
    <cellStyle name="20% - Accent2 6 3 3" xfId="2408"/>
    <cellStyle name="20% - Accent2 6 3 3 2" xfId="2409"/>
    <cellStyle name="20% - Accent2 6 3 3 2 2" xfId="17708"/>
    <cellStyle name="20% - Accent2 6 3 3 2 2 2" xfId="27424"/>
    <cellStyle name="20% - Accent2 6 3 3 2 2 2 2" xfId="47178"/>
    <cellStyle name="20% - Accent2 6 3 3 2 2 3" xfId="37534"/>
    <cellStyle name="20% - Accent2 6 3 3 2 3" xfId="22614"/>
    <cellStyle name="20% - Accent2 6 3 3 2 3 2" xfId="42369"/>
    <cellStyle name="20% - Accent2 6 3 3 2 4" xfId="32725"/>
    <cellStyle name="20% - Accent2 6 3 3 3" xfId="17707"/>
    <cellStyle name="20% - Accent2 6 3 3 3 2" xfId="27423"/>
    <cellStyle name="20% - Accent2 6 3 3 3 2 2" xfId="47177"/>
    <cellStyle name="20% - Accent2 6 3 3 3 3" xfId="37533"/>
    <cellStyle name="20% - Accent2 6 3 3 4" xfId="22613"/>
    <cellStyle name="20% - Accent2 6 3 3 4 2" xfId="42368"/>
    <cellStyle name="20% - Accent2 6 3 3 5" xfId="32724"/>
    <cellStyle name="20% - Accent2 6 3 4" xfId="2410"/>
    <cellStyle name="20% - Accent2 6 3 4 2" xfId="17709"/>
    <cellStyle name="20% - Accent2 6 3 4 2 2" xfId="27425"/>
    <cellStyle name="20% - Accent2 6 3 4 2 2 2" xfId="47179"/>
    <cellStyle name="20% - Accent2 6 3 4 2 3" xfId="37535"/>
    <cellStyle name="20% - Accent2 6 3 4 3" xfId="22615"/>
    <cellStyle name="20% - Accent2 6 3 4 3 2" xfId="42370"/>
    <cellStyle name="20% - Accent2 6 3 4 4" xfId="32726"/>
    <cellStyle name="20% - Accent2 6 3 5" xfId="15400"/>
    <cellStyle name="20% - Accent2 6 3 5 2" xfId="20272"/>
    <cellStyle name="20% - Accent2 6 3 5 2 2" xfId="29986"/>
    <cellStyle name="20% - Accent2 6 3 5 2 2 2" xfId="49739"/>
    <cellStyle name="20% - Accent2 6 3 5 2 3" xfId="40095"/>
    <cellStyle name="20% - Accent2 6 3 5 3" xfId="25174"/>
    <cellStyle name="20% - Accent2 6 3 5 3 2" xfId="44928"/>
    <cellStyle name="20% - Accent2 6 3 5 4" xfId="35284"/>
    <cellStyle name="20% - Accent2 6 3 6" xfId="16073"/>
    <cellStyle name="20% - Accent2 6 3 6 2" xfId="25789"/>
    <cellStyle name="20% - Accent2 6 3 6 2 2" xfId="45543"/>
    <cellStyle name="20% - Accent2 6 3 6 3" xfId="35899"/>
    <cellStyle name="20% - Accent2 6 3 7" xfId="20979"/>
    <cellStyle name="20% - Accent2 6 3 7 2" xfId="40734"/>
    <cellStyle name="20% - Accent2 6 3 8" xfId="30417"/>
    <cellStyle name="20% - Accent2 6 3 8 2" xfId="50165"/>
    <cellStyle name="20% - Accent2 6 3 9" xfId="31090"/>
    <cellStyle name="20% - Accent2 6 4" xfId="727"/>
    <cellStyle name="20% - Accent2 6 4 2" xfId="2411"/>
    <cellStyle name="20% - Accent2 6 4 2 2" xfId="2412"/>
    <cellStyle name="20% - Accent2 6 4 2 2 2" xfId="2413"/>
    <cellStyle name="20% - Accent2 6 4 2 2 2 2" xfId="17712"/>
    <cellStyle name="20% - Accent2 6 4 2 2 2 2 2" xfId="27428"/>
    <cellStyle name="20% - Accent2 6 4 2 2 2 2 2 2" xfId="47182"/>
    <cellStyle name="20% - Accent2 6 4 2 2 2 2 3" xfId="37538"/>
    <cellStyle name="20% - Accent2 6 4 2 2 2 3" xfId="22618"/>
    <cellStyle name="20% - Accent2 6 4 2 2 2 3 2" xfId="42373"/>
    <cellStyle name="20% - Accent2 6 4 2 2 2 4" xfId="32729"/>
    <cellStyle name="20% - Accent2 6 4 2 2 3" xfId="17711"/>
    <cellStyle name="20% - Accent2 6 4 2 2 3 2" xfId="27427"/>
    <cellStyle name="20% - Accent2 6 4 2 2 3 2 2" xfId="47181"/>
    <cellStyle name="20% - Accent2 6 4 2 2 3 3" xfId="37537"/>
    <cellStyle name="20% - Accent2 6 4 2 2 4" xfId="22617"/>
    <cellStyle name="20% - Accent2 6 4 2 2 4 2" xfId="42372"/>
    <cellStyle name="20% - Accent2 6 4 2 2 5" xfId="32728"/>
    <cellStyle name="20% - Accent2 6 4 2 3" xfId="2414"/>
    <cellStyle name="20% - Accent2 6 4 2 3 2" xfId="17713"/>
    <cellStyle name="20% - Accent2 6 4 2 3 2 2" xfId="27429"/>
    <cellStyle name="20% - Accent2 6 4 2 3 2 2 2" xfId="47183"/>
    <cellStyle name="20% - Accent2 6 4 2 3 2 3" xfId="37539"/>
    <cellStyle name="20% - Accent2 6 4 2 3 3" xfId="22619"/>
    <cellStyle name="20% - Accent2 6 4 2 3 3 2" xfId="42374"/>
    <cellStyle name="20% - Accent2 6 4 2 3 4" xfId="32730"/>
    <cellStyle name="20% - Accent2 6 4 2 4" xfId="17710"/>
    <cellStyle name="20% - Accent2 6 4 2 4 2" xfId="27426"/>
    <cellStyle name="20% - Accent2 6 4 2 4 2 2" xfId="47180"/>
    <cellStyle name="20% - Accent2 6 4 2 4 3" xfId="37536"/>
    <cellStyle name="20% - Accent2 6 4 2 5" xfId="22616"/>
    <cellStyle name="20% - Accent2 6 4 2 5 2" xfId="42371"/>
    <cellStyle name="20% - Accent2 6 4 2 6" xfId="32727"/>
    <cellStyle name="20% - Accent2 6 4 3" xfId="2415"/>
    <cellStyle name="20% - Accent2 6 4 3 2" xfId="2416"/>
    <cellStyle name="20% - Accent2 6 4 3 2 2" xfId="17715"/>
    <cellStyle name="20% - Accent2 6 4 3 2 2 2" xfId="27431"/>
    <cellStyle name="20% - Accent2 6 4 3 2 2 2 2" xfId="47185"/>
    <cellStyle name="20% - Accent2 6 4 3 2 2 3" xfId="37541"/>
    <cellStyle name="20% - Accent2 6 4 3 2 3" xfId="22621"/>
    <cellStyle name="20% - Accent2 6 4 3 2 3 2" xfId="42376"/>
    <cellStyle name="20% - Accent2 6 4 3 2 4" xfId="32732"/>
    <cellStyle name="20% - Accent2 6 4 3 3" xfId="17714"/>
    <cellStyle name="20% - Accent2 6 4 3 3 2" xfId="27430"/>
    <cellStyle name="20% - Accent2 6 4 3 3 2 2" xfId="47184"/>
    <cellStyle name="20% - Accent2 6 4 3 3 3" xfId="37540"/>
    <cellStyle name="20% - Accent2 6 4 3 4" xfId="22620"/>
    <cellStyle name="20% - Accent2 6 4 3 4 2" xfId="42375"/>
    <cellStyle name="20% - Accent2 6 4 3 5" xfId="32731"/>
    <cellStyle name="20% - Accent2 6 4 4" xfId="2417"/>
    <cellStyle name="20% - Accent2 6 4 4 2" xfId="17716"/>
    <cellStyle name="20% - Accent2 6 4 4 2 2" xfId="27432"/>
    <cellStyle name="20% - Accent2 6 4 4 2 2 2" xfId="47186"/>
    <cellStyle name="20% - Accent2 6 4 4 2 3" xfId="37542"/>
    <cellStyle name="20% - Accent2 6 4 4 3" xfId="22622"/>
    <cellStyle name="20% - Accent2 6 4 4 3 2" xfId="42377"/>
    <cellStyle name="20% - Accent2 6 4 4 4" xfId="32733"/>
    <cellStyle name="20% - Accent2 6 4 5" xfId="16074"/>
    <cellStyle name="20% - Accent2 6 4 5 2" xfId="25790"/>
    <cellStyle name="20% - Accent2 6 4 5 2 2" xfId="45544"/>
    <cellStyle name="20% - Accent2 6 4 5 3" xfId="35900"/>
    <cellStyle name="20% - Accent2 6 4 6" xfId="20980"/>
    <cellStyle name="20% - Accent2 6 4 6 2" xfId="40735"/>
    <cellStyle name="20% - Accent2 6 4 7" xfId="31091"/>
    <cellStyle name="20% - Accent2 6 5" xfId="2418"/>
    <cellStyle name="20% - Accent2 6 5 2" xfId="2419"/>
    <cellStyle name="20% - Accent2 6 5 2 2" xfId="2420"/>
    <cellStyle name="20% - Accent2 6 5 2 2 2" xfId="2421"/>
    <cellStyle name="20% - Accent2 6 5 2 2 2 2" xfId="17720"/>
    <cellStyle name="20% - Accent2 6 5 2 2 2 2 2" xfId="27436"/>
    <cellStyle name="20% - Accent2 6 5 2 2 2 2 2 2" xfId="47190"/>
    <cellStyle name="20% - Accent2 6 5 2 2 2 2 3" xfId="37546"/>
    <cellStyle name="20% - Accent2 6 5 2 2 2 3" xfId="22626"/>
    <cellStyle name="20% - Accent2 6 5 2 2 2 3 2" xfId="42381"/>
    <cellStyle name="20% - Accent2 6 5 2 2 2 4" xfId="32737"/>
    <cellStyle name="20% - Accent2 6 5 2 2 3" xfId="17719"/>
    <cellStyle name="20% - Accent2 6 5 2 2 3 2" xfId="27435"/>
    <cellStyle name="20% - Accent2 6 5 2 2 3 2 2" xfId="47189"/>
    <cellStyle name="20% - Accent2 6 5 2 2 3 3" xfId="37545"/>
    <cellStyle name="20% - Accent2 6 5 2 2 4" xfId="22625"/>
    <cellStyle name="20% - Accent2 6 5 2 2 4 2" xfId="42380"/>
    <cellStyle name="20% - Accent2 6 5 2 2 5" xfId="32736"/>
    <cellStyle name="20% - Accent2 6 5 2 3" xfId="2422"/>
    <cellStyle name="20% - Accent2 6 5 2 3 2" xfId="17721"/>
    <cellStyle name="20% - Accent2 6 5 2 3 2 2" xfId="27437"/>
    <cellStyle name="20% - Accent2 6 5 2 3 2 2 2" xfId="47191"/>
    <cellStyle name="20% - Accent2 6 5 2 3 2 3" xfId="37547"/>
    <cellStyle name="20% - Accent2 6 5 2 3 3" xfId="22627"/>
    <cellStyle name="20% - Accent2 6 5 2 3 3 2" xfId="42382"/>
    <cellStyle name="20% - Accent2 6 5 2 3 4" xfId="32738"/>
    <cellStyle name="20% - Accent2 6 5 2 4" xfId="17718"/>
    <cellStyle name="20% - Accent2 6 5 2 4 2" xfId="27434"/>
    <cellStyle name="20% - Accent2 6 5 2 4 2 2" xfId="47188"/>
    <cellStyle name="20% - Accent2 6 5 2 4 3" xfId="37544"/>
    <cellStyle name="20% - Accent2 6 5 2 5" xfId="22624"/>
    <cellStyle name="20% - Accent2 6 5 2 5 2" xfId="42379"/>
    <cellStyle name="20% - Accent2 6 5 2 6" xfId="32735"/>
    <cellStyle name="20% - Accent2 6 5 3" xfId="2423"/>
    <cellStyle name="20% - Accent2 6 5 3 2" xfId="2424"/>
    <cellStyle name="20% - Accent2 6 5 3 2 2" xfId="17723"/>
    <cellStyle name="20% - Accent2 6 5 3 2 2 2" xfId="27439"/>
    <cellStyle name="20% - Accent2 6 5 3 2 2 2 2" xfId="47193"/>
    <cellStyle name="20% - Accent2 6 5 3 2 2 3" xfId="37549"/>
    <cellStyle name="20% - Accent2 6 5 3 2 3" xfId="22629"/>
    <cellStyle name="20% - Accent2 6 5 3 2 3 2" xfId="42384"/>
    <cellStyle name="20% - Accent2 6 5 3 2 4" xfId="32740"/>
    <cellStyle name="20% - Accent2 6 5 3 3" xfId="17722"/>
    <cellStyle name="20% - Accent2 6 5 3 3 2" xfId="27438"/>
    <cellStyle name="20% - Accent2 6 5 3 3 2 2" xfId="47192"/>
    <cellStyle name="20% - Accent2 6 5 3 3 3" xfId="37548"/>
    <cellStyle name="20% - Accent2 6 5 3 4" xfId="22628"/>
    <cellStyle name="20% - Accent2 6 5 3 4 2" xfId="42383"/>
    <cellStyle name="20% - Accent2 6 5 3 5" xfId="32739"/>
    <cellStyle name="20% - Accent2 6 5 4" xfId="2425"/>
    <cellStyle name="20% - Accent2 6 5 4 2" xfId="17724"/>
    <cellStyle name="20% - Accent2 6 5 4 2 2" xfId="27440"/>
    <cellStyle name="20% - Accent2 6 5 4 2 2 2" xfId="47194"/>
    <cellStyle name="20% - Accent2 6 5 4 2 3" xfId="37550"/>
    <cellStyle name="20% - Accent2 6 5 4 3" xfId="22630"/>
    <cellStyle name="20% - Accent2 6 5 4 3 2" xfId="42385"/>
    <cellStyle name="20% - Accent2 6 5 4 4" xfId="32741"/>
    <cellStyle name="20% - Accent2 6 5 5" xfId="17717"/>
    <cellStyle name="20% - Accent2 6 5 5 2" xfId="27433"/>
    <cellStyle name="20% - Accent2 6 5 5 2 2" xfId="47187"/>
    <cellStyle name="20% - Accent2 6 5 5 3" xfId="37543"/>
    <cellStyle name="20% - Accent2 6 5 6" xfId="22623"/>
    <cellStyle name="20% - Accent2 6 5 6 2" xfId="42378"/>
    <cellStyle name="20% - Accent2 6 5 7" xfId="32734"/>
    <cellStyle name="20% - Accent2 6 6" xfId="2426"/>
    <cellStyle name="20% - Accent2 6 6 2" xfId="2427"/>
    <cellStyle name="20% - Accent2 6 6 2 2" xfId="2428"/>
    <cellStyle name="20% - Accent2 6 6 2 2 2" xfId="17727"/>
    <cellStyle name="20% - Accent2 6 6 2 2 2 2" xfId="27443"/>
    <cellStyle name="20% - Accent2 6 6 2 2 2 2 2" xfId="47197"/>
    <cellStyle name="20% - Accent2 6 6 2 2 2 3" xfId="37553"/>
    <cellStyle name="20% - Accent2 6 6 2 2 3" xfId="22633"/>
    <cellStyle name="20% - Accent2 6 6 2 2 3 2" xfId="42388"/>
    <cellStyle name="20% - Accent2 6 6 2 2 4" xfId="32744"/>
    <cellStyle name="20% - Accent2 6 6 2 3" xfId="17726"/>
    <cellStyle name="20% - Accent2 6 6 2 3 2" xfId="27442"/>
    <cellStyle name="20% - Accent2 6 6 2 3 2 2" xfId="47196"/>
    <cellStyle name="20% - Accent2 6 6 2 3 3" xfId="37552"/>
    <cellStyle name="20% - Accent2 6 6 2 4" xfId="22632"/>
    <cellStyle name="20% - Accent2 6 6 2 4 2" xfId="42387"/>
    <cellStyle name="20% - Accent2 6 6 2 5" xfId="32743"/>
    <cellStyle name="20% - Accent2 6 6 3" xfId="2429"/>
    <cellStyle name="20% - Accent2 6 6 3 2" xfId="17728"/>
    <cellStyle name="20% - Accent2 6 6 3 2 2" xfId="27444"/>
    <cellStyle name="20% - Accent2 6 6 3 2 2 2" xfId="47198"/>
    <cellStyle name="20% - Accent2 6 6 3 2 3" xfId="37554"/>
    <cellStyle name="20% - Accent2 6 6 3 3" xfId="22634"/>
    <cellStyle name="20% - Accent2 6 6 3 3 2" xfId="42389"/>
    <cellStyle name="20% - Accent2 6 6 3 4" xfId="32745"/>
    <cellStyle name="20% - Accent2 6 6 4" xfId="17725"/>
    <cellStyle name="20% - Accent2 6 6 4 2" xfId="27441"/>
    <cellStyle name="20% - Accent2 6 6 4 2 2" xfId="47195"/>
    <cellStyle name="20% - Accent2 6 6 4 3" xfId="37551"/>
    <cellStyle name="20% - Accent2 6 6 5" xfId="22631"/>
    <cellStyle name="20% - Accent2 6 6 5 2" xfId="42386"/>
    <cellStyle name="20% - Accent2 6 6 6" xfId="32742"/>
    <cellStyle name="20% - Accent2 6 7" xfId="2430"/>
    <cellStyle name="20% - Accent2 6 7 2" xfId="2431"/>
    <cellStyle name="20% - Accent2 6 7 2 2" xfId="17730"/>
    <cellStyle name="20% - Accent2 6 7 2 2 2" xfId="27446"/>
    <cellStyle name="20% - Accent2 6 7 2 2 2 2" xfId="47200"/>
    <cellStyle name="20% - Accent2 6 7 2 2 3" xfId="37556"/>
    <cellStyle name="20% - Accent2 6 7 2 3" xfId="22636"/>
    <cellStyle name="20% - Accent2 6 7 2 3 2" xfId="42391"/>
    <cellStyle name="20% - Accent2 6 7 2 4" xfId="32747"/>
    <cellStyle name="20% - Accent2 6 7 3" xfId="17729"/>
    <cellStyle name="20% - Accent2 6 7 3 2" xfId="27445"/>
    <cellStyle name="20% - Accent2 6 7 3 2 2" xfId="47199"/>
    <cellStyle name="20% - Accent2 6 7 3 3" xfId="37555"/>
    <cellStyle name="20% - Accent2 6 7 4" xfId="22635"/>
    <cellStyle name="20% - Accent2 6 7 4 2" xfId="42390"/>
    <cellStyle name="20% - Accent2 6 7 5" xfId="32746"/>
    <cellStyle name="20% - Accent2 6 8" xfId="2432"/>
    <cellStyle name="20% - Accent2 6 8 2" xfId="2433"/>
    <cellStyle name="20% - Accent2 6 8 2 2" xfId="17732"/>
    <cellStyle name="20% - Accent2 6 8 2 2 2" xfId="27448"/>
    <cellStyle name="20% - Accent2 6 8 2 2 2 2" xfId="47202"/>
    <cellStyle name="20% - Accent2 6 8 2 2 3" xfId="37558"/>
    <cellStyle name="20% - Accent2 6 8 2 3" xfId="22638"/>
    <cellStyle name="20% - Accent2 6 8 2 3 2" xfId="42393"/>
    <cellStyle name="20% - Accent2 6 8 2 4" xfId="32749"/>
    <cellStyle name="20% - Accent2 6 8 3" xfId="17731"/>
    <cellStyle name="20% - Accent2 6 8 3 2" xfId="27447"/>
    <cellStyle name="20% - Accent2 6 8 3 2 2" xfId="47201"/>
    <cellStyle name="20% - Accent2 6 8 3 3" xfId="37557"/>
    <cellStyle name="20% - Accent2 6 8 4" xfId="22637"/>
    <cellStyle name="20% - Accent2 6 8 4 2" xfId="42392"/>
    <cellStyle name="20% - Accent2 6 8 5" xfId="32748"/>
    <cellStyle name="20% - Accent2 6 9" xfId="2434"/>
    <cellStyle name="20% - Accent2 6 9 2" xfId="17733"/>
    <cellStyle name="20% - Accent2 6 9 2 2" xfId="27449"/>
    <cellStyle name="20% - Accent2 6 9 2 2 2" xfId="47203"/>
    <cellStyle name="20% - Accent2 6 9 2 3" xfId="37559"/>
    <cellStyle name="20% - Accent2 6 9 3" xfId="22639"/>
    <cellStyle name="20% - Accent2 6 9 3 2" xfId="42394"/>
    <cellStyle name="20% - Accent2 6 9 4" xfId="32750"/>
    <cellStyle name="20% - Accent2 7" xfId="36"/>
    <cellStyle name="20% - Accent2 7 10" xfId="30823"/>
    <cellStyle name="20% - Accent2 7 2" xfId="37"/>
    <cellStyle name="20% - Accent2 7 2 2" xfId="728"/>
    <cellStyle name="20% - Accent2 7 2 2 2" xfId="2435"/>
    <cellStyle name="20% - Accent2 7 2 2 2 2" xfId="2436"/>
    <cellStyle name="20% - Accent2 7 2 2 2 2 2" xfId="17735"/>
    <cellStyle name="20% - Accent2 7 2 2 2 2 2 2" xfId="27451"/>
    <cellStyle name="20% - Accent2 7 2 2 2 2 2 2 2" xfId="47205"/>
    <cellStyle name="20% - Accent2 7 2 2 2 2 2 3" xfId="37561"/>
    <cellStyle name="20% - Accent2 7 2 2 2 2 3" xfId="22641"/>
    <cellStyle name="20% - Accent2 7 2 2 2 2 3 2" xfId="42396"/>
    <cellStyle name="20% - Accent2 7 2 2 2 2 4" xfId="32752"/>
    <cellStyle name="20% - Accent2 7 2 2 2 3" xfId="17734"/>
    <cellStyle name="20% - Accent2 7 2 2 2 3 2" xfId="27450"/>
    <cellStyle name="20% - Accent2 7 2 2 2 3 2 2" xfId="47204"/>
    <cellStyle name="20% - Accent2 7 2 2 2 3 3" xfId="37560"/>
    <cellStyle name="20% - Accent2 7 2 2 2 4" xfId="22640"/>
    <cellStyle name="20% - Accent2 7 2 2 2 4 2" xfId="42395"/>
    <cellStyle name="20% - Accent2 7 2 2 2 5" xfId="32751"/>
    <cellStyle name="20% - Accent2 7 2 2 3" xfId="2437"/>
    <cellStyle name="20% - Accent2 7 2 2 3 2" xfId="17736"/>
    <cellStyle name="20% - Accent2 7 2 2 3 2 2" xfId="27452"/>
    <cellStyle name="20% - Accent2 7 2 2 3 2 2 2" xfId="47206"/>
    <cellStyle name="20% - Accent2 7 2 2 3 2 3" xfId="37562"/>
    <cellStyle name="20% - Accent2 7 2 2 3 3" xfId="22642"/>
    <cellStyle name="20% - Accent2 7 2 2 3 3 2" xfId="42397"/>
    <cellStyle name="20% - Accent2 7 2 2 3 4" xfId="32753"/>
    <cellStyle name="20% - Accent2 7 2 2 4" xfId="15403"/>
    <cellStyle name="20% - Accent2 7 2 2 4 2" xfId="20275"/>
    <cellStyle name="20% - Accent2 7 2 2 4 2 2" xfId="29989"/>
    <cellStyle name="20% - Accent2 7 2 2 4 2 2 2" xfId="49742"/>
    <cellStyle name="20% - Accent2 7 2 2 4 2 3" xfId="40098"/>
    <cellStyle name="20% - Accent2 7 2 2 4 3" xfId="25177"/>
    <cellStyle name="20% - Accent2 7 2 2 4 3 2" xfId="44931"/>
    <cellStyle name="20% - Accent2 7 2 2 4 4" xfId="35287"/>
    <cellStyle name="20% - Accent2 7 2 2 5" xfId="16075"/>
    <cellStyle name="20% - Accent2 7 2 2 5 2" xfId="25791"/>
    <cellStyle name="20% - Accent2 7 2 2 5 2 2" xfId="45545"/>
    <cellStyle name="20% - Accent2 7 2 2 5 3" xfId="35901"/>
    <cellStyle name="20% - Accent2 7 2 2 6" xfId="20981"/>
    <cellStyle name="20% - Accent2 7 2 2 6 2" xfId="40736"/>
    <cellStyle name="20% - Accent2 7 2 2 7" xfId="30420"/>
    <cellStyle name="20% - Accent2 7 2 2 7 2" xfId="50168"/>
    <cellStyle name="20% - Accent2 7 2 2 8" xfId="31092"/>
    <cellStyle name="20% - Accent2 7 2 3" xfId="729"/>
    <cellStyle name="20% - Accent2 7 2 3 2" xfId="2438"/>
    <cellStyle name="20% - Accent2 7 2 3 2 2" xfId="17737"/>
    <cellStyle name="20% - Accent2 7 2 3 2 2 2" xfId="27453"/>
    <cellStyle name="20% - Accent2 7 2 3 2 2 2 2" xfId="47207"/>
    <cellStyle name="20% - Accent2 7 2 3 2 2 3" xfId="37563"/>
    <cellStyle name="20% - Accent2 7 2 3 2 3" xfId="22643"/>
    <cellStyle name="20% - Accent2 7 2 3 2 3 2" xfId="42398"/>
    <cellStyle name="20% - Accent2 7 2 3 2 4" xfId="32754"/>
    <cellStyle name="20% - Accent2 7 2 3 3" xfId="16076"/>
    <cellStyle name="20% - Accent2 7 2 3 3 2" xfId="25792"/>
    <cellStyle name="20% - Accent2 7 2 3 3 2 2" xfId="45546"/>
    <cellStyle name="20% - Accent2 7 2 3 3 3" xfId="35902"/>
    <cellStyle name="20% - Accent2 7 2 3 4" xfId="20982"/>
    <cellStyle name="20% - Accent2 7 2 3 4 2" xfId="40737"/>
    <cellStyle name="20% - Accent2 7 2 3 5" xfId="31093"/>
    <cellStyle name="20% - Accent2 7 2 4" xfId="2439"/>
    <cellStyle name="20% - Accent2 7 2 4 2" xfId="17738"/>
    <cellStyle name="20% - Accent2 7 2 4 2 2" xfId="27454"/>
    <cellStyle name="20% - Accent2 7 2 4 2 2 2" xfId="47208"/>
    <cellStyle name="20% - Accent2 7 2 4 2 3" xfId="37564"/>
    <cellStyle name="20% - Accent2 7 2 4 3" xfId="22644"/>
    <cellStyle name="20% - Accent2 7 2 4 3 2" xfId="42399"/>
    <cellStyle name="20% - Accent2 7 2 4 4" xfId="32755"/>
    <cellStyle name="20% - Accent2 7 2 5" xfId="15402"/>
    <cellStyle name="20% - Accent2 7 2 5 2" xfId="20274"/>
    <cellStyle name="20% - Accent2 7 2 5 2 2" xfId="29988"/>
    <cellStyle name="20% - Accent2 7 2 5 2 2 2" xfId="49741"/>
    <cellStyle name="20% - Accent2 7 2 5 2 3" xfId="40097"/>
    <cellStyle name="20% - Accent2 7 2 5 3" xfId="25176"/>
    <cellStyle name="20% - Accent2 7 2 5 3 2" xfId="44930"/>
    <cellStyle name="20% - Accent2 7 2 5 4" xfId="35286"/>
    <cellStyle name="20% - Accent2 7 2 6" xfId="15840"/>
    <cellStyle name="20% - Accent2 7 2 6 2" xfId="25556"/>
    <cellStyle name="20% - Accent2 7 2 6 2 2" xfId="45310"/>
    <cellStyle name="20% - Accent2 7 2 6 3" xfId="35666"/>
    <cellStyle name="20% - Accent2 7 2 7" xfId="20713"/>
    <cellStyle name="20% - Accent2 7 2 7 2" xfId="40493"/>
    <cellStyle name="20% - Accent2 7 2 8" xfId="30419"/>
    <cellStyle name="20% - Accent2 7 2 8 2" xfId="50167"/>
    <cellStyle name="20% - Accent2 7 2 9" xfId="30824"/>
    <cellStyle name="20% - Accent2 7 3" xfId="730"/>
    <cellStyle name="20% - Accent2 7 3 2" xfId="2440"/>
    <cellStyle name="20% - Accent2 7 3 2 2" xfId="2441"/>
    <cellStyle name="20% - Accent2 7 3 2 2 2" xfId="17740"/>
    <cellStyle name="20% - Accent2 7 3 2 2 2 2" xfId="27456"/>
    <cellStyle name="20% - Accent2 7 3 2 2 2 2 2" xfId="47210"/>
    <cellStyle name="20% - Accent2 7 3 2 2 2 3" xfId="37566"/>
    <cellStyle name="20% - Accent2 7 3 2 2 3" xfId="22646"/>
    <cellStyle name="20% - Accent2 7 3 2 2 3 2" xfId="42401"/>
    <cellStyle name="20% - Accent2 7 3 2 2 4" xfId="32757"/>
    <cellStyle name="20% - Accent2 7 3 2 3" xfId="17739"/>
    <cellStyle name="20% - Accent2 7 3 2 3 2" xfId="27455"/>
    <cellStyle name="20% - Accent2 7 3 2 3 2 2" xfId="47209"/>
    <cellStyle name="20% - Accent2 7 3 2 3 3" xfId="37565"/>
    <cellStyle name="20% - Accent2 7 3 2 4" xfId="22645"/>
    <cellStyle name="20% - Accent2 7 3 2 4 2" xfId="42400"/>
    <cellStyle name="20% - Accent2 7 3 2 5" xfId="32756"/>
    <cellStyle name="20% - Accent2 7 3 3" xfId="2442"/>
    <cellStyle name="20% - Accent2 7 3 3 2" xfId="17741"/>
    <cellStyle name="20% - Accent2 7 3 3 2 2" xfId="27457"/>
    <cellStyle name="20% - Accent2 7 3 3 2 2 2" xfId="47211"/>
    <cellStyle name="20% - Accent2 7 3 3 2 3" xfId="37567"/>
    <cellStyle name="20% - Accent2 7 3 3 3" xfId="22647"/>
    <cellStyle name="20% - Accent2 7 3 3 3 2" xfId="42402"/>
    <cellStyle name="20% - Accent2 7 3 3 4" xfId="32758"/>
    <cellStyle name="20% - Accent2 7 3 4" xfId="15404"/>
    <cellStyle name="20% - Accent2 7 3 4 2" xfId="20276"/>
    <cellStyle name="20% - Accent2 7 3 4 2 2" xfId="29990"/>
    <cellStyle name="20% - Accent2 7 3 4 2 2 2" xfId="49743"/>
    <cellStyle name="20% - Accent2 7 3 4 2 3" xfId="40099"/>
    <cellStyle name="20% - Accent2 7 3 4 3" xfId="25178"/>
    <cellStyle name="20% - Accent2 7 3 4 3 2" xfId="44932"/>
    <cellStyle name="20% - Accent2 7 3 4 4" xfId="35288"/>
    <cellStyle name="20% - Accent2 7 3 5" xfId="16077"/>
    <cellStyle name="20% - Accent2 7 3 5 2" xfId="25793"/>
    <cellStyle name="20% - Accent2 7 3 5 2 2" xfId="45547"/>
    <cellStyle name="20% - Accent2 7 3 5 3" xfId="35903"/>
    <cellStyle name="20% - Accent2 7 3 6" xfId="20983"/>
    <cellStyle name="20% - Accent2 7 3 6 2" xfId="40738"/>
    <cellStyle name="20% - Accent2 7 3 7" xfId="30421"/>
    <cellStyle name="20% - Accent2 7 3 7 2" xfId="50169"/>
    <cellStyle name="20% - Accent2 7 3 8" xfId="31094"/>
    <cellStyle name="20% - Accent2 7 4" xfId="731"/>
    <cellStyle name="20% - Accent2 7 4 2" xfId="2443"/>
    <cellStyle name="20% - Accent2 7 4 2 2" xfId="17742"/>
    <cellStyle name="20% - Accent2 7 4 2 2 2" xfId="27458"/>
    <cellStyle name="20% - Accent2 7 4 2 2 2 2" xfId="47212"/>
    <cellStyle name="20% - Accent2 7 4 2 2 3" xfId="37568"/>
    <cellStyle name="20% - Accent2 7 4 2 3" xfId="22648"/>
    <cellStyle name="20% - Accent2 7 4 2 3 2" xfId="42403"/>
    <cellStyle name="20% - Accent2 7 4 2 4" xfId="32759"/>
    <cellStyle name="20% - Accent2 7 4 3" xfId="16078"/>
    <cellStyle name="20% - Accent2 7 4 3 2" xfId="25794"/>
    <cellStyle name="20% - Accent2 7 4 3 2 2" xfId="45548"/>
    <cellStyle name="20% - Accent2 7 4 3 3" xfId="35904"/>
    <cellStyle name="20% - Accent2 7 4 4" xfId="20984"/>
    <cellStyle name="20% - Accent2 7 4 4 2" xfId="40739"/>
    <cellStyle name="20% - Accent2 7 4 5" xfId="31095"/>
    <cellStyle name="20% - Accent2 7 5" xfId="2444"/>
    <cellStyle name="20% - Accent2 7 5 2" xfId="17743"/>
    <cellStyle name="20% - Accent2 7 5 2 2" xfId="27459"/>
    <cellStyle name="20% - Accent2 7 5 2 2 2" xfId="47213"/>
    <cellStyle name="20% - Accent2 7 5 2 3" xfId="37569"/>
    <cellStyle name="20% - Accent2 7 5 3" xfId="22649"/>
    <cellStyle name="20% - Accent2 7 5 3 2" xfId="42404"/>
    <cellStyle name="20% - Accent2 7 5 4" xfId="32760"/>
    <cellStyle name="20% - Accent2 7 6" xfId="15401"/>
    <cellStyle name="20% - Accent2 7 6 2" xfId="20273"/>
    <cellStyle name="20% - Accent2 7 6 2 2" xfId="29987"/>
    <cellStyle name="20% - Accent2 7 6 2 2 2" xfId="49740"/>
    <cellStyle name="20% - Accent2 7 6 2 3" xfId="40096"/>
    <cellStyle name="20% - Accent2 7 6 3" xfId="25175"/>
    <cellStyle name="20% - Accent2 7 6 3 2" xfId="44929"/>
    <cellStyle name="20% - Accent2 7 6 4" xfId="35285"/>
    <cellStyle name="20% - Accent2 7 7" xfId="15839"/>
    <cellStyle name="20% - Accent2 7 7 2" xfId="25555"/>
    <cellStyle name="20% - Accent2 7 7 2 2" xfId="45309"/>
    <cellStyle name="20% - Accent2 7 7 3" xfId="35665"/>
    <cellStyle name="20% - Accent2 7 8" xfId="20712"/>
    <cellStyle name="20% - Accent2 7 8 2" xfId="40492"/>
    <cellStyle name="20% - Accent2 7 9" xfId="30418"/>
    <cellStyle name="20% - Accent2 7 9 2" xfId="50166"/>
    <cellStyle name="20% - Accent2 8" xfId="38"/>
    <cellStyle name="20% - Accent2 8 10" xfId="30825"/>
    <cellStyle name="20% - Accent2 8 2" xfId="39"/>
    <cellStyle name="20% - Accent2 8 2 2" xfId="732"/>
    <cellStyle name="20% - Accent2 8 2 2 2" xfId="2445"/>
    <cellStyle name="20% - Accent2 8 2 2 2 2" xfId="2446"/>
    <cellStyle name="20% - Accent2 8 2 2 2 2 2" xfId="17745"/>
    <cellStyle name="20% - Accent2 8 2 2 2 2 2 2" xfId="27461"/>
    <cellStyle name="20% - Accent2 8 2 2 2 2 2 2 2" xfId="47215"/>
    <cellStyle name="20% - Accent2 8 2 2 2 2 2 3" xfId="37571"/>
    <cellStyle name="20% - Accent2 8 2 2 2 2 3" xfId="22651"/>
    <cellStyle name="20% - Accent2 8 2 2 2 2 3 2" xfId="42406"/>
    <cellStyle name="20% - Accent2 8 2 2 2 2 4" xfId="32762"/>
    <cellStyle name="20% - Accent2 8 2 2 2 3" xfId="17744"/>
    <cellStyle name="20% - Accent2 8 2 2 2 3 2" xfId="27460"/>
    <cellStyle name="20% - Accent2 8 2 2 2 3 2 2" xfId="47214"/>
    <cellStyle name="20% - Accent2 8 2 2 2 3 3" xfId="37570"/>
    <cellStyle name="20% - Accent2 8 2 2 2 4" xfId="22650"/>
    <cellStyle name="20% - Accent2 8 2 2 2 4 2" xfId="42405"/>
    <cellStyle name="20% - Accent2 8 2 2 2 5" xfId="32761"/>
    <cellStyle name="20% - Accent2 8 2 2 3" xfId="2447"/>
    <cellStyle name="20% - Accent2 8 2 2 3 2" xfId="17746"/>
    <cellStyle name="20% - Accent2 8 2 2 3 2 2" xfId="27462"/>
    <cellStyle name="20% - Accent2 8 2 2 3 2 2 2" xfId="47216"/>
    <cellStyle name="20% - Accent2 8 2 2 3 2 3" xfId="37572"/>
    <cellStyle name="20% - Accent2 8 2 2 3 3" xfId="22652"/>
    <cellStyle name="20% - Accent2 8 2 2 3 3 2" xfId="42407"/>
    <cellStyle name="20% - Accent2 8 2 2 3 4" xfId="32763"/>
    <cellStyle name="20% - Accent2 8 2 2 4" xfId="15407"/>
    <cellStyle name="20% - Accent2 8 2 2 4 2" xfId="20279"/>
    <cellStyle name="20% - Accent2 8 2 2 4 2 2" xfId="29993"/>
    <cellStyle name="20% - Accent2 8 2 2 4 2 2 2" xfId="49746"/>
    <cellStyle name="20% - Accent2 8 2 2 4 2 3" xfId="40102"/>
    <cellStyle name="20% - Accent2 8 2 2 4 3" xfId="25181"/>
    <cellStyle name="20% - Accent2 8 2 2 4 3 2" xfId="44935"/>
    <cellStyle name="20% - Accent2 8 2 2 4 4" xfId="35291"/>
    <cellStyle name="20% - Accent2 8 2 2 5" xfId="16079"/>
    <cellStyle name="20% - Accent2 8 2 2 5 2" xfId="25795"/>
    <cellStyle name="20% - Accent2 8 2 2 5 2 2" xfId="45549"/>
    <cellStyle name="20% - Accent2 8 2 2 5 3" xfId="35905"/>
    <cellStyle name="20% - Accent2 8 2 2 6" xfId="20985"/>
    <cellStyle name="20% - Accent2 8 2 2 6 2" xfId="40740"/>
    <cellStyle name="20% - Accent2 8 2 2 7" xfId="30424"/>
    <cellStyle name="20% - Accent2 8 2 2 7 2" xfId="50172"/>
    <cellStyle name="20% - Accent2 8 2 2 8" xfId="31096"/>
    <cellStyle name="20% - Accent2 8 2 3" xfId="733"/>
    <cellStyle name="20% - Accent2 8 2 3 2" xfId="2448"/>
    <cellStyle name="20% - Accent2 8 2 3 2 2" xfId="17747"/>
    <cellStyle name="20% - Accent2 8 2 3 2 2 2" xfId="27463"/>
    <cellStyle name="20% - Accent2 8 2 3 2 2 2 2" xfId="47217"/>
    <cellStyle name="20% - Accent2 8 2 3 2 2 3" xfId="37573"/>
    <cellStyle name="20% - Accent2 8 2 3 2 3" xfId="22653"/>
    <cellStyle name="20% - Accent2 8 2 3 2 3 2" xfId="42408"/>
    <cellStyle name="20% - Accent2 8 2 3 2 4" xfId="32764"/>
    <cellStyle name="20% - Accent2 8 2 3 3" xfId="16080"/>
    <cellStyle name="20% - Accent2 8 2 3 3 2" xfId="25796"/>
    <cellStyle name="20% - Accent2 8 2 3 3 2 2" xfId="45550"/>
    <cellStyle name="20% - Accent2 8 2 3 3 3" xfId="35906"/>
    <cellStyle name="20% - Accent2 8 2 3 4" xfId="20986"/>
    <cellStyle name="20% - Accent2 8 2 3 4 2" xfId="40741"/>
    <cellStyle name="20% - Accent2 8 2 3 5" xfId="31097"/>
    <cellStyle name="20% - Accent2 8 2 4" xfId="2449"/>
    <cellStyle name="20% - Accent2 8 2 4 2" xfId="17748"/>
    <cellStyle name="20% - Accent2 8 2 4 2 2" xfId="27464"/>
    <cellStyle name="20% - Accent2 8 2 4 2 2 2" xfId="47218"/>
    <cellStyle name="20% - Accent2 8 2 4 2 3" xfId="37574"/>
    <cellStyle name="20% - Accent2 8 2 4 3" xfId="22654"/>
    <cellStyle name="20% - Accent2 8 2 4 3 2" xfId="42409"/>
    <cellStyle name="20% - Accent2 8 2 4 4" xfId="32765"/>
    <cellStyle name="20% - Accent2 8 2 5" xfId="15406"/>
    <cellStyle name="20% - Accent2 8 2 5 2" xfId="20278"/>
    <cellStyle name="20% - Accent2 8 2 5 2 2" xfId="29992"/>
    <cellStyle name="20% - Accent2 8 2 5 2 2 2" xfId="49745"/>
    <cellStyle name="20% - Accent2 8 2 5 2 3" xfId="40101"/>
    <cellStyle name="20% - Accent2 8 2 5 3" xfId="25180"/>
    <cellStyle name="20% - Accent2 8 2 5 3 2" xfId="44934"/>
    <cellStyle name="20% - Accent2 8 2 5 4" xfId="35290"/>
    <cellStyle name="20% - Accent2 8 2 6" xfId="15842"/>
    <cellStyle name="20% - Accent2 8 2 6 2" xfId="25558"/>
    <cellStyle name="20% - Accent2 8 2 6 2 2" xfId="45312"/>
    <cellStyle name="20% - Accent2 8 2 6 3" xfId="35668"/>
    <cellStyle name="20% - Accent2 8 2 7" xfId="20715"/>
    <cellStyle name="20% - Accent2 8 2 7 2" xfId="40495"/>
    <cellStyle name="20% - Accent2 8 2 8" xfId="30423"/>
    <cellStyle name="20% - Accent2 8 2 8 2" xfId="50171"/>
    <cellStyle name="20% - Accent2 8 2 9" xfId="30826"/>
    <cellStyle name="20% - Accent2 8 3" xfId="734"/>
    <cellStyle name="20% - Accent2 8 3 2" xfId="2450"/>
    <cellStyle name="20% - Accent2 8 3 2 2" xfId="2451"/>
    <cellStyle name="20% - Accent2 8 3 2 2 2" xfId="17750"/>
    <cellStyle name="20% - Accent2 8 3 2 2 2 2" xfId="27466"/>
    <cellStyle name="20% - Accent2 8 3 2 2 2 2 2" xfId="47220"/>
    <cellStyle name="20% - Accent2 8 3 2 2 2 3" xfId="37576"/>
    <cellStyle name="20% - Accent2 8 3 2 2 3" xfId="22656"/>
    <cellStyle name="20% - Accent2 8 3 2 2 3 2" xfId="42411"/>
    <cellStyle name="20% - Accent2 8 3 2 2 4" xfId="32767"/>
    <cellStyle name="20% - Accent2 8 3 2 3" xfId="17749"/>
    <cellStyle name="20% - Accent2 8 3 2 3 2" xfId="27465"/>
    <cellStyle name="20% - Accent2 8 3 2 3 2 2" xfId="47219"/>
    <cellStyle name="20% - Accent2 8 3 2 3 3" xfId="37575"/>
    <cellStyle name="20% - Accent2 8 3 2 4" xfId="22655"/>
    <cellStyle name="20% - Accent2 8 3 2 4 2" xfId="42410"/>
    <cellStyle name="20% - Accent2 8 3 2 5" xfId="32766"/>
    <cellStyle name="20% - Accent2 8 3 3" xfId="2452"/>
    <cellStyle name="20% - Accent2 8 3 3 2" xfId="17751"/>
    <cellStyle name="20% - Accent2 8 3 3 2 2" xfId="27467"/>
    <cellStyle name="20% - Accent2 8 3 3 2 2 2" xfId="47221"/>
    <cellStyle name="20% - Accent2 8 3 3 2 3" xfId="37577"/>
    <cellStyle name="20% - Accent2 8 3 3 3" xfId="22657"/>
    <cellStyle name="20% - Accent2 8 3 3 3 2" xfId="42412"/>
    <cellStyle name="20% - Accent2 8 3 3 4" xfId="32768"/>
    <cellStyle name="20% - Accent2 8 3 4" xfId="15408"/>
    <cellStyle name="20% - Accent2 8 3 4 2" xfId="20280"/>
    <cellStyle name="20% - Accent2 8 3 4 2 2" xfId="29994"/>
    <cellStyle name="20% - Accent2 8 3 4 2 2 2" xfId="49747"/>
    <cellStyle name="20% - Accent2 8 3 4 2 3" xfId="40103"/>
    <cellStyle name="20% - Accent2 8 3 4 3" xfId="25182"/>
    <cellStyle name="20% - Accent2 8 3 4 3 2" xfId="44936"/>
    <cellStyle name="20% - Accent2 8 3 4 4" xfId="35292"/>
    <cellStyle name="20% - Accent2 8 3 5" xfId="16081"/>
    <cellStyle name="20% - Accent2 8 3 5 2" xfId="25797"/>
    <cellStyle name="20% - Accent2 8 3 5 2 2" xfId="45551"/>
    <cellStyle name="20% - Accent2 8 3 5 3" xfId="35907"/>
    <cellStyle name="20% - Accent2 8 3 6" xfId="20987"/>
    <cellStyle name="20% - Accent2 8 3 6 2" xfId="40742"/>
    <cellStyle name="20% - Accent2 8 3 7" xfId="30425"/>
    <cellStyle name="20% - Accent2 8 3 7 2" xfId="50173"/>
    <cellStyle name="20% - Accent2 8 3 8" xfId="31098"/>
    <cellStyle name="20% - Accent2 8 4" xfId="735"/>
    <cellStyle name="20% - Accent2 8 4 2" xfId="2453"/>
    <cellStyle name="20% - Accent2 8 4 2 2" xfId="17752"/>
    <cellStyle name="20% - Accent2 8 4 2 2 2" xfId="27468"/>
    <cellStyle name="20% - Accent2 8 4 2 2 2 2" xfId="47222"/>
    <cellStyle name="20% - Accent2 8 4 2 2 3" xfId="37578"/>
    <cellStyle name="20% - Accent2 8 4 2 3" xfId="22658"/>
    <cellStyle name="20% - Accent2 8 4 2 3 2" xfId="42413"/>
    <cellStyle name="20% - Accent2 8 4 2 4" xfId="32769"/>
    <cellStyle name="20% - Accent2 8 4 3" xfId="16082"/>
    <cellStyle name="20% - Accent2 8 4 3 2" xfId="25798"/>
    <cellStyle name="20% - Accent2 8 4 3 2 2" xfId="45552"/>
    <cellStyle name="20% - Accent2 8 4 3 3" xfId="35908"/>
    <cellStyle name="20% - Accent2 8 4 4" xfId="20988"/>
    <cellStyle name="20% - Accent2 8 4 4 2" xfId="40743"/>
    <cellStyle name="20% - Accent2 8 4 5" xfId="31099"/>
    <cellStyle name="20% - Accent2 8 5" xfId="2454"/>
    <cellStyle name="20% - Accent2 8 5 2" xfId="17753"/>
    <cellStyle name="20% - Accent2 8 5 2 2" xfId="27469"/>
    <cellStyle name="20% - Accent2 8 5 2 2 2" xfId="47223"/>
    <cellStyle name="20% - Accent2 8 5 2 3" xfId="37579"/>
    <cellStyle name="20% - Accent2 8 5 3" xfId="22659"/>
    <cellStyle name="20% - Accent2 8 5 3 2" xfId="42414"/>
    <cellStyle name="20% - Accent2 8 5 4" xfId="32770"/>
    <cellStyle name="20% - Accent2 8 6" xfId="15405"/>
    <cellStyle name="20% - Accent2 8 6 2" xfId="20277"/>
    <cellStyle name="20% - Accent2 8 6 2 2" xfId="29991"/>
    <cellStyle name="20% - Accent2 8 6 2 2 2" xfId="49744"/>
    <cellStyle name="20% - Accent2 8 6 2 3" xfId="40100"/>
    <cellStyle name="20% - Accent2 8 6 3" xfId="25179"/>
    <cellStyle name="20% - Accent2 8 6 3 2" xfId="44933"/>
    <cellStyle name="20% - Accent2 8 6 4" xfId="35289"/>
    <cellStyle name="20% - Accent2 8 7" xfId="15841"/>
    <cellStyle name="20% - Accent2 8 7 2" xfId="25557"/>
    <cellStyle name="20% - Accent2 8 7 2 2" xfId="45311"/>
    <cellStyle name="20% - Accent2 8 7 3" xfId="35667"/>
    <cellStyle name="20% - Accent2 8 8" xfId="20714"/>
    <cellStyle name="20% - Accent2 8 8 2" xfId="40494"/>
    <cellStyle name="20% - Accent2 8 9" xfId="30422"/>
    <cellStyle name="20% - Accent2 8 9 2" xfId="50170"/>
    <cellStyle name="20% - Accent2 9" xfId="40"/>
    <cellStyle name="20% - Accent2 9 2" xfId="736"/>
    <cellStyle name="20% - Accent2 9 2 2" xfId="2455"/>
    <cellStyle name="20% - Accent2 9 2 2 2" xfId="2456"/>
    <cellStyle name="20% - Accent2 9 2 2 2 2" xfId="17755"/>
    <cellStyle name="20% - Accent2 9 2 2 2 2 2" xfId="27471"/>
    <cellStyle name="20% - Accent2 9 2 2 2 2 2 2" xfId="47225"/>
    <cellStyle name="20% - Accent2 9 2 2 2 2 3" xfId="37581"/>
    <cellStyle name="20% - Accent2 9 2 2 2 3" xfId="22661"/>
    <cellStyle name="20% - Accent2 9 2 2 2 3 2" xfId="42416"/>
    <cellStyle name="20% - Accent2 9 2 2 2 4" xfId="32772"/>
    <cellStyle name="20% - Accent2 9 2 2 3" xfId="17754"/>
    <cellStyle name="20% - Accent2 9 2 2 3 2" xfId="27470"/>
    <cellStyle name="20% - Accent2 9 2 2 3 2 2" xfId="47224"/>
    <cellStyle name="20% - Accent2 9 2 2 3 3" xfId="37580"/>
    <cellStyle name="20% - Accent2 9 2 2 4" xfId="22660"/>
    <cellStyle name="20% - Accent2 9 2 2 4 2" xfId="42415"/>
    <cellStyle name="20% - Accent2 9 2 2 5" xfId="32771"/>
    <cellStyle name="20% - Accent2 9 2 3" xfId="2457"/>
    <cellStyle name="20% - Accent2 9 2 3 2" xfId="17756"/>
    <cellStyle name="20% - Accent2 9 2 3 2 2" xfId="27472"/>
    <cellStyle name="20% - Accent2 9 2 3 2 2 2" xfId="47226"/>
    <cellStyle name="20% - Accent2 9 2 3 2 3" xfId="37582"/>
    <cellStyle name="20% - Accent2 9 2 3 3" xfId="22662"/>
    <cellStyle name="20% - Accent2 9 2 3 3 2" xfId="42417"/>
    <cellStyle name="20% - Accent2 9 2 3 4" xfId="32773"/>
    <cellStyle name="20% - Accent2 9 2 4" xfId="15410"/>
    <cellStyle name="20% - Accent2 9 2 4 2" xfId="20282"/>
    <cellStyle name="20% - Accent2 9 2 4 2 2" xfId="29996"/>
    <cellStyle name="20% - Accent2 9 2 4 2 2 2" xfId="49749"/>
    <cellStyle name="20% - Accent2 9 2 4 2 3" xfId="40105"/>
    <cellStyle name="20% - Accent2 9 2 4 3" xfId="25184"/>
    <cellStyle name="20% - Accent2 9 2 4 3 2" xfId="44938"/>
    <cellStyle name="20% - Accent2 9 2 4 4" xfId="35294"/>
    <cellStyle name="20% - Accent2 9 2 5" xfId="16083"/>
    <cellStyle name="20% - Accent2 9 2 5 2" xfId="25799"/>
    <cellStyle name="20% - Accent2 9 2 5 2 2" xfId="45553"/>
    <cellStyle name="20% - Accent2 9 2 5 3" xfId="35909"/>
    <cellStyle name="20% - Accent2 9 2 6" xfId="20989"/>
    <cellStyle name="20% - Accent2 9 2 6 2" xfId="40744"/>
    <cellStyle name="20% - Accent2 9 2 7" xfId="30427"/>
    <cellStyle name="20% - Accent2 9 2 7 2" xfId="50175"/>
    <cellStyle name="20% - Accent2 9 2 8" xfId="31100"/>
    <cellStyle name="20% - Accent2 9 3" xfId="737"/>
    <cellStyle name="20% - Accent2 9 3 2" xfId="2458"/>
    <cellStyle name="20% - Accent2 9 3 2 2" xfId="17757"/>
    <cellStyle name="20% - Accent2 9 3 2 2 2" xfId="27473"/>
    <cellStyle name="20% - Accent2 9 3 2 2 2 2" xfId="47227"/>
    <cellStyle name="20% - Accent2 9 3 2 2 3" xfId="37583"/>
    <cellStyle name="20% - Accent2 9 3 2 3" xfId="22663"/>
    <cellStyle name="20% - Accent2 9 3 2 3 2" xfId="42418"/>
    <cellStyle name="20% - Accent2 9 3 2 4" xfId="32774"/>
    <cellStyle name="20% - Accent2 9 3 3" xfId="16084"/>
    <cellStyle name="20% - Accent2 9 3 3 2" xfId="25800"/>
    <cellStyle name="20% - Accent2 9 3 3 2 2" xfId="45554"/>
    <cellStyle name="20% - Accent2 9 3 3 3" xfId="35910"/>
    <cellStyle name="20% - Accent2 9 3 4" xfId="20990"/>
    <cellStyle name="20% - Accent2 9 3 4 2" xfId="40745"/>
    <cellStyle name="20% - Accent2 9 3 5" xfId="31101"/>
    <cellStyle name="20% - Accent2 9 4" xfId="2459"/>
    <cellStyle name="20% - Accent2 9 4 2" xfId="17758"/>
    <cellStyle name="20% - Accent2 9 4 2 2" xfId="27474"/>
    <cellStyle name="20% - Accent2 9 4 2 2 2" xfId="47228"/>
    <cellStyle name="20% - Accent2 9 4 2 3" xfId="37584"/>
    <cellStyle name="20% - Accent2 9 4 3" xfId="22664"/>
    <cellStyle name="20% - Accent2 9 4 3 2" xfId="42419"/>
    <cellStyle name="20% - Accent2 9 4 4" xfId="32775"/>
    <cellStyle name="20% - Accent2 9 5" xfId="15409"/>
    <cellStyle name="20% - Accent2 9 5 2" xfId="20281"/>
    <cellStyle name="20% - Accent2 9 5 2 2" xfId="29995"/>
    <cellStyle name="20% - Accent2 9 5 2 2 2" xfId="49748"/>
    <cellStyle name="20% - Accent2 9 5 2 3" xfId="40104"/>
    <cellStyle name="20% - Accent2 9 5 3" xfId="25183"/>
    <cellStyle name="20% - Accent2 9 5 3 2" xfId="44937"/>
    <cellStyle name="20% - Accent2 9 5 4" xfId="35293"/>
    <cellStyle name="20% - Accent2 9 6" xfId="15843"/>
    <cellStyle name="20% - Accent2 9 6 2" xfId="25559"/>
    <cellStyle name="20% - Accent2 9 6 2 2" xfId="45313"/>
    <cellStyle name="20% - Accent2 9 6 3" xfId="35669"/>
    <cellStyle name="20% - Accent2 9 7" xfId="20716"/>
    <cellStyle name="20% - Accent2 9 7 2" xfId="40496"/>
    <cellStyle name="20% - Accent2 9 8" xfId="30426"/>
    <cellStyle name="20% - Accent2 9 8 2" xfId="50174"/>
    <cellStyle name="20% - Accent2 9 9" xfId="30827"/>
    <cellStyle name="20% - Accent3" xfId="41" builtinId="38" customBuiltin="1"/>
    <cellStyle name="20% - Accent3 10" xfId="42"/>
    <cellStyle name="20% - Accent3 10 2" xfId="738"/>
    <cellStyle name="20% - Accent3 10 2 2" xfId="2460"/>
    <cellStyle name="20% - Accent3 10 2 2 2" xfId="2461"/>
    <cellStyle name="20% - Accent3 10 2 2 2 2" xfId="17760"/>
    <cellStyle name="20% - Accent3 10 2 2 2 2 2" xfId="27476"/>
    <cellStyle name="20% - Accent3 10 2 2 2 2 2 2" xfId="47230"/>
    <cellStyle name="20% - Accent3 10 2 2 2 2 3" xfId="37586"/>
    <cellStyle name="20% - Accent3 10 2 2 2 3" xfId="22666"/>
    <cellStyle name="20% - Accent3 10 2 2 2 3 2" xfId="42421"/>
    <cellStyle name="20% - Accent3 10 2 2 2 4" xfId="32777"/>
    <cellStyle name="20% - Accent3 10 2 2 3" xfId="17759"/>
    <cellStyle name="20% - Accent3 10 2 2 3 2" xfId="27475"/>
    <cellStyle name="20% - Accent3 10 2 2 3 2 2" xfId="47229"/>
    <cellStyle name="20% - Accent3 10 2 2 3 3" xfId="37585"/>
    <cellStyle name="20% - Accent3 10 2 2 4" xfId="22665"/>
    <cellStyle name="20% - Accent3 10 2 2 4 2" xfId="42420"/>
    <cellStyle name="20% - Accent3 10 2 2 5" xfId="32776"/>
    <cellStyle name="20% - Accent3 10 2 3" xfId="2462"/>
    <cellStyle name="20% - Accent3 10 2 3 2" xfId="17761"/>
    <cellStyle name="20% - Accent3 10 2 3 2 2" xfId="27477"/>
    <cellStyle name="20% - Accent3 10 2 3 2 2 2" xfId="47231"/>
    <cellStyle name="20% - Accent3 10 2 3 2 3" xfId="37587"/>
    <cellStyle name="20% - Accent3 10 2 3 3" xfId="22667"/>
    <cellStyle name="20% - Accent3 10 2 3 3 2" xfId="42422"/>
    <cellStyle name="20% - Accent3 10 2 3 4" xfId="32778"/>
    <cellStyle name="20% - Accent3 10 2 4" xfId="16085"/>
    <cellStyle name="20% - Accent3 10 2 4 2" xfId="25801"/>
    <cellStyle name="20% - Accent3 10 2 4 2 2" xfId="45555"/>
    <cellStyle name="20% - Accent3 10 2 4 3" xfId="35911"/>
    <cellStyle name="20% - Accent3 10 2 5" xfId="20991"/>
    <cellStyle name="20% - Accent3 10 2 5 2" xfId="40746"/>
    <cellStyle name="20% - Accent3 10 2 6" xfId="31102"/>
    <cellStyle name="20% - Accent3 10 3" xfId="739"/>
    <cellStyle name="20% - Accent3 10 3 2" xfId="2463"/>
    <cellStyle name="20% - Accent3 10 3 2 2" xfId="17762"/>
    <cellStyle name="20% - Accent3 10 3 2 2 2" xfId="27478"/>
    <cellStyle name="20% - Accent3 10 3 2 2 2 2" xfId="47232"/>
    <cellStyle name="20% - Accent3 10 3 2 2 3" xfId="37588"/>
    <cellStyle name="20% - Accent3 10 3 2 3" xfId="22668"/>
    <cellStyle name="20% - Accent3 10 3 2 3 2" xfId="42423"/>
    <cellStyle name="20% - Accent3 10 3 2 4" xfId="32779"/>
    <cellStyle name="20% - Accent3 10 3 3" xfId="16086"/>
    <cellStyle name="20% - Accent3 10 3 3 2" xfId="25802"/>
    <cellStyle name="20% - Accent3 10 3 3 2 2" xfId="45556"/>
    <cellStyle name="20% - Accent3 10 3 3 3" xfId="35912"/>
    <cellStyle name="20% - Accent3 10 3 4" xfId="20992"/>
    <cellStyle name="20% - Accent3 10 3 4 2" xfId="40747"/>
    <cellStyle name="20% - Accent3 10 3 5" xfId="31103"/>
    <cellStyle name="20% - Accent3 10 4" xfId="2464"/>
    <cellStyle name="20% - Accent3 10 4 2" xfId="17763"/>
    <cellStyle name="20% - Accent3 10 4 2 2" xfId="27479"/>
    <cellStyle name="20% - Accent3 10 4 2 2 2" xfId="47233"/>
    <cellStyle name="20% - Accent3 10 4 2 3" xfId="37589"/>
    <cellStyle name="20% - Accent3 10 4 3" xfId="22669"/>
    <cellStyle name="20% - Accent3 10 4 3 2" xfId="42424"/>
    <cellStyle name="20% - Accent3 10 4 4" xfId="32780"/>
    <cellStyle name="20% - Accent3 10 5" xfId="15412"/>
    <cellStyle name="20% - Accent3 10 5 2" xfId="20284"/>
    <cellStyle name="20% - Accent3 10 5 2 2" xfId="29998"/>
    <cellStyle name="20% - Accent3 10 5 2 2 2" xfId="49751"/>
    <cellStyle name="20% - Accent3 10 5 2 3" xfId="40107"/>
    <cellStyle name="20% - Accent3 10 5 3" xfId="25186"/>
    <cellStyle name="20% - Accent3 10 5 3 2" xfId="44940"/>
    <cellStyle name="20% - Accent3 10 5 4" xfId="35296"/>
    <cellStyle name="20% - Accent3 10 6" xfId="15845"/>
    <cellStyle name="20% - Accent3 10 6 2" xfId="25561"/>
    <cellStyle name="20% - Accent3 10 6 2 2" xfId="45315"/>
    <cellStyle name="20% - Accent3 10 6 3" xfId="35671"/>
    <cellStyle name="20% - Accent3 10 7" xfId="20718"/>
    <cellStyle name="20% - Accent3 10 7 2" xfId="40498"/>
    <cellStyle name="20% - Accent3 10 8" xfId="30428"/>
    <cellStyle name="20% - Accent3 10 8 2" xfId="50176"/>
    <cellStyle name="20% - Accent3 10 9" xfId="30829"/>
    <cellStyle name="20% - Accent3 11" xfId="43"/>
    <cellStyle name="20% - Accent3 11 2" xfId="740"/>
    <cellStyle name="20% - Accent3 11 2 2" xfId="16087"/>
    <cellStyle name="20% - Accent3 11 2 2 2" xfId="25803"/>
    <cellStyle name="20% - Accent3 11 2 2 2 2" xfId="45557"/>
    <cellStyle name="20% - Accent3 11 2 2 3" xfId="35913"/>
    <cellStyle name="20% - Accent3 11 2 3" xfId="20993"/>
    <cellStyle name="20% - Accent3 11 2 3 2" xfId="40748"/>
    <cellStyle name="20% - Accent3 11 2 4" xfId="31104"/>
    <cellStyle name="20% - Accent3 11 3" xfId="15413"/>
    <cellStyle name="20% - Accent3 11 3 2" xfId="20285"/>
    <cellStyle name="20% - Accent3 11 3 2 2" xfId="29999"/>
    <cellStyle name="20% - Accent3 11 3 2 2 2" xfId="49752"/>
    <cellStyle name="20% - Accent3 11 3 2 3" xfId="40108"/>
    <cellStyle name="20% - Accent3 11 3 3" xfId="25187"/>
    <cellStyle name="20% - Accent3 11 3 3 2" xfId="44941"/>
    <cellStyle name="20% - Accent3 11 3 4" xfId="35297"/>
    <cellStyle name="20% - Accent3 11 4" xfId="15844"/>
    <cellStyle name="20% - Accent3 11 4 2" xfId="25560"/>
    <cellStyle name="20% - Accent3 11 4 2 2" xfId="45314"/>
    <cellStyle name="20% - Accent3 11 4 3" xfId="35670"/>
    <cellStyle name="20% - Accent3 11 5" xfId="20719"/>
    <cellStyle name="20% - Accent3 11 5 2" xfId="40499"/>
    <cellStyle name="20% - Accent3 11 6" xfId="30429"/>
    <cellStyle name="20% - Accent3 11 6 2" xfId="50177"/>
    <cellStyle name="20% - Accent3 11 7" xfId="30830"/>
    <cellStyle name="20% - Accent3 12" xfId="741"/>
    <cellStyle name="20% - Accent3 12 2" xfId="16088"/>
    <cellStyle name="20% - Accent3 12 2 2" xfId="25804"/>
    <cellStyle name="20% - Accent3 12 2 2 2" xfId="45558"/>
    <cellStyle name="20% - Accent3 12 2 3" xfId="35914"/>
    <cellStyle name="20% - Accent3 12 3" xfId="20994"/>
    <cellStyle name="20% - Accent3 12 3 2" xfId="40749"/>
    <cellStyle name="20% - Accent3 12 4" xfId="31105"/>
    <cellStyle name="20% - Accent3 13" xfId="742"/>
    <cellStyle name="20% - Accent3 13 2" xfId="16089"/>
    <cellStyle name="20% - Accent3 13 2 2" xfId="25805"/>
    <cellStyle name="20% - Accent3 13 2 2 2" xfId="45559"/>
    <cellStyle name="20% - Accent3 13 2 3" xfId="35915"/>
    <cellStyle name="20% - Accent3 13 3" xfId="20995"/>
    <cellStyle name="20% - Accent3 13 3 2" xfId="40750"/>
    <cellStyle name="20% - Accent3 13 4" xfId="31106"/>
    <cellStyle name="20% - Accent3 14" xfId="743"/>
    <cellStyle name="20% - Accent3 14 2" xfId="16090"/>
    <cellStyle name="20% - Accent3 14 2 2" xfId="25806"/>
    <cellStyle name="20% - Accent3 14 2 2 2" xfId="45560"/>
    <cellStyle name="20% - Accent3 14 2 3" xfId="35916"/>
    <cellStyle name="20% - Accent3 14 3" xfId="20996"/>
    <cellStyle name="20% - Accent3 14 3 2" xfId="40751"/>
    <cellStyle name="20% - Accent3 14 4" xfId="31107"/>
    <cellStyle name="20% - Accent3 15" xfId="15318"/>
    <cellStyle name="20% - Accent3 15 2" xfId="20215"/>
    <cellStyle name="20% - Accent3 15 2 2" xfId="29929"/>
    <cellStyle name="20% - Accent3 15 2 2 2" xfId="49682"/>
    <cellStyle name="20% - Accent3 15 2 3" xfId="40038"/>
    <cellStyle name="20% - Accent3 15 3" xfId="25117"/>
    <cellStyle name="20% - Accent3 15 3 2" xfId="44871"/>
    <cellStyle name="20% - Accent3 15 4" xfId="35227"/>
    <cellStyle name="20% - Accent3 16" xfId="15411"/>
    <cellStyle name="20% - Accent3 16 2" xfId="20283"/>
    <cellStyle name="20% - Accent3 16 2 2" xfId="29997"/>
    <cellStyle name="20% - Accent3 16 2 2 2" xfId="49750"/>
    <cellStyle name="20% - Accent3 16 2 3" xfId="40106"/>
    <cellStyle name="20% - Accent3 16 3" xfId="25185"/>
    <cellStyle name="20% - Accent3 16 3 2" xfId="44939"/>
    <cellStyle name="20% - Accent3 16 4" xfId="35295"/>
    <cellStyle name="20% - Accent3 17" xfId="15804"/>
    <cellStyle name="20% - Accent3 17 2" xfId="25520"/>
    <cellStyle name="20% - Accent3 17 2 2" xfId="45274"/>
    <cellStyle name="20% - Accent3 17 3" xfId="35630"/>
    <cellStyle name="20% - Accent3 18" xfId="20209"/>
    <cellStyle name="20% - Accent3 18 2" xfId="29924"/>
    <cellStyle name="20% - Accent3 18 2 2" xfId="49677"/>
    <cellStyle name="20% - Accent3 18 3" xfId="40033"/>
    <cellStyle name="20% - Accent3 19" xfId="20669"/>
    <cellStyle name="20% - Accent3 19 2" xfId="30346"/>
    <cellStyle name="20% - Accent3 19 2 2" xfId="50095"/>
    <cellStyle name="20% - Accent3 19 3" xfId="40451"/>
    <cellStyle name="20% - Accent3 2" xfId="44"/>
    <cellStyle name="20% - Accent3 2 10" xfId="2465"/>
    <cellStyle name="20% - Accent3 2 10 2" xfId="2466"/>
    <cellStyle name="20% - Accent3 2 10 2 2" xfId="17765"/>
    <cellStyle name="20% - Accent3 2 10 2 2 2" xfId="27481"/>
    <cellStyle name="20% - Accent3 2 10 2 2 2 2" xfId="47235"/>
    <cellStyle name="20% - Accent3 2 10 2 2 3" xfId="37591"/>
    <cellStyle name="20% - Accent3 2 10 2 3" xfId="22671"/>
    <cellStyle name="20% - Accent3 2 10 2 3 2" xfId="42426"/>
    <cellStyle name="20% - Accent3 2 10 2 4" xfId="32782"/>
    <cellStyle name="20% - Accent3 2 10 3" xfId="17764"/>
    <cellStyle name="20% - Accent3 2 10 3 2" xfId="27480"/>
    <cellStyle name="20% - Accent3 2 10 3 2 2" xfId="47234"/>
    <cellStyle name="20% - Accent3 2 10 3 3" xfId="37590"/>
    <cellStyle name="20% - Accent3 2 10 4" xfId="22670"/>
    <cellStyle name="20% - Accent3 2 10 4 2" xfId="42425"/>
    <cellStyle name="20% - Accent3 2 10 5" xfId="32781"/>
    <cellStyle name="20% - Accent3 2 11" xfId="2467"/>
    <cellStyle name="20% - Accent3 2 11 2" xfId="17766"/>
    <cellStyle name="20% - Accent3 2 11 2 2" xfId="27482"/>
    <cellStyle name="20% - Accent3 2 11 2 2 2" xfId="47236"/>
    <cellStyle name="20% - Accent3 2 11 2 3" xfId="37592"/>
    <cellStyle name="20% - Accent3 2 11 3" xfId="22672"/>
    <cellStyle name="20% - Accent3 2 11 3 2" xfId="42427"/>
    <cellStyle name="20% - Accent3 2 11 4" xfId="32783"/>
    <cellStyle name="20% - Accent3 2 12" xfId="2468"/>
    <cellStyle name="20% - Accent3 2 12 2" xfId="17767"/>
    <cellStyle name="20% - Accent3 2 12 2 2" xfId="27483"/>
    <cellStyle name="20% - Accent3 2 12 2 2 2" xfId="47237"/>
    <cellStyle name="20% - Accent3 2 12 2 3" xfId="37593"/>
    <cellStyle name="20% - Accent3 2 12 3" xfId="22673"/>
    <cellStyle name="20% - Accent3 2 12 3 2" xfId="42428"/>
    <cellStyle name="20% - Accent3 2 12 4" xfId="32784"/>
    <cellStyle name="20% - Accent3 2 13" xfId="2469"/>
    <cellStyle name="20% - Accent3 2 13 2" xfId="17768"/>
    <cellStyle name="20% - Accent3 2 13 2 2" xfId="27484"/>
    <cellStyle name="20% - Accent3 2 13 2 2 2" xfId="47238"/>
    <cellStyle name="20% - Accent3 2 13 2 3" xfId="37594"/>
    <cellStyle name="20% - Accent3 2 13 3" xfId="22674"/>
    <cellStyle name="20% - Accent3 2 13 3 2" xfId="42429"/>
    <cellStyle name="20% - Accent3 2 13 4" xfId="32785"/>
    <cellStyle name="20% - Accent3 2 2" xfId="45"/>
    <cellStyle name="20% - Accent3 2 2 10" xfId="2470"/>
    <cellStyle name="20% - Accent3 2 2 10 2" xfId="17769"/>
    <cellStyle name="20% - Accent3 2 2 10 2 2" xfId="27485"/>
    <cellStyle name="20% - Accent3 2 2 10 2 2 2" xfId="47239"/>
    <cellStyle name="20% - Accent3 2 2 10 2 3" xfId="37595"/>
    <cellStyle name="20% - Accent3 2 2 10 3" xfId="22675"/>
    <cellStyle name="20% - Accent3 2 2 10 3 2" xfId="42430"/>
    <cellStyle name="20% - Accent3 2 2 10 4" xfId="32786"/>
    <cellStyle name="20% - Accent3 2 2 11" xfId="2471"/>
    <cellStyle name="20% - Accent3 2 2 11 2" xfId="17770"/>
    <cellStyle name="20% - Accent3 2 2 11 2 2" xfId="27486"/>
    <cellStyle name="20% - Accent3 2 2 11 2 2 2" xfId="47240"/>
    <cellStyle name="20% - Accent3 2 2 11 2 3" xfId="37596"/>
    <cellStyle name="20% - Accent3 2 2 11 3" xfId="22676"/>
    <cellStyle name="20% - Accent3 2 2 11 3 2" xfId="42431"/>
    <cellStyle name="20% - Accent3 2 2 11 4" xfId="32787"/>
    <cellStyle name="20% - Accent3 2 2 12" xfId="2472"/>
    <cellStyle name="20% - Accent3 2 2 12 2" xfId="17771"/>
    <cellStyle name="20% - Accent3 2 2 12 2 2" xfId="27487"/>
    <cellStyle name="20% - Accent3 2 2 12 2 2 2" xfId="47241"/>
    <cellStyle name="20% - Accent3 2 2 12 2 3" xfId="37597"/>
    <cellStyle name="20% - Accent3 2 2 12 3" xfId="22677"/>
    <cellStyle name="20% - Accent3 2 2 12 3 2" xfId="42432"/>
    <cellStyle name="20% - Accent3 2 2 12 4" xfId="32788"/>
    <cellStyle name="20% - Accent3 2 2 2" xfId="2473"/>
    <cellStyle name="20% - Accent3 2 2 2 10" xfId="2474"/>
    <cellStyle name="20% - Accent3 2 2 2 10 2" xfId="17773"/>
    <cellStyle name="20% - Accent3 2 2 2 10 2 2" xfId="27489"/>
    <cellStyle name="20% - Accent3 2 2 2 10 2 2 2" xfId="47243"/>
    <cellStyle name="20% - Accent3 2 2 2 10 2 3" xfId="37599"/>
    <cellStyle name="20% - Accent3 2 2 2 10 3" xfId="22679"/>
    <cellStyle name="20% - Accent3 2 2 2 10 3 2" xfId="42434"/>
    <cellStyle name="20% - Accent3 2 2 2 10 4" xfId="32790"/>
    <cellStyle name="20% - Accent3 2 2 2 11" xfId="17772"/>
    <cellStyle name="20% - Accent3 2 2 2 11 2" xfId="27488"/>
    <cellStyle name="20% - Accent3 2 2 2 11 2 2" xfId="47242"/>
    <cellStyle name="20% - Accent3 2 2 2 11 3" xfId="37598"/>
    <cellStyle name="20% - Accent3 2 2 2 12" xfId="22678"/>
    <cellStyle name="20% - Accent3 2 2 2 12 2" xfId="42433"/>
    <cellStyle name="20% - Accent3 2 2 2 13" xfId="32789"/>
    <cellStyle name="20% - Accent3 2 2 2 2" xfId="2475"/>
    <cellStyle name="20% - Accent3 2 2 2 2 10" xfId="32791"/>
    <cellStyle name="20% - Accent3 2 2 2 2 2" xfId="2476"/>
    <cellStyle name="20% - Accent3 2 2 2 2 2 2" xfId="2477"/>
    <cellStyle name="20% - Accent3 2 2 2 2 2 2 2" xfId="2478"/>
    <cellStyle name="20% - Accent3 2 2 2 2 2 2 2 2" xfId="2479"/>
    <cellStyle name="20% - Accent3 2 2 2 2 2 2 2 2 2" xfId="17778"/>
    <cellStyle name="20% - Accent3 2 2 2 2 2 2 2 2 2 2" xfId="27494"/>
    <cellStyle name="20% - Accent3 2 2 2 2 2 2 2 2 2 2 2" xfId="47248"/>
    <cellStyle name="20% - Accent3 2 2 2 2 2 2 2 2 2 3" xfId="37604"/>
    <cellStyle name="20% - Accent3 2 2 2 2 2 2 2 2 3" xfId="22684"/>
    <cellStyle name="20% - Accent3 2 2 2 2 2 2 2 2 3 2" xfId="42439"/>
    <cellStyle name="20% - Accent3 2 2 2 2 2 2 2 2 4" xfId="32795"/>
    <cellStyle name="20% - Accent3 2 2 2 2 2 2 2 3" xfId="17777"/>
    <cellStyle name="20% - Accent3 2 2 2 2 2 2 2 3 2" xfId="27493"/>
    <cellStyle name="20% - Accent3 2 2 2 2 2 2 2 3 2 2" xfId="47247"/>
    <cellStyle name="20% - Accent3 2 2 2 2 2 2 2 3 3" xfId="37603"/>
    <cellStyle name="20% - Accent3 2 2 2 2 2 2 2 4" xfId="22683"/>
    <cellStyle name="20% - Accent3 2 2 2 2 2 2 2 4 2" xfId="42438"/>
    <cellStyle name="20% - Accent3 2 2 2 2 2 2 2 5" xfId="32794"/>
    <cellStyle name="20% - Accent3 2 2 2 2 2 2 3" xfId="2480"/>
    <cellStyle name="20% - Accent3 2 2 2 2 2 2 3 2" xfId="17779"/>
    <cellStyle name="20% - Accent3 2 2 2 2 2 2 3 2 2" xfId="27495"/>
    <cellStyle name="20% - Accent3 2 2 2 2 2 2 3 2 2 2" xfId="47249"/>
    <cellStyle name="20% - Accent3 2 2 2 2 2 2 3 2 3" xfId="37605"/>
    <cellStyle name="20% - Accent3 2 2 2 2 2 2 3 3" xfId="22685"/>
    <cellStyle name="20% - Accent3 2 2 2 2 2 2 3 3 2" xfId="42440"/>
    <cellStyle name="20% - Accent3 2 2 2 2 2 2 3 4" xfId="32796"/>
    <cellStyle name="20% - Accent3 2 2 2 2 2 2 4" xfId="17776"/>
    <cellStyle name="20% - Accent3 2 2 2 2 2 2 4 2" xfId="27492"/>
    <cellStyle name="20% - Accent3 2 2 2 2 2 2 4 2 2" xfId="47246"/>
    <cellStyle name="20% - Accent3 2 2 2 2 2 2 4 3" xfId="37602"/>
    <cellStyle name="20% - Accent3 2 2 2 2 2 2 5" xfId="22682"/>
    <cellStyle name="20% - Accent3 2 2 2 2 2 2 5 2" xfId="42437"/>
    <cellStyle name="20% - Accent3 2 2 2 2 2 2 6" xfId="32793"/>
    <cellStyle name="20% - Accent3 2 2 2 2 2 3" xfId="2481"/>
    <cellStyle name="20% - Accent3 2 2 2 2 2 3 2" xfId="2482"/>
    <cellStyle name="20% - Accent3 2 2 2 2 2 3 2 2" xfId="17781"/>
    <cellStyle name="20% - Accent3 2 2 2 2 2 3 2 2 2" xfId="27497"/>
    <cellStyle name="20% - Accent3 2 2 2 2 2 3 2 2 2 2" xfId="47251"/>
    <cellStyle name="20% - Accent3 2 2 2 2 2 3 2 2 3" xfId="37607"/>
    <cellStyle name="20% - Accent3 2 2 2 2 2 3 2 3" xfId="22687"/>
    <cellStyle name="20% - Accent3 2 2 2 2 2 3 2 3 2" xfId="42442"/>
    <cellStyle name="20% - Accent3 2 2 2 2 2 3 2 4" xfId="32798"/>
    <cellStyle name="20% - Accent3 2 2 2 2 2 3 3" xfId="17780"/>
    <cellStyle name="20% - Accent3 2 2 2 2 2 3 3 2" xfId="27496"/>
    <cellStyle name="20% - Accent3 2 2 2 2 2 3 3 2 2" xfId="47250"/>
    <cellStyle name="20% - Accent3 2 2 2 2 2 3 3 3" xfId="37606"/>
    <cellStyle name="20% - Accent3 2 2 2 2 2 3 4" xfId="22686"/>
    <cellStyle name="20% - Accent3 2 2 2 2 2 3 4 2" xfId="42441"/>
    <cellStyle name="20% - Accent3 2 2 2 2 2 3 5" xfId="32797"/>
    <cellStyle name="20% - Accent3 2 2 2 2 2 4" xfId="2483"/>
    <cellStyle name="20% - Accent3 2 2 2 2 2 4 2" xfId="17782"/>
    <cellStyle name="20% - Accent3 2 2 2 2 2 4 2 2" xfId="27498"/>
    <cellStyle name="20% - Accent3 2 2 2 2 2 4 2 2 2" xfId="47252"/>
    <cellStyle name="20% - Accent3 2 2 2 2 2 4 2 3" xfId="37608"/>
    <cellStyle name="20% - Accent3 2 2 2 2 2 4 3" xfId="22688"/>
    <cellStyle name="20% - Accent3 2 2 2 2 2 4 3 2" xfId="42443"/>
    <cellStyle name="20% - Accent3 2 2 2 2 2 4 4" xfId="32799"/>
    <cellStyle name="20% - Accent3 2 2 2 2 2 5" xfId="17775"/>
    <cellStyle name="20% - Accent3 2 2 2 2 2 5 2" xfId="27491"/>
    <cellStyle name="20% - Accent3 2 2 2 2 2 5 2 2" xfId="47245"/>
    <cellStyle name="20% - Accent3 2 2 2 2 2 5 3" xfId="37601"/>
    <cellStyle name="20% - Accent3 2 2 2 2 2 6" xfId="22681"/>
    <cellStyle name="20% - Accent3 2 2 2 2 2 6 2" xfId="42436"/>
    <cellStyle name="20% - Accent3 2 2 2 2 2 7" xfId="32792"/>
    <cellStyle name="20% - Accent3 2 2 2 2 3" xfId="2484"/>
    <cellStyle name="20% - Accent3 2 2 2 2 3 2" xfId="2485"/>
    <cellStyle name="20% - Accent3 2 2 2 2 3 2 2" xfId="2486"/>
    <cellStyle name="20% - Accent3 2 2 2 2 3 2 2 2" xfId="17785"/>
    <cellStyle name="20% - Accent3 2 2 2 2 3 2 2 2 2" xfId="27501"/>
    <cellStyle name="20% - Accent3 2 2 2 2 3 2 2 2 2 2" xfId="47255"/>
    <cellStyle name="20% - Accent3 2 2 2 2 3 2 2 2 3" xfId="37611"/>
    <cellStyle name="20% - Accent3 2 2 2 2 3 2 2 3" xfId="22691"/>
    <cellStyle name="20% - Accent3 2 2 2 2 3 2 2 3 2" xfId="42446"/>
    <cellStyle name="20% - Accent3 2 2 2 2 3 2 2 4" xfId="32802"/>
    <cellStyle name="20% - Accent3 2 2 2 2 3 2 3" xfId="17784"/>
    <cellStyle name="20% - Accent3 2 2 2 2 3 2 3 2" xfId="27500"/>
    <cellStyle name="20% - Accent3 2 2 2 2 3 2 3 2 2" xfId="47254"/>
    <cellStyle name="20% - Accent3 2 2 2 2 3 2 3 3" xfId="37610"/>
    <cellStyle name="20% - Accent3 2 2 2 2 3 2 4" xfId="22690"/>
    <cellStyle name="20% - Accent3 2 2 2 2 3 2 4 2" xfId="42445"/>
    <cellStyle name="20% - Accent3 2 2 2 2 3 2 5" xfId="32801"/>
    <cellStyle name="20% - Accent3 2 2 2 2 3 3" xfId="2487"/>
    <cellStyle name="20% - Accent3 2 2 2 2 3 3 2" xfId="17786"/>
    <cellStyle name="20% - Accent3 2 2 2 2 3 3 2 2" xfId="27502"/>
    <cellStyle name="20% - Accent3 2 2 2 2 3 3 2 2 2" xfId="47256"/>
    <cellStyle name="20% - Accent3 2 2 2 2 3 3 2 3" xfId="37612"/>
    <cellStyle name="20% - Accent3 2 2 2 2 3 3 3" xfId="22692"/>
    <cellStyle name="20% - Accent3 2 2 2 2 3 3 3 2" xfId="42447"/>
    <cellStyle name="20% - Accent3 2 2 2 2 3 3 4" xfId="32803"/>
    <cellStyle name="20% - Accent3 2 2 2 2 3 4" xfId="17783"/>
    <cellStyle name="20% - Accent3 2 2 2 2 3 4 2" xfId="27499"/>
    <cellStyle name="20% - Accent3 2 2 2 2 3 4 2 2" xfId="47253"/>
    <cellStyle name="20% - Accent3 2 2 2 2 3 4 3" xfId="37609"/>
    <cellStyle name="20% - Accent3 2 2 2 2 3 5" xfId="22689"/>
    <cellStyle name="20% - Accent3 2 2 2 2 3 5 2" xfId="42444"/>
    <cellStyle name="20% - Accent3 2 2 2 2 3 6" xfId="32800"/>
    <cellStyle name="20% - Accent3 2 2 2 2 4" xfId="2488"/>
    <cellStyle name="20% - Accent3 2 2 2 2 4 2" xfId="2489"/>
    <cellStyle name="20% - Accent3 2 2 2 2 4 2 2" xfId="17788"/>
    <cellStyle name="20% - Accent3 2 2 2 2 4 2 2 2" xfId="27504"/>
    <cellStyle name="20% - Accent3 2 2 2 2 4 2 2 2 2" xfId="47258"/>
    <cellStyle name="20% - Accent3 2 2 2 2 4 2 2 3" xfId="37614"/>
    <cellStyle name="20% - Accent3 2 2 2 2 4 2 3" xfId="22694"/>
    <cellStyle name="20% - Accent3 2 2 2 2 4 2 3 2" xfId="42449"/>
    <cellStyle name="20% - Accent3 2 2 2 2 4 2 4" xfId="32805"/>
    <cellStyle name="20% - Accent3 2 2 2 2 4 3" xfId="17787"/>
    <cellStyle name="20% - Accent3 2 2 2 2 4 3 2" xfId="27503"/>
    <cellStyle name="20% - Accent3 2 2 2 2 4 3 2 2" xfId="47257"/>
    <cellStyle name="20% - Accent3 2 2 2 2 4 3 3" xfId="37613"/>
    <cellStyle name="20% - Accent3 2 2 2 2 4 4" xfId="22693"/>
    <cellStyle name="20% - Accent3 2 2 2 2 4 4 2" xfId="42448"/>
    <cellStyle name="20% - Accent3 2 2 2 2 4 5" xfId="32804"/>
    <cellStyle name="20% - Accent3 2 2 2 2 5" xfId="2490"/>
    <cellStyle name="20% - Accent3 2 2 2 2 5 2" xfId="17789"/>
    <cellStyle name="20% - Accent3 2 2 2 2 5 2 2" xfId="27505"/>
    <cellStyle name="20% - Accent3 2 2 2 2 5 2 2 2" xfId="47259"/>
    <cellStyle name="20% - Accent3 2 2 2 2 5 2 3" xfId="37615"/>
    <cellStyle name="20% - Accent3 2 2 2 2 5 3" xfId="22695"/>
    <cellStyle name="20% - Accent3 2 2 2 2 5 3 2" xfId="42450"/>
    <cellStyle name="20% - Accent3 2 2 2 2 5 4" xfId="32806"/>
    <cellStyle name="20% - Accent3 2 2 2 2 6" xfId="2491"/>
    <cellStyle name="20% - Accent3 2 2 2 2 6 2" xfId="17790"/>
    <cellStyle name="20% - Accent3 2 2 2 2 6 2 2" xfId="27506"/>
    <cellStyle name="20% - Accent3 2 2 2 2 6 2 2 2" xfId="47260"/>
    <cellStyle name="20% - Accent3 2 2 2 2 6 2 3" xfId="37616"/>
    <cellStyle name="20% - Accent3 2 2 2 2 6 3" xfId="22696"/>
    <cellStyle name="20% - Accent3 2 2 2 2 6 3 2" xfId="42451"/>
    <cellStyle name="20% - Accent3 2 2 2 2 6 4" xfId="32807"/>
    <cellStyle name="20% - Accent3 2 2 2 2 7" xfId="2492"/>
    <cellStyle name="20% - Accent3 2 2 2 2 7 2" xfId="17791"/>
    <cellStyle name="20% - Accent3 2 2 2 2 7 2 2" xfId="27507"/>
    <cellStyle name="20% - Accent3 2 2 2 2 7 2 2 2" xfId="47261"/>
    <cellStyle name="20% - Accent3 2 2 2 2 7 2 3" xfId="37617"/>
    <cellStyle name="20% - Accent3 2 2 2 2 7 3" xfId="22697"/>
    <cellStyle name="20% - Accent3 2 2 2 2 7 3 2" xfId="42452"/>
    <cellStyle name="20% - Accent3 2 2 2 2 7 4" xfId="32808"/>
    <cellStyle name="20% - Accent3 2 2 2 2 8" xfId="17774"/>
    <cellStyle name="20% - Accent3 2 2 2 2 8 2" xfId="27490"/>
    <cellStyle name="20% - Accent3 2 2 2 2 8 2 2" xfId="47244"/>
    <cellStyle name="20% - Accent3 2 2 2 2 8 3" xfId="37600"/>
    <cellStyle name="20% - Accent3 2 2 2 2 9" xfId="22680"/>
    <cellStyle name="20% - Accent3 2 2 2 2 9 2" xfId="42435"/>
    <cellStyle name="20% - Accent3 2 2 2 3" xfId="2493"/>
    <cellStyle name="20% - Accent3 2 2 2 3 2" xfId="2494"/>
    <cellStyle name="20% - Accent3 2 2 2 3 2 2" xfId="2495"/>
    <cellStyle name="20% - Accent3 2 2 2 3 2 2 2" xfId="2496"/>
    <cellStyle name="20% - Accent3 2 2 2 3 2 2 2 2" xfId="17795"/>
    <cellStyle name="20% - Accent3 2 2 2 3 2 2 2 2 2" xfId="27511"/>
    <cellStyle name="20% - Accent3 2 2 2 3 2 2 2 2 2 2" xfId="47265"/>
    <cellStyle name="20% - Accent3 2 2 2 3 2 2 2 2 3" xfId="37621"/>
    <cellStyle name="20% - Accent3 2 2 2 3 2 2 2 3" xfId="22701"/>
    <cellStyle name="20% - Accent3 2 2 2 3 2 2 2 3 2" xfId="42456"/>
    <cellStyle name="20% - Accent3 2 2 2 3 2 2 2 4" xfId="32812"/>
    <cellStyle name="20% - Accent3 2 2 2 3 2 2 3" xfId="17794"/>
    <cellStyle name="20% - Accent3 2 2 2 3 2 2 3 2" xfId="27510"/>
    <cellStyle name="20% - Accent3 2 2 2 3 2 2 3 2 2" xfId="47264"/>
    <cellStyle name="20% - Accent3 2 2 2 3 2 2 3 3" xfId="37620"/>
    <cellStyle name="20% - Accent3 2 2 2 3 2 2 4" xfId="22700"/>
    <cellStyle name="20% - Accent3 2 2 2 3 2 2 4 2" xfId="42455"/>
    <cellStyle name="20% - Accent3 2 2 2 3 2 2 5" xfId="32811"/>
    <cellStyle name="20% - Accent3 2 2 2 3 2 3" xfId="2497"/>
    <cellStyle name="20% - Accent3 2 2 2 3 2 3 2" xfId="17796"/>
    <cellStyle name="20% - Accent3 2 2 2 3 2 3 2 2" xfId="27512"/>
    <cellStyle name="20% - Accent3 2 2 2 3 2 3 2 2 2" xfId="47266"/>
    <cellStyle name="20% - Accent3 2 2 2 3 2 3 2 3" xfId="37622"/>
    <cellStyle name="20% - Accent3 2 2 2 3 2 3 3" xfId="22702"/>
    <cellStyle name="20% - Accent3 2 2 2 3 2 3 3 2" xfId="42457"/>
    <cellStyle name="20% - Accent3 2 2 2 3 2 3 4" xfId="32813"/>
    <cellStyle name="20% - Accent3 2 2 2 3 2 4" xfId="17793"/>
    <cellStyle name="20% - Accent3 2 2 2 3 2 4 2" xfId="27509"/>
    <cellStyle name="20% - Accent3 2 2 2 3 2 4 2 2" xfId="47263"/>
    <cellStyle name="20% - Accent3 2 2 2 3 2 4 3" xfId="37619"/>
    <cellStyle name="20% - Accent3 2 2 2 3 2 5" xfId="22699"/>
    <cellStyle name="20% - Accent3 2 2 2 3 2 5 2" xfId="42454"/>
    <cellStyle name="20% - Accent3 2 2 2 3 2 6" xfId="32810"/>
    <cellStyle name="20% - Accent3 2 2 2 3 3" xfId="2498"/>
    <cellStyle name="20% - Accent3 2 2 2 3 3 2" xfId="2499"/>
    <cellStyle name="20% - Accent3 2 2 2 3 3 2 2" xfId="17798"/>
    <cellStyle name="20% - Accent3 2 2 2 3 3 2 2 2" xfId="27514"/>
    <cellStyle name="20% - Accent3 2 2 2 3 3 2 2 2 2" xfId="47268"/>
    <cellStyle name="20% - Accent3 2 2 2 3 3 2 2 3" xfId="37624"/>
    <cellStyle name="20% - Accent3 2 2 2 3 3 2 3" xfId="22704"/>
    <cellStyle name="20% - Accent3 2 2 2 3 3 2 3 2" xfId="42459"/>
    <cellStyle name="20% - Accent3 2 2 2 3 3 2 4" xfId="32815"/>
    <cellStyle name="20% - Accent3 2 2 2 3 3 3" xfId="17797"/>
    <cellStyle name="20% - Accent3 2 2 2 3 3 3 2" xfId="27513"/>
    <cellStyle name="20% - Accent3 2 2 2 3 3 3 2 2" xfId="47267"/>
    <cellStyle name="20% - Accent3 2 2 2 3 3 3 3" xfId="37623"/>
    <cellStyle name="20% - Accent3 2 2 2 3 3 4" xfId="22703"/>
    <cellStyle name="20% - Accent3 2 2 2 3 3 4 2" xfId="42458"/>
    <cellStyle name="20% - Accent3 2 2 2 3 3 5" xfId="32814"/>
    <cellStyle name="20% - Accent3 2 2 2 3 4" xfId="2500"/>
    <cellStyle name="20% - Accent3 2 2 2 3 4 2" xfId="17799"/>
    <cellStyle name="20% - Accent3 2 2 2 3 4 2 2" xfId="27515"/>
    <cellStyle name="20% - Accent3 2 2 2 3 4 2 2 2" xfId="47269"/>
    <cellStyle name="20% - Accent3 2 2 2 3 4 2 3" xfId="37625"/>
    <cellStyle name="20% - Accent3 2 2 2 3 4 3" xfId="22705"/>
    <cellStyle name="20% - Accent3 2 2 2 3 4 3 2" xfId="42460"/>
    <cellStyle name="20% - Accent3 2 2 2 3 4 4" xfId="32816"/>
    <cellStyle name="20% - Accent3 2 2 2 3 5" xfId="17792"/>
    <cellStyle name="20% - Accent3 2 2 2 3 5 2" xfId="27508"/>
    <cellStyle name="20% - Accent3 2 2 2 3 5 2 2" xfId="47262"/>
    <cellStyle name="20% - Accent3 2 2 2 3 5 3" xfId="37618"/>
    <cellStyle name="20% - Accent3 2 2 2 3 6" xfId="22698"/>
    <cellStyle name="20% - Accent3 2 2 2 3 6 2" xfId="42453"/>
    <cellStyle name="20% - Accent3 2 2 2 3 7" xfId="32809"/>
    <cellStyle name="20% - Accent3 2 2 2 4" xfId="2501"/>
    <cellStyle name="20% - Accent3 2 2 2 4 2" xfId="2502"/>
    <cellStyle name="20% - Accent3 2 2 2 4 2 2" xfId="2503"/>
    <cellStyle name="20% - Accent3 2 2 2 4 2 2 2" xfId="2504"/>
    <cellStyle name="20% - Accent3 2 2 2 4 2 2 2 2" xfId="17803"/>
    <cellStyle name="20% - Accent3 2 2 2 4 2 2 2 2 2" xfId="27519"/>
    <cellStyle name="20% - Accent3 2 2 2 4 2 2 2 2 2 2" xfId="47273"/>
    <cellStyle name="20% - Accent3 2 2 2 4 2 2 2 2 3" xfId="37629"/>
    <cellStyle name="20% - Accent3 2 2 2 4 2 2 2 3" xfId="22709"/>
    <cellStyle name="20% - Accent3 2 2 2 4 2 2 2 3 2" xfId="42464"/>
    <cellStyle name="20% - Accent3 2 2 2 4 2 2 2 4" xfId="32820"/>
    <cellStyle name="20% - Accent3 2 2 2 4 2 2 3" xfId="17802"/>
    <cellStyle name="20% - Accent3 2 2 2 4 2 2 3 2" xfId="27518"/>
    <cellStyle name="20% - Accent3 2 2 2 4 2 2 3 2 2" xfId="47272"/>
    <cellStyle name="20% - Accent3 2 2 2 4 2 2 3 3" xfId="37628"/>
    <cellStyle name="20% - Accent3 2 2 2 4 2 2 4" xfId="22708"/>
    <cellStyle name="20% - Accent3 2 2 2 4 2 2 4 2" xfId="42463"/>
    <cellStyle name="20% - Accent3 2 2 2 4 2 2 5" xfId="32819"/>
    <cellStyle name="20% - Accent3 2 2 2 4 2 3" xfId="2505"/>
    <cellStyle name="20% - Accent3 2 2 2 4 2 3 2" xfId="17804"/>
    <cellStyle name="20% - Accent3 2 2 2 4 2 3 2 2" xfId="27520"/>
    <cellStyle name="20% - Accent3 2 2 2 4 2 3 2 2 2" xfId="47274"/>
    <cellStyle name="20% - Accent3 2 2 2 4 2 3 2 3" xfId="37630"/>
    <cellStyle name="20% - Accent3 2 2 2 4 2 3 3" xfId="22710"/>
    <cellStyle name="20% - Accent3 2 2 2 4 2 3 3 2" xfId="42465"/>
    <cellStyle name="20% - Accent3 2 2 2 4 2 3 4" xfId="32821"/>
    <cellStyle name="20% - Accent3 2 2 2 4 2 4" xfId="17801"/>
    <cellStyle name="20% - Accent3 2 2 2 4 2 4 2" xfId="27517"/>
    <cellStyle name="20% - Accent3 2 2 2 4 2 4 2 2" xfId="47271"/>
    <cellStyle name="20% - Accent3 2 2 2 4 2 4 3" xfId="37627"/>
    <cellStyle name="20% - Accent3 2 2 2 4 2 5" xfId="22707"/>
    <cellStyle name="20% - Accent3 2 2 2 4 2 5 2" xfId="42462"/>
    <cellStyle name="20% - Accent3 2 2 2 4 2 6" xfId="32818"/>
    <cellStyle name="20% - Accent3 2 2 2 4 3" xfId="2506"/>
    <cellStyle name="20% - Accent3 2 2 2 4 3 2" xfId="2507"/>
    <cellStyle name="20% - Accent3 2 2 2 4 3 2 2" xfId="17806"/>
    <cellStyle name="20% - Accent3 2 2 2 4 3 2 2 2" xfId="27522"/>
    <cellStyle name="20% - Accent3 2 2 2 4 3 2 2 2 2" xfId="47276"/>
    <cellStyle name="20% - Accent3 2 2 2 4 3 2 2 3" xfId="37632"/>
    <cellStyle name="20% - Accent3 2 2 2 4 3 2 3" xfId="22712"/>
    <cellStyle name="20% - Accent3 2 2 2 4 3 2 3 2" xfId="42467"/>
    <cellStyle name="20% - Accent3 2 2 2 4 3 2 4" xfId="32823"/>
    <cellStyle name="20% - Accent3 2 2 2 4 3 3" xfId="17805"/>
    <cellStyle name="20% - Accent3 2 2 2 4 3 3 2" xfId="27521"/>
    <cellStyle name="20% - Accent3 2 2 2 4 3 3 2 2" xfId="47275"/>
    <cellStyle name="20% - Accent3 2 2 2 4 3 3 3" xfId="37631"/>
    <cellStyle name="20% - Accent3 2 2 2 4 3 4" xfId="22711"/>
    <cellStyle name="20% - Accent3 2 2 2 4 3 4 2" xfId="42466"/>
    <cellStyle name="20% - Accent3 2 2 2 4 3 5" xfId="32822"/>
    <cellStyle name="20% - Accent3 2 2 2 4 4" xfId="2508"/>
    <cellStyle name="20% - Accent3 2 2 2 4 4 2" xfId="17807"/>
    <cellStyle name="20% - Accent3 2 2 2 4 4 2 2" xfId="27523"/>
    <cellStyle name="20% - Accent3 2 2 2 4 4 2 2 2" xfId="47277"/>
    <cellStyle name="20% - Accent3 2 2 2 4 4 2 3" xfId="37633"/>
    <cellStyle name="20% - Accent3 2 2 2 4 4 3" xfId="22713"/>
    <cellStyle name="20% - Accent3 2 2 2 4 4 3 2" xfId="42468"/>
    <cellStyle name="20% - Accent3 2 2 2 4 4 4" xfId="32824"/>
    <cellStyle name="20% - Accent3 2 2 2 4 5" xfId="17800"/>
    <cellStyle name="20% - Accent3 2 2 2 4 5 2" xfId="27516"/>
    <cellStyle name="20% - Accent3 2 2 2 4 5 2 2" xfId="47270"/>
    <cellStyle name="20% - Accent3 2 2 2 4 5 3" xfId="37626"/>
    <cellStyle name="20% - Accent3 2 2 2 4 6" xfId="22706"/>
    <cellStyle name="20% - Accent3 2 2 2 4 6 2" xfId="42461"/>
    <cellStyle name="20% - Accent3 2 2 2 4 7" xfId="32817"/>
    <cellStyle name="20% - Accent3 2 2 2 5" xfId="2509"/>
    <cellStyle name="20% - Accent3 2 2 2 5 2" xfId="2510"/>
    <cellStyle name="20% - Accent3 2 2 2 5 2 2" xfId="2511"/>
    <cellStyle name="20% - Accent3 2 2 2 5 2 2 2" xfId="17810"/>
    <cellStyle name="20% - Accent3 2 2 2 5 2 2 2 2" xfId="27526"/>
    <cellStyle name="20% - Accent3 2 2 2 5 2 2 2 2 2" xfId="47280"/>
    <cellStyle name="20% - Accent3 2 2 2 5 2 2 2 3" xfId="37636"/>
    <cellStyle name="20% - Accent3 2 2 2 5 2 2 3" xfId="22716"/>
    <cellStyle name="20% - Accent3 2 2 2 5 2 2 3 2" xfId="42471"/>
    <cellStyle name="20% - Accent3 2 2 2 5 2 2 4" xfId="32827"/>
    <cellStyle name="20% - Accent3 2 2 2 5 2 3" xfId="17809"/>
    <cellStyle name="20% - Accent3 2 2 2 5 2 3 2" xfId="27525"/>
    <cellStyle name="20% - Accent3 2 2 2 5 2 3 2 2" xfId="47279"/>
    <cellStyle name="20% - Accent3 2 2 2 5 2 3 3" xfId="37635"/>
    <cellStyle name="20% - Accent3 2 2 2 5 2 4" xfId="22715"/>
    <cellStyle name="20% - Accent3 2 2 2 5 2 4 2" xfId="42470"/>
    <cellStyle name="20% - Accent3 2 2 2 5 2 5" xfId="32826"/>
    <cellStyle name="20% - Accent3 2 2 2 5 3" xfId="2512"/>
    <cellStyle name="20% - Accent3 2 2 2 5 3 2" xfId="17811"/>
    <cellStyle name="20% - Accent3 2 2 2 5 3 2 2" xfId="27527"/>
    <cellStyle name="20% - Accent3 2 2 2 5 3 2 2 2" xfId="47281"/>
    <cellStyle name="20% - Accent3 2 2 2 5 3 2 3" xfId="37637"/>
    <cellStyle name="20% - Accent3 2 2 2 5 3 3" xfId="22717"/>
    <cellStyle name="20% - Accent3 2 2 2 5 3 3 2" xfId="42472"/>
    <cellStyle name="20% - Accent3 2 2 2 5 3 4" xfId="32828"/>
    <cellStyle name="20% - Accent3 2 2 2 5 4" xfId="17808"/>
    <cellStyle name="20% - Accent3 2 2 2 5 4 2" xfId="27524"/>
    <cellStyle name="20% - Accent3 2 2 2 5 4 2 2" xfId="47278"/>
    <cellStyle name="20% - Accent3 2 2 2 5 4 3" xfId="37634"/>
    <cellStyle name="20% - Accent3 2 2 2 5 5" xfId="22714"/>
    <cellStyle name="20% - Accent3 2 2 2 5 5 2" xfId="42469"/>
    <cellStyle name="20% - Accent3 2 2 2 5 6" xfId="32825"/>
    <cellStyle name="20% - Accent3 2 2 2 6" xfId="2513"/>
    <cellStyle name="20% - Accent3 2 2 2 6 2" xfId="2514"/>
    <cellStyle name="20% - Accent3 2 2 2 6 2 2" xfId="17813"/>
    <cellStyle name="20% - Accent3 2 2 2 6 2 2 2" xfId="27529"/>
    <cellStyle name="20% - Accent3 2 2 2 6 2 2 2 2" xfId="47283"/>
    <cellStyle name="20% - Accent3 2 2 2 6 2 2 3" xfId="37639"/>
    <cellStyle name="20% - Accent3 2 2 2 6 2 3" xfId="22719"/>
    <cellStyle name="20% - Accent3 2 2 2 6 2 3 2" xfId="42474"/>
    <cellStyle name="20% - Accent3 2 2 2 6 2 4" xfId="32830"/>
    <cellStyle name="20% - Accent3 2 2 2 6 3" xfId="17812"/>
    <cellStyle name="20% - Accent3 2 2 2 6 3 2" xfId="27528"/>
    <cellStyle name="20% - Accent3 2 2 2 6 3 2 2" xfId="47282"/>
    <cellStyle name="20% - Accent3 2 2 2 6 3 3" xfId="37638"/>
    <cellStyle name="20% - Accent3 2 2 2 6 4" xfId="22718"/>
    <cellStyle name="20% - Accent3 2 2 2 6 4 2" xfId="42473"/>
    <cellStyle name="20% - Accent3 2 2 2 6 5" xfId="32829"/>
    <cellStyle name="20% - Accent3 2 2 2 7" xfId="2515"/>
    <cellStyle name="20% - Accent3 2 2 2 7 2" xfId="2516"/>
    <cellStyle name="20% - Accent3 2 2 2 7 2 2" xfId="17815"/>
    <cellStyle name="20% - Accent3 2 2 2 7 2 2 2" xfId="27531"/>
    <cellStyle name="20% - Accent3 2 2 2 7 2 2 2 2" xfId="47285"/>
    <cellStyle name="20% - Accent3 2 2 2 7 2 2 3" xfId="37641"/>
    <cellStyle name="20% - Accent3 2 2 2 7 2 3" xfId="22721"/>
    <cellStyle name="20% - Accent3 2 2 2 7 2 3 2" xfId="42476"/>
    <cellStyle name="20% - Accent3 2 2 2 7 2 4" xfId="32832"/>
    <cellStyle name="20% - Accent3 2 2 2 7 3" xfId="17814"/>
    <cellStyle name="20% - Accent3 2 2 2 7 3 2" xfId="27530"/>
    <cellStyle name="20% - Accent3 2 2 2 7 3 2 2" xfId="47284"/>
    <cellStyle name="20% - Accent3 2 2 2 7 3 3" xfId="37640"/>
    <cellStyle name="20% - Accent3 2 2 2 7 4" xfId="22720"/>
    <cellStyle name="20% - Accent3 2 2 2 7 4 2" xfId="42475"/>
    <cellStyle name="20% - Accent3 2 2 2 7 5" xfId="32831"/>
    <cellStyle name="20% - Accent3 2 2 2 8" xfId="2517"/>
    <cellStyle name="20% - Accent3 2 2 2 8 2" xfId="17816"/>
    <cellStyle name="20% - Accent3 2 2 2 8 2 2" xfId="27532"/>
    <cellStyle name="20% - Accent3 2 2 2 8 2 2 2" xfId="47286"/>
    <cellStyle name="20% - Accent3 2 2 2 8 2 3" xfId="37642"/>
    <cellStyle name="20% - Accent3 2 2 2 8 3" xfId="22722"/>
    <cellStyle name="20% - Accent3 2 2 2 8 3 2" xfId="42477"/>
    <cellStyle name="20% - Accent3 2 2 2 8 4" xfId="32833"/>
    <cellStyle name="20% - Accent3 2 2 2 9" xfId="2518"/>
    <cellStyle name="20% - Accent3 2 2 2 9 2" xfId="17817"/>
    <cellStyle name="20% - Accent3 2 2 2 9 2 2" xfId="27533"/>
    <cellStyle name="20% - Accent3 2 2 2 9 2 2 2" xfId="47287"/>
    <cellStyle name="20% - Accent3 2 2 2 9 2 3" xfId="37643"/>
    <cellStyle name="20% - Accent3 2 2 2 9 3" xfId="22723"/>
    <cellStyle name="20% - Accent3 2 2 2 9 3 2" xfId="42478"/>
    <cellStyle name="20% - Accent3 2 2 2 9 4" xfId="32834"/>
    <cellStyle name="20% - Accent3 2 2 3" xfId="2519"/>
    <cellStyle name="20% - Accent3 2 2 3 10" xfId="32835"/>
    <cellStyle name="20% - Accent3 2 2 3 2" xfId="2520"/>
    <cellStyle name="20% - Accent3 2 2 3 2 2" xfId="2521"/>
    <cellStyle name="20% - Accent3 2 2 3 2 2 2" xfId="2522"/>
    <cellStyle name="20% - Accent3 2 2 3 2 2 2 2" xfId="2523"/>
    <cellStyle name="20% - Accent3 2 2 3 2 2 2 2 2" xfId="17822"/>
    <cellStyle name="20% - Accent3 2 2 3 2 2 2 2 2 2" xfId="27538"/>
    <cellStyle name="20% - Accent3 2 2 3 2 2 2 2 2 2 2" xfId="47292"/>
    <cellStyle name="20% - Accent3 2 2 3 2 2 2 2 2 3" xfId="37648"/>
    <cellStyle name="20% - Accent3 2 2 3 2 2 2 2 3" xfId="22728"/>
    <cellStyle name="20% - Accent3 2 2 3 2 2 2 2 3 2" xfId="42483"/>
    <cellStyle name="20% - Accent3 2 2 3 2 2 2 2 4" xfId="32839"/>
    <cellStyle name="20% - Accent3 2 2 3 2 2 2 3" xfId="17821"/>
    <cellStyle name="20% - Accent3 2 2 3 2 2 2 3 2" xfId="27537"/>
    <cellStyle name="20% - Accent3 2 2 3 2 2 2 3 2 2" xfId="47291"/>
    <cellStyle name="20% - Accent3 2 2 3 2 2 2 3 3" xfId="37647"/>
    <cellStyle name="20% - Accent3 2 2 3 2 2 2 4" xfId="22727"/>
    <cellStyle name="20% - Accent3 2 2 3 2 2 2 4 2" xfId="42482"/>
    <cellStyle name="20% - Accent3 2 2 3 2 2 2 5" xfId="32838"/>
    <cellStyle name="20% - Accent3 2 2 3 2 2 3" xfId="2524"/>
    <cellStyle name="20% - Accent3 2 2 3 2 2 3 2" xfId="17823"/>
    <cellStyle name="20% - Accent3 2 2 3 2 2 3 2 2" xfId="27539"/>
    <cellStyle name="20% - Accent3 2 2 3 2 2 3 2 2 2" xfId="47293"/>
    <cellStyle name="20% - Accent3 2 2 3 2 2 3 2 3" xfId="37649"/>
    <cellStyle name="20% - Accent3 2 2 3 2 2 3 3" xfId="22729"/>
    <cellStyle name="20% - Accent3 2 2 3 2 2 3 3 2" xfId="42484"/>
    <cellStyle name="20% - Accent3 2 2 3 2 2 3 4" xfId="32840"/>
    <cellStyle name="20% - Accent3 2 2 3 2 2 4" xfId="17820"/>
    <cellStyle name="20% - Accent3 2 2 3 2 2 4 2" xfId="27536"/>
    <cellStyle name="20% - Accent3 2 2 3 2 2 4 2 2" xfId="47290"/>
    <cellStyle name="20% - Accent3 2 2 3 2 2 4 3" xfId="37646"/>
    <cellStyle name="20% - Accent3 2 2 3 2 2 5" xfId="22726"/>
    <cellStyle name="20% - Accent3 2 2 3 2 2 5 2" xfId="42481"/>
    <cellStyle name="20% - Accent3 2 2 3 2 2 6" xfId="32837"/>
    <cellStyle name="20% - Accent3 2 2 3 2 3" xfId="2525"/>
    <cellStyle name="20% - Accent3 2 2 3 2 3 2" xfId="2526"/>
    <cellStyle name="20% - Accent3 2 2 3 2 3 2 2" xfId="17825"/>
    <cellStyle name="20% - Accent3 2 2 3 2 3 2 2 2" xfId="27541"/>
    <cellStyle name="20% - Accent3 2 2 3 2 3 2 2 2 2" xfId="47295"/>
    <cellStyle name="20% - Accent3 2 2 3 2 3 2 2 3" xfId="37651"/>
    <cellStyle name="20% - Accent3 2 2 3 2 3 2 3" xfId="22731"/>
    <cellStyle name="20% - Accent3 2 2 3 2 3 2 3 2" xfId="42486"/>
    <cellStyle name="20% - Accent3 2 2 3 2 3 2 4" xfId="32842"/>
    <cellStyle name="20% - Accent3 2 2 3 2 3 3" xfId="17824"/>
    <cellStyle name="20% - Accent3 2 2 3 2 3 3 2" xfId="27540"/>
    <cellStyle name="20% - Accent3 2 2 3 2 3 3 2 2" xfId="47294"/>
    <cellStyle name="20% - Accent3 2 2 3 2 3 3 3" xfId="37650"/>
    <cellStyle name="20% - Accent3 2 2 3 2 3 4" xfId="22730"/>
    <cellStyle name="20% - Accent3 2 2 3 2 3 4 2" xfId="42485"/>
    <cellStyle name="20% - Accent3 2 2 3 2 3 5" xfId="32841"/>
    <cellStyle name="20% - Accent3 2 2 3 2 4" xfId="2527"/>
    <cellStyle name="20% - Accent3 2 2 3 2 4 2" xfId="17826"/>
    <cellStyle name="20% - Accent3 2 2 3 2 4 2 2" xfId="27542"/>
    <cellStyle name="20% - Accent3 2 2 3 2 4 2 2 2" xfId="47296"/>
    <cellStyle name="20% - Accent3 2 2 3 2 4 2 3" xfId="37652"/>
    <cellStyle name="20% - Accent3 2 2 3 2 4 3" xfId="22732"/>
    <cellStyle name="20% - Accent3 2 2 3 2 4 3 2" xfId="42487"/>
    <cellStyle name="20% - Accent3 2 2 3 2 4 4" xfId="32843"/>
    <cellStyle name="20% - Accent3 2 2 3 2 5" xfId="17819"/>
    <cellStyle name="20% - Accent3 2 2 3 2 5 2" xfId="27535"/>
    <cellStyle name="20% - Accent3 2 2 3 2 5 2 2" xfId="47289"/>
    <cellStyle name="20% - Accent3 2 2 3 2 5 3" xfId="37645"/>
    <cellStyle name="20% - Accent3 2 2 3 2 6" xfId="22725"/>
    <cellStyle name="20% - Accent3 2 2 3 2 6 2" xfId="42480"/>
    <cellStyle name="20% - Accent3 2 2 3 2 7" xfId="32836"/>
    <cellStyle name="20% - Accent3 2 2 3 3" xfId="2528"/>
    <cellStyle name="20% - Accent3 2 2 3 3 2" xfId="2529"/>
    <cellStyle name="20% - Accent3 2 2 3 3 2 2" xfId="2530"/>
    <cellStyle name="20% - Accent3 2 2 3 3 2 2 2" xfId="17829"/>
    <cellStyle name="20% - Accent3 2 2 3 3 2 2 2 2" xfId="27545"/>
    <cellStyle name="20% - Accent3 2 2 3 3 2 2 2 2 2" xfId="47299"/>
    <cellStyle name="20% - Accent3 2 2 3 3 2 2 2 3" xfId="37655"/>
    <cellStyle name="20% - Accent3 2 2 3 3 2 2 3" xfId="22735"/>
    <cellStyle name="20% - Accent3 2 2 3 3 2 2 3 2" xfId="42490"/>
    <cellStyle name="20% - Accent3 2 2 3 3 2 2 4" xfId="32846"/>
    <cellStyle name="20% - Accent3 2 2 3 3 2 3" xfId="17828"/>
    <cellStyle name="20% - Accent3 2 2 3 3 2 3 2" xfId="27544"/>
    <cellStyle name="20% - Accent3 2 2 3 3 2 3 2 2" xfId="47298"/>
    <cellStyle name="20% - Accent3 2 2 3 3 2 3 3" xfId="37654"/>
    <cellStyle name="20% - Accent3 2 2 3 3 2 4" xfId="22734"/>
    <cellStyle name="20% - Accent3 2 2 3 3 2 4 2" xfId="42489"/>
    <cellStyle name="20% - Accent3 2 2 3 3 2 5" xfId="32845"/>
    <cellStyle name="20% - Accent3 2 2 3 3 3" xfId="2531"/>
    <cellStyle name="20% - Accent3 2 2 3 3 3 2" xfId="17830"/>
    <cellStyle name="20% - Accent3 2 2 3 3 3 2 2" xfId="27546"/>
    <cellStyle name="20% - Accent3 2 2 3 3 3 2 2 2" xfId="47300"/>
    <cellStyle name="20% - Accent3 2 2 3 3 3 2 3" xfId="37656"/>
    <cellStyle name="20% - Accent3 2 2 3 3 3 3" xfId="22736"/>
    <cellStyle name="20% - Accent3 2 2 3 3 3 3 2" xfId="42491"/>
    <cellStyle name="20% - Accent3 2 2 3 3 3 4" xfId="32847"/>
    <cellStyle name="20% - Accent3 2 2 3 3 4" xfId="17827"/>
    <cellStyle name="20% - Accent3 2 2 3 3 4 2" xfId="27543"/>
    <cellStyle name="20% - Accent3 2 2 3 3 4 2 2" xfId="47297"/>
    <cellStyle name="20% - Accent3 2 2 3 3 4 3" xfId="37653"/>
    <cellStyle name="20% - Accent3 2 2 3 3 5" xfId="22733"/>
    <cellStyle name="20% - Accent3 2 2 3 3 5 2" xfId="42488"/>
    <cellStyle name="20% - Accent3 2 2 3 3 6" xfId="32844"/>
    <cellStyle name="20% - Accent3 2 2 3 4" xfId="2532"/>
    <cellStyle name="20% - Accent3 2 2 3 4 2" xfId="2533"/>
    <cellStyle name="20% - Accent3 2 2 3 4 2 2" xfId="17832"/>
    <cellStyle name="20% - Accent3 2 2 3 4 2 2 2" xfId="27548"/>
    <cellStyle name="20% - Accent3 2 2 3 4 2 2 2 2" xfId="47302"/>
    <cellStyle name="20% - Accent3 2 2 3 4 2 2 3" xfId="37658"/>
    <cellStyle name="20% - Accent3 2 2 3 4 2 3" xfId="22738"/>
    <cellStyle name="20% - Accent3 2 2 3 4 2 3 2" xfId="42493"/>
    <cellStyle name="20% - Accent3 2 2 3 4 2 4" xfId="32849"/>
    <cellStyle name="20% - Accent3 2 2 3 4 3" xfId="17831"/>
    <cellStyle name="20% - Accent3 2 2 3 4 3 2" xfId="27547"/>
    <cellStyle name="20% - Accent3 2 2 3 4 3 2 2" xfId="47301"/>
    <cellStyle name="20% - Accent3 2 2 3 4 3 3" xfId="37657"/>
    <cellStyle name="20% - Accent3 2 2 3 4 4" xfId="22737"/>
    <cellStyle name="20% - Accent3 2 2 3 4 4 2" xfId="42492"/>
    <cellStyle name="20% - Accent3 2 2 3 4 5" xfId="32848"/>
    <cellStyle name="20% - Accent3 2 2 3 5" xfId="2534"/>
    <cellStyle name="20% - Accent3 2 2 3 5 2" xfId="17833"/>
    <cellStyle name="20% - Accent3 2 2 3 5 2 2" xfId="27549"/>
    <cellStyle name="20% - Accent3 2 2 3 5 2 2 2" xfId="47303"/>
    <cellStyle name="20% - Accent3 2 2 3 5 2 3" xfId="37659"/>
    <cellStyle name="20% - Accent3 2 2 3 5 3" xfId="22739"/>
    <cellStyle name="20% - Accent3 2 2 3 5 3 2" xfId="42494"/>
    <cellStyle name="20% - Accent3 2 2 3 5 4" xfId="32850"/>
    <cellStyle name="20% - Accent3 2 2 3 6" xfId="2535"/>
    <cellStyle name="20% - Accent3 2 2 3 6 2" xfId="17834"/>
    <cellStyle name="20% - Accent3 2 2 3 6 2 2" xfId="27550"/>
    <cellStyle name="20% - Accent3 2 2 3 6 2 2 2" xfId="47304"/>
    <cellStyle name="20% - Accent3 2 2 3 6 2 3" xfId="37660"/>
    <cellStyle name="20% - Accent3 2 2 3 6 3" xfId="22740"/>
    <cellStyle name="20% - Accent3 2 2 3 6 3 2" xfId="42495"/>
    <cellStyle name="20% - Accent3 2 2 3 6 4" xfId="32851"/>
    <cellStyle name="20% - Accent3 2 2 3 7" xfId="2536"/>
    <cellStyle name="20% - Accent3 2 2 3 7 2" xfId="17835"/>
    <cellStyle name="20% - Accent3 2 2 3 7 2 2" xfId="27551"/>
    <cellStyle name="20% - Accent3 2 2 3 7 2 2 2" xfId="47305"/>
    <cellStyle name="20% - Accent3 2 2 3 7 2 3" xfId="37661"/>
    <cellStyle name="20% - Accent3 2 2 3 7 3" xfId="22741"/>
    <cellStyle name="20% - Accent3 2 2 3 7 3 2" xfId="42496"/>
    <cellStyle name="20% - Accent3 2 2 3 7 4" xfId="32852"/>
    <cellStyle name="20% - Accent3 2 2 3 8" xfId="17818"/>
    <cellStyle name="20% - Accent3 2 2 3 8 2" xfId="27534"/>
    <cellStyle name="20% - Accent3 2 2 3 8 2 2" xfId="47288"/>
    <cellStyle name="20% - Accent3 2 2 3 8 3" xfId="37644"/>
    <cellStyle name="20% - Accent3 2 2 3 9" xfId="22724"/>
    <cellStyle name="20% - Accent3 2 2 3 9 2" xfId="42479"/>
    <cellStyle name="20% - Accent3 2 2 4" xfId="2537"/>
    <cellStyle name="20% - Accent3 2 2 4 2" xfId="2538"/>
    <cellStyle name="20% - Accent3 2 2 4 2 2" xfId="2539"/>
    <cellStyle name="20% - Accent3 2 2 4 2 2 2" xfId="2540"/>
    <cellStyle name="20% - Accent3 2 2 4 2 2 2 2" xfId="17839"/>
    <cellStyle name="20% - Accent3 2 2 4 2 2 2 2 2" xfId="27555"/>
    <cellStyle name="20% - Accent3 2 2 4 2 2 2 2 2 2" xfId="47309"/>
    <cellStyle name="20% - Accent3 2 2 4 2 2 2 2 3" xfId="37665"/>
    <cellStyle name="20% - Accent3 2 2 4 2 2 2 3" xfId="22745"/>
    <cellStyle name="20% - Accent3 2 2 4 2 2 2 3 2" xfId="42500"/>
    <cellStyle name="20% - Accent3 2 2 4 2 2 2 4" xfId="32856"/>
    <cellStyle name="20% - Accent3 2 2 4 2 2 3" xfId="17838"/>
    <cellStyle name="20% - Accent3 2 2 4 2 2 3 2" xfId="27554"/>
    <cellStyle name="20% - Accent3 2 2 4 2 2 3 2 2" xfId="47308"/>
    <cellStyle name="20% - Accent3 2 2 4 2 2 3 3" xfId="37664"/>
    <cellStyle name="20% - Accent3 2 2 4 2 2 4" xfId="22744"/>
    <cellStyle name="20% - Accent3 2 2 4 2 2 4 2" xfId="42499"/>
    <cellStyle name="20% - Accent3 2 2 4 2 2 5" xfId="32855"/>
    <cellStyle name="20% - Accent3 2 2 4 2 3" xfId="2541"/>
    <cellStyle name="20% - Accent3 2 2 4 2 3 2" xfId="17840"/>
    <cellStyle name="20% - Accent3 2 2 4 2 3 2 2" xfId="27556"/>
    <cellStyle name="20% - Accent3 2 2 4 2 3 2 2 2" xfId="47310"/>
    <cellStyle name="20% - Accent3 2 2 4 2 3 2 3" xfId="37666"/>
    <cellStyle name="20% - Accent3 2 2 4 2 3 3" xfId="22746"/>
    <cellStyle name="20% - Accent3 2 2 4 2 3 3 2" xfId="42501"/>
    <cellStyle name="20% - Accent3 2 2 4 2 3 4" xfId="32857"/>
    <cellStyle name="20% - Accent3 2 2 4 2 4" xfId="17837"/>
    <cellStyle name="20% - Accent3 2 2 4 2 4 2" xfId="27553"/>
    <cellStyle name="20% - Accent3 2 2 4 2 4 2 2" xfId="47307"/>
    <cellStyle name="20% - Accent3 2 2 4 2 4 3" xfId="37663"/>
    <cellStyle name="20% - Accent3 2 2 4 2 5" xfId="22743"/>
    <cellStyle name="20% - Accent3 2 2 4 2 5 2" xfId="42498"/>
    <cellStyle name="20% - Accent3 2 2 4 2 6" xfId="32854"/>
    <cellStyle name="20% - Accent3 2 2 4 3" xfId="2542"/>
    <cellStyle name="20% - Accent3 2 2 4 3 2" xfId="2543"/>
    <cellStyle name="20% - Accent3 2 2 4 3 2 2" xfId="17842"/>
    <cellStyle name="20% - Accent3 2 2 4 3 2 2 2" xfId="27558"/>
    <cellStyle name="20% - Accent3 2 2 4 3 2 2 2 2" xfId="47312"/>
    <cellStyle name="20% - Accent3 2 2 4 3 2 2 3" xfId="37668"/>
    <cellStyle name="20% - Accent3 2 2 4 3 2 3" xfId="22748"/>
    <cellStyle name="20% - Accent3 2 2 4 3 2 3 2" xfId="42503"/>
    <cellStyle name="20% - Accent3 2 2 4 3 2 4" xfId="32859"/>
    <cellStyle name="20% - Accent3 2 2 4 3 3" xfId="17841"/>
    <cellStyle name="20% - Accent3 2 2 4 3 3 2" xfId="27557"/>
    <cellStyle name="20% - Accent3 2 2 4 3 3 2 2" xfId="47311"/>
    <cellStyle name="20% - Accent3 2 2 4 3 3 3" xfId="37667"/>
    <cellStyle name="20% - Accent3 2 2 4 3 4" xfId="22747"/>
    <cellStyle name="20% - Accent3 2 2 4 3 4 2" xfId="42502"/>
    <cellStyle name="20% - Accent3 2 2 4 3 5" xfId="32858"/>
    <cellStyle name="20% - Accent3 2 2 4 4" xfId="2544"/>
    <cellStyle name="20% - Accent3 2 2 4 4 2" xfId="17843"/>
    <cellStyle name="20% - Accent3 2 2 4 4 2 2" xfId="27559"/>
    <cellStyle name="20% - Accent3 2 2 4 4 2 2 2" xfId="47313"/>
    <cellStyle name="20% - Accent3 2 2 4 4 2 3" xfId="37669"/>
    <cellStyle name="20% - Accent3 2 2 4 4 3" xfId="22749"/>
    <cellStyle name="20% - Accent3 2 2 4 4 3 2" xfId="42504"/>
    <cellStyle name="20% - Accent3 2 2 4 4 4" xfId="32860"/>
    <cellStyle name="20% - Accent3 2 2 4 5" xfId="17836"/>
    <cellStyle name="20% - Accent3 2 2 4 5 2" xfId="27552"/>
    <cellStyle name="20% - Accent3 2 2 4 5 2 2" xfId="47306"/>
    <cellStyle name="20% - Accent3 2 2 4 5 3" xfId="37662"/>
    <cellStyle name="20% - Accent3 2 2 4 6" xfId="22742"/>
    <cellStyle name="20% - Accent3 2 2 4 6 2" xfId="42497"/>
    <cellStyle name="20% - Accent3 2 2 4 7" xfId="32853"/>
    <cellStyle name="20% - Accent3 2 2 5" xfId="2545"/>
    <cellStyle name="20% - Accent3 2 2 5 2" xfId="2546"/>
    <cellStyle name="20% - Accent3 2 2 5 2 2" xfId="2547"/>
    <cellStyle name="20% - Accent3 2 2 5 2 2 2" xfId="2548"/>
    <cellStyle name="20% - Accent3 2 2 5 2 2 2 2" xfId="17847"/>
    <cellStyle name="20% - Accent3 2 2 5 2 2 2 2 2" xfId="27563"/>
    <cellStyle name="20% - Accent3 2 2 5 2 2 2 2 2 2" xfId="47317"/>
    <cellStyle name="20% - Accent3 2 2 5 2 2 2 2 3" xfId="37673"/>
    <cellStyle name="20% - Accent3 2 2 5 2 2 2 3" xfId="22753"/>
    <cellStyle name="20% - Accent3 2 2 5 2 2 2 3 2" xfId="42508"/>
    <cellStyle name="20% - Accent3 2 2 5 2 2 2 4" xfId="32864"/>
    <cellStyle name="20% - Accent3 2 2 5 2 2 3" xfId="17846"/>
    <cellStyle name="20% - Accent3 2 2 5 2 2 3 2" xfId="27562"/>
    <cellStyle name="20% - Accent3 2 2 5 2 2 3 2 2" xfId="47316"/>
    <cellStyle name="20% - Accent3 2 2 5 2 2 3 3" xfId="37672"/>
    <cellStyle name="20% - Accent3 2 2 5 2 2 4" xfId="22752"/>
    <cellStyle name="20% - Accent3 2 2 5 2 2 4 2" xfId="42507"/>
    <cellStyle name="20% - Accent3 2 2 5 2 2 5" xfId="32863"/>
    <cellStyle name="20% - Accent3 2 2 5 2 3" xfId="2549"/>
    <cellStyle name="20% - Accent3 2 2 5 2 3 2" xfId="17848"/>
    <cellStyle name="20% - Accent3 2 2 5 2 3 2 2" xfId="27564"/>
    <cellStyle name="20% - Accent3 2 2 5 2 3 2 2 2" xfId="47318"/>
    <cellStyle name="20% - Accent3 2 2 5 2 3 2 3" xfId="37674"/>
    <cellStyle name="20% - Accent3 2 2 5 2 3 3" xfId="22754"/>
    <cellStyle name="20% - Accent3 2 2 5 2 3 3 2" xfId="42509"/>
    <cellStyle name="20% - Accent3 2 2 5 2 3 4" xfId="32865"/>
    <cellStyle name="20% - Accent3 2 2 5 2 4" xfId="17845"/>
    <cellStyle name="20% - Accent3 2 2 5 2 4 2" xfId="27561"/>
    <cellStyle name="20% - Accent3 2 2 5 2 4 2 2" xfId="47315"/>
    <cellStyle name="20% - Accent3 2 2 5 2 4 3" xfId="37671"/>
    <cellStyle name="20% - Accent3 2 2 5 2 5" xfId="22751"/>
    <cellStyle name="20% - Accent3 2 2 5 2 5 2" xfId="42506"/>
    <cellStyle name="20% - Accent3 2 2 5 2 6" xfId="32862"/>
    <cellStyle name="20% - Accent3 2 2 5 3" xfId="2550"/>
    <cellStyle name="20% - Accent3 2 2 5 3 2" xfId="2551"/>
    <cellStyle name="20% - Accent3 2 2 5 3 2 2" xfId="17850"/>
    <cellStyle name="20% - Accent3 2 2 5 3 2 2 2" xfId="27566"/>
    <cellStyle name="20% - Accent3 2 2 5 3 2 2 2 2" xfId="47320"/>
    <cellStyle name="20% - Accent3 2 2 5 3 2 2 3" xfId="37676"/>
    <cellStyle name="20% - Accent3 2 2 5 3 2 3" xfId="22756"/>
    <cellStyle name="20% - Accent3 2 2 5 3 2 3 2" xfId="42511"/>
    <cellStyle name="20% - Accent3 2 2 5 3 2 4" xfId="32867"/>
    <cellStyle name="20% - Accent3 2 2 5 3 3" xfId="17849"/>
    <cellStyle name="20% - Accent3 2 2 5 3 3 2" xfId="27565"/>
    <cellStyle name="20% - Accent3 2 2 5 3 3 2 2" xfId="47319"/>
    <cellStyle name="20% - Accent3 2 2 5 3 3 3" xfId="37675"/>
    <cellStyle name="20% - Accent3 2 2 5 3 4" xfId="22755"/>
    <cellStyle name="20% - Accent3 2 2 5 3 4 2" xfId="42510"/>
    <cellStyle name="20% - Accent3 2 2 5 3 5" xfId="32866"/>
    <cellStyle name="20% - Accent3 2 2 5 4" xfId="2552"/>
    <cellStyle name="20% - Accent3 2 2 5 4 2" xfId="17851"/>
    <cellStyle name="20% - Accent3 2 2 5 4 2 2" xfId="27567"/>
    <cellStyle name="20% - Accent3 2 2 5 4 2 2 2" xfId="47321"/>
    <cellStyle name="20% - Accent3 2 2 5 4 2 3" xfId="37677"/>
    <cellStyle name="20% - Accent3 2 2 5 4 3" xfId="22757"/>
    <cellStyle name="20% - Accent3 2 2 5 4 3 2" xfId="42512"/>
    <cellStyle name="20% - Accent3 2 2 5 4 4" xfId="32868"/>
    <cellStyle name="20% - Accent3 2 2 5 5" xfId="17844"/>
    <cellStyle name="20% - Accent3 2 2 5 5 2" xfId="27560"/>
    <cellStyle name="20% - Accent3 2 2 5 5 2 2" xfId="47314"/>
    <cellStyle name="20% - Accent3 2 2 5 5 3" xfId="37670"/>
    <cellStyle name="20% - Accent3 2 2 5 6" xfId="22750"/>
    <cellStyle name="20% - Accent3 2 2 5 6 2" xfId="42505"/>
    <cellStyle name="20% - Accent3 2 2 5 7" xfId="32861"/>
    <cellStyle name="20% - Accent3 2 2 6" xfId="2553"/>
    <cellStyle name="20% - Accent3 2 2 7" xfId="2554"/>
    <cellStyle name="20% - Accent3 2 2 7 2" xfId="2555"/>
    <cellStyle name="20% - Accent3 2 2 7 2 2" xfId="2556"/>
    <cellStyle name="20% - Accent3 2 2 7 2 2 2" xfId="17854"/>
    <cellStyle name="20% - Accent3 2 2 7 2 2 2 2" xfId="27570"/>
    <cellStyle name="20% - Accent3 2 2 7 2 2 2 2 2" xfId="47324"/>
    <cellStyle name="20% - Accent3 2 2 7 2 2 2 3" xfId="37680"/>
    <cellStyle name="20% - Accent3 2 2 7 2 2 3" xfId="22760"/>
    <cellStyle name="20% - Accent3 2 2 7 2 2 3 2" xfId="42515"/>
    <cellStyle name="20% - Accent3 2 2 7 2 2 4" xfId="32871"/>
    <cellStyle name="20% - Accent3 2 2 7 2 3" xfId="17853"/>
    <cellStyle name="20% - Accent3 2 2 7 2 3 2" xfId="27569"/>
    <cellStyle name="20% - Accent3 2 2 7 2 3 2 2" xfId="47323"/>
    <cellStyle name="20% - Accent3 2 2 7 2 3 3" xfId="37679"/>
    <cellStyle name="20% - Accent3 2 2 7 2 4" xfId="22759"/>
    <cellStyle name="20% - Accent3 2 2 7 2 4 2" xfId="42514"/>
    <cellStyle name="20% - Accent3 2 2 7 2 5" xfId="32870"/>
    <cellStyle name="20% - Accent3 2 2 7 3" xfId="2557"/>
    <cellStyle name="20% - Accent3 2 2 7 3 2" xfId="17855"/>
    <cellStyle name="20% - Accent3 2 2 7 3 2 2" xfId="27571"/>
    <cellStyle name="20% - Accent3 2 2 7 3 2 2 2" xfId="47325"/>
    <cellStyle name="20% - Accent3 2 2 7 3 2 3" xfId="37681"/>
    <cellStyle name="20% - Accent3 2 2 7 3 3" xfId="22761"/>
    <cellStyle name="20% - Accent3 2 2 7 3 3 2" xfId="42516"/>
    <cellStyle name="20% - Accent3 2 2 7 3 4" xfId="32872"/>
    <cellStyle name="20% - Accent3 2 2 7 4" xfId="17852"/>
    <cellStyle name="20% - Accent3 2 2 7 4 2" xfId="27568"/>
    <cellStyle name="20% - Accent3 2 2 7 4 2 2" xfId="47322"/>
    <cellStyle name="20% - Accent3 2 2 7 4 3" xfId="37678"/>
    <cellStyle name="20% - Accent3 2 2 7 5" xfId="22758"/>
    <cellStyle name="20% - Accent3 2 2 7 5 2" xfId="42513"/>
    <cellStyle name="20% - Accent3 2 2 7 6" xfId="32869"/>
    <cellStyle name="20% - Accent3 2 2 8" xfId="2558"/>
    <cellStyle name="20% - Accent3 2 2 8 2" xfId="2559"/>
    <cellStyle name="20% - Accent3 2 2 8 2 2" xfId="17857"/>
    <cellStyle name="20% - Accent3 2 2 8 2 2 2" xfId="27573"/>
    <cellStyle name="20% - Accent3 2 2 8 2 2 2 2" xfId="47327"/>
    <cellStyle name="20% - Accent3 2 2 8 2 2 3" xfId="37683"/>
    <cellStyle name="20% - Accent3 2 2 8 2 3" xfId="22763"/>
    <cellStyle name="20% - Accent3 2 2 8 2 3 2" xfId="42518"/>
    <cellStyle name="20% - Accent3 2 2 8 2 4" xfId="32874"/>
    <cellStyle name="20% - Accent3 2 2 8 3" xfId="17856"/>
    <cellStyle name="20% - Accent3 2 2 8 3 2" xfId="27572"/>
    <cellStyle name="20% - Accent3 2 2 8 3 2 2" xfId="47326"/>
    <cellStyle name="20% - Accent3 2 2 8 3 3" xfId="37682"/>
    <cellStyle name="20% - Accent3 2 2 8 4" xfId="22762"/>
    <cellStyle name="20% - Accent3 2 2 8 4 2" xfId="42517"/>
    <cellStyle name="20% - Accent3 2 2 8 5" xfId="32873"/>
    <cellStyle name="20% - Accent3 2 2 9" xfId="2560"/>
    <cellStyle name="20% - Accent3 2 2 9 2" xfId="2561"/>
    <cellStyle name="20% - Accent3 2 2 9 2 2" xfId="17859"/>
    <cellStyle name="20% - Accent3 2 2 9 2 2 2" xfId="27575"/>
    <cellStyle name="20% - Accent3 2 2 9 2 2 2 2" xfId="47329"/>
    <cellStyle name="20% - Accent3 2 2 9 2 2 3" xfId="37685"/>
    <cellStyle name="20% - Accent3 2 2 9 2 3" xfId="22765"/>
    <cellStyle name="20% - Accent3 2 2 9 2 3 2" xfId="42520"/>
    <cellStyle name="20% - Accent3 2 2 9 2 4" xfId="32876"/>
    <cellStyle name="20% - Accent3 2 2 9 3" xfId="17858"/>
    <cellStyle name="20% - Accent3 2 2 9 3 2" xfId="27574"/>
    <cellStyle name="20% - Accent3 2 2 9 3 2 2" xfId="47328"/>
    <cellStyle name="20% - Accent3 2 2 9 3 3" xfId="37684"/>
    <cellStyle name="20% - Accent3 2 2 9 4" xfId="22764"/>
    <cellStyle name="20% - Accent3 2 2 9 4 2" xfId="42519"/>
    <cellStyle name="20% - Accent3 2 2 9 5" xfId="32875"/>
    <cellStyle name="20% - Accent3 2 3" xfId="46"/>
    <cellStyle name="20% - Accent3 2 3 10" xfId="2562"/>
    <cellStyle name="20% - Accent3 2 3 10 2" xfId="17860"/>
    <cellStyle name="20% - Accent3 2 3 10 2 2" xfId="27576"/>
    <cellStyle name="20% - Accent3 2 3 10 2 2 2" xfId="47330"/>
    <cellStyle name="20% - Accent3 2 3 10 2 3" xfId="37686"/>
    <cellStyle name="20% - Accent3 2 3 10 3" xfId="22766"/>
    <cellStyle name="20% - Accent3 2 3 10 3 2" xfId="42521"/>
    <cellStyle name="20% - Accent3 2 3 10 4" xfId="32877"/>
    <cellStyle name="20% - Accent3 2 3 11" xfId="15414"/>
    <cellStyle name="20% - Accent3 2 3 11 2" xfId="20286"/>
    <cellStyle name="20% - Accent3 2 3 11 2 2" xfId="30000"/>
    <cellStyle name="20% - Accent3 2 3 11 2 2 2" xfId="49753"/>
    <cellStyle name="20% - Accent3 2 3 11 2 3" xfId="40109"/>
    <cellStyle name="20% - Accent3 2 3 11 3" xfId="25188"/>
    <cellStyle name="20% - Accent3 2 3 11 3 2" xfId="44942"/>
    <cellStyle name="20% - Accent3 2 3 11 4" xfId="35298"/>
    <cellStyle name="20% - Accent3 2 3 12" xfId="15846"/>
    <cellStyle name="20% - Accent3 2 3 12 2" xfId="25562"/>
    <cellStyle name="20% - Accent3 2 3 12 2 2" xfId="45316"/>
    <cellStyle name="20% - Accent3 2 3 12 3" xfId="35672"/>
    <cellStyle name="20% - Accent3 2 3 13" xfId="20720"/>
    <cellStyle name="20% - Accent3 2 3 13 2" xfId="40500"/>
    <cellStyle name="20% - Accent3 2 3 14" xfId="30430"/>
    <cellStyle name="20% - Accent3 2 3 14 2" xfId="50178"/>
    <cellStyle name="20% - Accent3 2 3 15" xfId="30831"/>
    <cellStyle name="20% - Accent3 2 3 2" xfId="744"/>
    <cellStyle name="20% - Accent3 2 3 2 10" xfId="31108"/>
    <cellStyle name="20% - Accent3 2 3 2 2" xfId="2563"/>
    <cellStyle name="20% - Accent3 2 3 2 2 2" xfId="2564"/>
    <cellStyle name="20% - Accent3 2 3 2 2 2 2" xfId="2565"/>
    <cellStyle name="20% - Accent3 2 3 2 2 2 2 2" xfId="2566"/>
    <cellStyle name="20% - Accent3 2 3 2 2 2 2 2 2" xfId="17864"/>
    <cellStyle name="20% - Accent3 2 3 2 2 2 2 2 2 2" xfId="27580"/>
    <cellStyle name="20% - Accent3 2 3 2 2 2 2 2 2 2 2" xfId="47334"/>
    <cellStyle name="20% - Accent3 2 3 2 2 2 2 2 2 3" xfId="37690"/>
    <cellStyle name="20% - Accent3 2 3 2 2 2 2 2 3" xfId="22770"/>
    <cellStyle name="20% - Accent3 2 3 2 2 2 2 2 3 2" xfId="42525"/>
    <cellStyle name="20% - Accent3 2 3 2 2 2 2 2 4" xfId="32881"/>
    <cellStyle name="20% - Accent3 2 3 2 2 2 2 3" xfId="17863"/>
    <cellStyle name="20% - Accent3 2 3 2 2 2 2 3 2" xfId="27579"/>
    <cellStyle name="20% - Accent3 2 3 2 2 2 2 3 2 2" xfId="47333"/>
    <cellStyle name="20% - Accent3 2 3 2 2 2 2 3 3" xfId="37689"/>
    <cellStyle name="20% - Accent3 2 3 2 2 2 2 4" xfId="22769"/>
    <cellStyle name="20% - Accent3 2 3 2 2 2 2 4 2" xfId="42524"/>
    <cellStyle name="20% - Accent3 2 3 2 2 2 2 5" xfId="32880"/>
    <cellStyle name="20% - Accent3 2 3 2 2 2 3" xfId="2567"/>
    <cellStyle name="20% - Accent3 2 3 2 2 2 3 2" xfId="17865"/>
    <cellStyle name="20% - Accent3 2 3 2 2 2 3 2 2" xfId="27581"/>
    <cellStyle name="20% - Accent3 2 3 2 2 2 3 2 2 2" xfId="47335"/>
    <cellStyle name="20% - Accent3 2 3 2 2 2 3 2 3" xfId="37691"/>
    <cellStyle name="20% - Accent3 2 3 2 2 2 3 3" xfId="22771"/>
    <cellStyle name="20% - Accent3 2 3 2 2 2 3 3 2" xfId="42526"/>
    <cellStyle name="20% - Accent3 2 3 2 2 2 3 4" xfId="32882"/>
    <cellStyle name="20% - Accent3 2 3 2 2 2 4" xfId="17862"/>
    <cellStyle name="20% - Accent3 2 3 2 2 2 4 2" xfId="27578"/>
    <cellStyle name="20% - Accent3 2 3 2 2 2 4 2 2" xfId="47332"/>
    <cellStyle name="20% - Accent3 2 3 2 2 2 4 3" xfId="37688"/>
    <cellStyle name="20% - Accent3 2 3 2 2 2 5" xfId="22768"/>
    <cellStyle name="20% - Accent3 2 3 2 2 2 5 2" xfId="42523"/>
    <cellStyle name="20% - Accent3 2 3 2 2 2 6" xfId="32879"/>
    <cellStyle name="20% - Accent3 2 3 2 2 3" xfId="2568"/>
    <cellStyle name="20% - Accent3 2 3 2 2 3 2" xfId="2569"/>
    <cellStyle name="20% - Accent3 2 3 2 2 3 2 2" xfId="17867"/>
    <cellStyle name="20% - Accent3 2 3 2 2 3 2 2 2" xfId="27583"/>
    <cellStyle name="20% - Accent3 2 3 2 2 3 2 2 2 2" xfId="47337"/>
    <cellStyle name="20% - Accent3 2 3 2 2 3 2 2 3" xfId="37693"/>
    <cellStyle name="20% - Accent3 2 3 2 2 3 2 3" xfId="22773"/>
    <cellStyle name="20% - Accent3 2 3 2 2 3 2 3 2" xfId="42528"/>
    <cellStyle name="20% - Accent3 2 3 2 2 3 2 4" xfId="32884"/>
    <cellStyle name="20% - Accent3 2 3 2 2 3 3" xfId="17866"/>
    <cellStyle name="20% - Accent3 2 3 2 2 3 3 2" xfId="27582"/>
    <cellStyle name="20% - Accent3 2 3 2 2 3 3 2 2" xfId="47336"/>
    <cellStyle name="20% - Accent3 2 3 2 2 3 3 3" xfId="37692"/>
    <cellStyle name="20% - Accent3 2 3 2 2 3 4" xfId="22772"/>
    <cellStyle name="20% - Accent3 2 3 2 2 3 4 2" xfId="42527"/>
    <cellStyle name="20% - Accent3 2 3 2 2 3 5" xfId="32883"/>
    <cellStyle name="20% - Accent3 2 3 2 2 4" xfId="2570"/>
    <cellStyle name="20% - Accent3 2 3 2 2 4 2" xfId="17868"/>
    <cellStyle name="20% - Accent3 2 3 2 2 4 2 2" xfId="27584"/>
    <cellStyle name="20% - Accent3 2 3 2 2 4 2 2 2" xfId="47338"/>
    <cellStyle name="20% - Accent3 2 3 2 2 4 2 3" xfId="37694"/>
    <cellStyle name="20% - Accent3 2 3 2 2 4 3" xfId="22774"/>
    <cellStyle name="20% - Accent3 2 3 2 2 4 3 2" xfId="42529"/>
    <cellStyle name="20% - Accent3 2 3 2 2 4 4" xfId="32885"/>
    <cellStyle name="20% - Accent3 2 3 2 2 5" xfId="17861"/>
    <cellStyle name="20% - Accent3 2 3 2 2 5 2" xfId="27577"/>
    <cellStyle name="20% - Accent3 2 3 2 2 5 2 2" xfId="47331"/>
    <cellStyle name="20% - Accent3 2 3 2 2 5 3" xfId="37687"/>
    <cellStyle name="20% - Accent3 2 3 2 2 6" xfId="22767"/>
    <cellStyle name="20% - Accent3 2 3 2 2 6 2" xfId="42522"/>
    <cellStyle name="20% - Accent3 2 3 2 2 7" xfId="32878"/>
    <cellStyle name="20% - Accent3 2 3 2 3" xfId="2571"/>
    <cellStyle name="20% - Accent3 2 3 2 3 2" xfId="2572"/>
    <cellStyle name="20% - Accent3 2 3 2 3 2 2" xfId="2573"/>
    <cellStyle name="20% - Accent3 2 3 2 3 2 2 2" xfId="17871"/>
    <cellStyle name="20% - Accent3 2 3 2 3 2 2 2 2" xfId="27587"/>
    <cellStyle name="20% - Accent3 2 3 2 3 2 2 2 2 2" xfId="47341"/>
    <cellStyle name="20% - Accent3 2 3 2 3 2 2 2 3" xfId="37697"/>
    <cellStyle name="20% - Accent3 2 3 2 3 2 2 3" xfId="22777"/>
    <cellStyle name="20% - Accent3 2 3 2 3 2 2 3 2" xfId="42532"/>
    <cellStyle name="20% - Accent3 2 3 2 3 2 2 4" xfId="32888"/>
    <cellStyle name="20% - Accent3 2 3 2 3 2 3" xfId="17870"/>
    <cellStyle name="20% - Accent3 2 3 2 3 2 3 2" xfId="27586"/>
    <cellStyle name="20% - Accent3 2 3 2 3 2 3 2 2" xfId="47340"/>
    <cellStyle name="20% - Accent3 2 3 2 3 2 3 3" xfId="37696"/>
    <cellStyle name="20% - Accent3 2 3 2 3 2 4" xfId="22776"/>
    <cellStyle name="20% - Accent3 2 3 2 3 2 4 2" xfId="42531"/>
    <cellStyle name="20% - Accent3 2 3 2 3 2 5" xfId="32887"/>
    <cellStyle name="20% - Accent3 2 3 2 3 3" xfId="2574"/>
    <cellStyle name="20% - Accent3 2 3 2 3 3 2" xfId="17872"/>
    <cellStyle name="20% - Accent3 2 3 2 3 3 2 2" xfId="27588"/>
    <cellStyle name="20% - Accent3 2 3 2 3 3 2 2 2" xfId="47342"/>
    <cellStyle name="20% - Accent3 2 3 2 3 3 2 3" xfId="37698"/>
    <cellStyle name="20% - Accent3 2 3 2 3 3 3" xfId="22778"/>
    <cellStyle name="20% - Accent3 2 3 2 3 3 3 2" xfId="42533"/>
    <cellStyle name="20% - Accent3 2 3 2 3 3 4" xfId="32889"/>
    <cellStyle name="20% - Accent3 2 3 2 3 4" xfId="17869"/>
    <cellStyle name="20% - Accent3 2 3 2 3 4 2" xfId="27585"/>
    <cellStyle name="20% - Accent3 2 3 2 3 4 2 2" xfId="47339"/>
    <cellStyle name="20% - Accent3 2 3 2 3 4 3" xfId="37695"/>
    <cellStyle name="20% - Accent3 2 3 2 3 5" xfId="22775"/>
    <cellStyle name="20% - Accent3 2 3 2 3 5 2" xfId="42530"/>
    <cellStyle name="20% - Accent3 2 3 2 3 6" xfId="32886"/>
    <cellStyle name="20% - Accent3 2 3 2 4" xfId="2575"/>
    <cellStyle name="20% - Accent3 2 3 2 4 2" xfId="2576"/>
    <cellStyle name="20% - Accent3 2 3 2 4 2 2" xfId="17874"/>
    <cellStyle name="20% - Accent3 2 3 2 4 2 2 2" xfId="27590"/>
    <cellStyle name="20% - Accent3 2 3 2 4 2 2 2 2" xfId="47344"/>
    <cellStyle name="20% - Accent3 2 3 2 4 2 2 3" xfId="37700"/>
    <cellStyle name="20% - Accent3 2 3 2 4 2 3" xfId="22780"/>
    <cellStyle name="20% - Accent3 2 3 2 4 2 3 2" xfId="42535"/>
    <cellStyle name="20% - Accent3 2 3 2 4 2 4" xfId="32891"/>
    <cellStyle name="20% - Accent3 2 3 2 4 3" xfId="17873"/>
    <cellStyle name="20% - Accent3 2 3 2 4 3 2" xfId="27589"/>
    <cellStyle name="20% - Accent3 2 3 2 4 3 2 2" xfId="47343"/>
    <cellStyle name="20% - Accent3 2 3 2 4 3 3" xfId="37699"/>
    <cellStyle name="20% - Accent3 2 3 2 4 4" xfId="22779"/>
    <cellStyle name="20% - Accent3 2 3 2 4 4 2" xfId="42534"/>
    <cellStyle name="20% - Accent3 2 3 2 4 5" xfId="32890"/>
    <cellStyle name="20% - Accent3 2 3 2 5" xfId="2577"/>
    <cellStyle name="20% - Accent3 2 3 2 5 2" xfId="17875"/>
    <cellStyle name="20% - Accent3 2 3 2 5 2 2" xfId="27591"/>
    <cellStyle name="20% - Accent3 2 3 2 5 2 2 2" xfId="47345"/>
    <cellStyle name="20% - Accent3 2 3 2 5 2 3" xfId="37701"/>
    <cellStyle name="20% - Accent3 2 3 2 5 3" xfId="22781"/>
    <cellStyle name="20% - Accent3 2 3 2 5 3 2" xfId="42536"/>
    <cellStyle name="20% - Accent3 2 3 2 5 4" xfId="32892"/>
    <cellStyle name="20% - Accent3 2 3 2 6" xfId="2578"/>
    <cellStyle name="20% - Accent3 2 3 2 6 2" xfId="17876"/>
    <cellStyle name="20% - Accent3 2 3 2 6 2 2" xfId="27592"/>
    <cellStyle name="20% - Accent3 2 3 2 6 2 2 2" xfId="47346"/>
    <cellStyle name="20% - Accent3 2 3 2 6 2 3" xfId="37702"/>
    <cellStyle name="20% - Accent3 2 3 2 6 3" xfId="22782"/>
    <cellStyle name="20% - Accent3 2 3 2 6 3 2" xfId="42537"/>
    <cellStyle name="20% - Accent3 2 3 2 6 4" xfId="32893"/>
    <cellStyle name="20% - Accent3 2 3 2 7" xfId="2579"/>
    <cellStyle name="20% - Accent3 2 3 2 7 2" xfId="17877"/>
    <cellStyle name="20% - Accent3 2 3 2 7 2 2" xfId="27593"/>
    <cellStyle name="20% - Accent3 2 3 2 7 2 2 2" xfId="47347"/>
    <cellStyle name="20% - Accent3 2 3 2 7 2 3" xfId="37703"/>
    <cellStyle name="20% - Accent3 2 3 2 7 3" xfId="22783"/>
    <cellStyle name="20% - Accent3 2 3 2 7 3 2" xfId="42538"/>
    <cellStyle name="20% - Accent3 2 3 2 7 4" xfId="32894"/>
    <cellStyle name="20% - Accent3 2 3 2 8" xfId="16091"/>
    <cellStyle name="20% - Accent3 2 3 2 8 2" xfId="25807"/>
    <cellStyle name="20% - Accent3 2 3 2 8 2 2" xfId="45561"/>
    <cellStyle name="20% - Accent3 2 3 2 8 3" xfId="35917"/>
    <cellStyle name="20% - Accent3 2 3 2 9" xfId="20997"/>
    <cellStyle name="20% - Accent3 2 3 2 9 2" xfId="40752"/>
    <cellStyle name="20% - Accent3 2 3 3" xfId="2580"/>
    <cellStyle name="20% - Accent3 2 3 3 2" xfId="2581"/>
    <cellStyle name="20% - Accent3 2 3 3 2 2" xfId="2582"/>
    <cellStyle name="20% - Accent3 2 3 3 2 2 2" xfId="2583"/>
    <cellStyle name="20% - Accent3 2 3 3 2 2 2 2" xfId="17881"/>
    <cellStyle name="20% - Accent3 2 3 3 2 2 2 2 2" xfId="27597"/>
    <cellStyle name="20% - Accent3 2 3 3 2 2 2 2 2 2" xfId="47351"/>
    <cellStyle name="20% - Accent3 2 3 3 2 2 2 2 3" xfId="37707"/>
    <cellStyle name="20% - Accent3 2 3 3 2 2 2 3" xfId="22787"/>
    <cellStyle name="20% - Accent3 2 3 3 2 2 2 3 2" xfId="42542"/>
    <cellStyle name="20% - Accent3 2 3 3 2 2 2 4" xfId="32898"/>
    <cellStyle name="20% - Accent3 2 3 3 2 2 3" xfId="17880"/>
    <cellStyle name="20% - Accent3 2 3 3 2 2 3 2" xfId="27596"/>
    <cellStyle name="20% - Accent3 2 3 3 2 2 3 2 2" xfId="47350"/>
    <cellStyle name="20% - Accent3 2 3 3 2 2 3 3" xfId="37706"/>
    <cellStyle name="20% - Accent3 2 3 3 2 2 4" xfId="22786"/>
    <cellStyle name="20% - Accent3 2 3 3 2 2 4 2" xfId="42541"/>
    <cellStyle name="20% - Accent3 2 3 3 2 2 5" xfId="32897"/>
    <cellStyle name="20% - Accent3 2 3 3 2 3" xfId="2584"/>
    <cellStyle name="20% - Accent3 2 3 3 2 3 2" xfId="17882"/>
    <cellStyle name="20% - Accent3 2 3 3 2 3 2 2" xfId="27598"/>
    <cellStyle name="20% - Accent3 2 3 3 2 3 2 2 2" xfId="47352"/>
    <cellStyle name="20% - Accent3 2 3 3 2 3 2 3" xfId="37708"/>
    <cellStyle name="20% - Accent3 2 3 3 2 3 3" xfId="22788"/>
    <cellStyle name="20% - Accent3 2 3 3 2 3 3 2" xfId="42543"/>
    <cellStyle name="20% - Accent3 2 3 3 2 3 4" xfId="32899"/>
    <cellStyle name="20% - Accent3 2 3 3 2 4" xfId="17879"/>
    <cellStyle name="20% - Accent3 2 3 3 2 4 2" xfId="27595"/>
    <cellStyle name="20% - Accent3 2 3 3 2 4 2 2" xfId="47349"/>
    <cellStyle name="20% - Accent3 2 3 3 2 4 3" xfId="37705"/>
    <cellStyle name="20% - Accent3 2 3 3 2 5" xfId="22785"/>
    <cellStyle name="20% - Accent3 2 3 3 2 5 2" xfId="42540"/>
    <cellStyle name="20% - Accent3 2 3 3 2 6" xfId="32896"/>
    <cellStyle name="20% - Accent3 2 3 3 3" xfId="2585"/>
    <cellStyle name="20% - Accent3 2 3 3 3 2" xfId="2586"/>
    <cellStyle name="20% - Accent3 2 3 3 3 2 2" xfId="17884"/>
    <cellStyle name="20% - Accent3 2 3 3 3 2 2 2" xfId="27600"/>
    <cellStyle name="20% - Accent3 2 3 3 3 2 2 2 2" xfId="47354"/>
    <cellStyle name="20% - Accent3 2 3 3 3 2 2 3" xfId="37710"/>
    <cellStyle name="20% - Accent3 2 3 3 3 2 3" xfId="22790"/>
    <cellStyle name="20% - Accent3 2 3 3 3 2 3 2" xfId="42545"/>
    <cellStyle name="20% - Accent3 2 3 3 3 2 4" xfId="32901"/>
    <cellStyle name="20% - Accent3 2 3 3 3 3" xfId="17883"/>
    <cellStyle name="20% - Accent3 2 3 3 3 3 2" xfId="27599"/>
    <cellStyle name="20% - Accent3 2 3 3 3 3 2 2" xfId="47353"/>
    <cellStyle name="20% - Accent3 2 3 3 3 3 3" xfId="37709"/>
    <cellStyle name="20% - Accent3 2 3 3 3 4" xfId="22789"/>
    <cellStyle name="20% - Accent3 2 3 3 3 4 2" xfId="42544"/>
    <cellStyle name="20% - Accent3 2 3 3 3 5" xfId="32900"/>
    <cellStyle name="20% - Accent3 2 3 3 4" xfId="2587"/>
    <cellStyle name="20% - Accent3 2 3 3 4 2" xfId="17885"/>
    <cellStyle name="20% - Accent3 2 3 3 4 2 2" xfId="27601"/>
    <cellStyle name="20% - Accent3 2 3 3 4 2 2 2" xfId="47355"/>
    <cellStyle name="20% - Accent3 2 3 3 4 2 3" xfId="37711"/>
    <cellStyle name="20% - Accent3 2 3 3 4 3" xfId="22791"/>
    <cellStyle name="20% - Accent3 2 3 3 4 3 2" xfId="42546"/>
    <cellStyle name="20% - Accent3 2 3 3 4 4" xfId="32902"/>
    <cellStyle name="20% - Accent3 2 3 3 5" xfId="17878"/>
    <cellStyle name="20% - Accent3 2 3 3 5 2" xfId="27594"/>
    <cellStyle name="20% - Accent3 2 3 3 5 2 2" xfId="47348"/>
    <cellStyle name="20% - Accent3 2 3 3 5 3" xfId="37704"/>
    <cellStyle name="20% - Accent3 2 3 3 6" xfId="22784"/>
    <cellStyle name="20% - Accent3 2 3 3 6 2" xfId="42539"/>
    <cellStyle name="20% - Accent3 2 3 3 7" xfId="32895"/>
    <cellStyle name="20% - Accent3 2 3 4" xfId="2588"/>
    <cellStyle name="20% - Accent3 2 3 4 2" xfId="2589"/>
    <cellStyle name="20% - Accent3 2 3 4 2 2" xfId="2590"/>
    <cellStyle name="20% - Accent3 2 3 4 2 2 2" xfId="2591"/>
    <cellStyle name="20% - Accent3 2 3 4 2 2 2 2" xfId="17889"/>
    <cellStyle name="20% - Accent3 2 3 4 2 2 2 2 2" xfId="27605"/>
    <cellStyle name="20% - Accent3 2 3 4 2 2 2 2 2 2" xfId="47359"/>
    <cellStyle name="20% - Accent3 2 3 4 2 2 2 2 3" xfId="37715"/>
    <cellStyle name="20% - Accent3 2 3 4 2 2 2 3" xfId="22795"/>
    <cellStyle name="20% - Accent3 2 3 4 2 2 2 3 2" xfId="42550"/>
    <cellStyle name="20% - Accent3 2 3 4 2 2 2 4" xfId="32906"/>
    <cellStyle name="20% - Accent3 2 3 4 2 2 3" xfId="17888"/>
    <cellStyle name="20% - Accent3 2 3 4 2 2 3 2" xfId="27604"/>
    <cellStyle name="20% - Accent3 2 3 4 2 2 3 2 2" xfId="47358"/>
    <cellStyle name="20% - Accent3 2 3 4 2 2 3 3" xfId="37714"/>
    <cellStyle name="20% - Accent3 2 3 4 2 2 4" xfId="22794"/>
    <cellStyle name="20% - Accent3 2 3 4 2 2 4 2" xfId="42549"/>
    <cellStyle name="20% - Accent3 2 3 4 2 2 5" xfId="32905"/>
    <cellStyle name="20% - Accent3 2 3 4 2 3" xfId="2592"/>
    <cellStyle name="20% - Accent3 2 3 4 2 3 2" xfId="17890"/>
    <cellStyle name="20% - Accent3 2 3 4 2 3 2 2" xfId="27606"/>
    <cellStyle name="20% - Accent3 2 3 4 2 3 2 2 2" xfId="47360"/>
    <cellStyle name="20% - Accent3 2 3 4 2 3 2 3" xfId="37716"/>
    <cellStyle name="20% - Accent3 2 3 4 2 3 3" xfId="22796"/>
    <cellStyle name="20% - Accent3 2 3 4 2 3 3 2" xfId="42551"/>
    <cellStyle name="20% - Accent3 2 3 4 2 3 4" xfId="32907"/>
    <cellStyle name="20% - Accent3 2 3 4 2 4" xfId="17887"/>
    <cellStyle name="20% - Accent3 2 3 4 2 4 2" xfId="27603"/>
    <cellStyle name="20% - Accent3 2 3 4 2 4 2 2" xfId="47357"/>
    <cellStyle name="20% - Accent3 2 3 4 2 4 3" xfId="37713"/>
    <cellStyle name="20% - Accent3 2 3 4 2 5" xfId="22793"/>
    <cellStyle name="20% - Accent3 2 3 4 2 5 2" xfId="42548"/>
    <cellStyle name="20% - Accent3 2 3 4 2 6" xfId="32904"/>
    <cellStyle name="20% - Accent3 2 3 4 3" xfId="2593"/>
    <cellStyle name="20% - Accent3 2 3 4 3 2" xfId="2594"/>
    <cellStyle name="20% - Accent3 2 3 4 3 2 2" xfId="17892"/>
    <cellStyle name="20% - Accent3 2 3 4 3 2 2 2" xfId="27608"/>
    <cellStyle name="20% - Accent3 2 3 4 3 2 2 2 2" xfId="47362"/>
    <cellStyle name="20% - Accent3 2 3 4 3 2 2 3" xfId="37718"/>
    <cellStyle name="20% - Accent3 2 3 4 3 2 3" xfId="22798"/>
    <cellStyle name="20% - Accent3 2 3 4 3 2 3 2" xfId="42553"/>
    <cellStyle name="20% - Accent3 2 3 4 3 2 4" xfId="32909"/>
    <cellStyle name="20% - Accent3 2 3 4 3 3" xfId="17891"/>
    <cellStyle name="20% - Accent3 2 3 4 3 3 2" xfId="27607"/>
    <cellStyle name="20% - Accent3 2 3 4 3 3 2 2" xfId="47361"/>
    <cellStyle name="20% - Accent3 2 3 4 3 3 3" xfId="37717"/>
    <cellStyle name="20% - Accent3 2 3 4 3 4" xfId="22797"/>
    <cellStyle name="20% - Accent3 2 3 4 3 4 2" xfId="42552"/>
    <cellStyle name="20% - Accent3 2 3 4 3 5" xfId="32908"/>
    <cellStyle name="20% - Accent3 2 3 4 4" xfId="2595"/>
    <cellStyle name="20% - Accent3 2 3 4 4 2" xfId="17893"/>
    <cellStyle name="20% - Accent3 2 3 4 4 2 2" xfId="27609"/>
    <cellStyle name="20% - Accent3 2 3 4 4 2 2 2" xfId="47363"/>
    <cellStyle name="20% - Accent3 2 3 4 4 2 3" xfId="37719"/>
    <cellStyle name="20% - Accent3 2 3 4 4 3" xfId="22799"/>
    <cellStyle name="20% - Accent3 2 3 4 4 3 2" xfId="42554"/>
    <cellStyle name="20% - Accent3 2 3 4 4 4" xfId="32910"/>
    <cellStyle name="20% - Accent3 2 3 4 5" xfId="17886"/>
    <cellStyle name="20% - Accent3 2 3 4 5 2" xfId="27602"/>
    <cellStyle name="20% - Accent3 2 3 4 5 2 2" xfId="47356"/>
    <cellStyle name="20% - Accent3 2 3 4 5 3" xfId="37712"/>
    <cellStyle name="20% - Accent3 2 3 4 6" xfId="22792"/>
    <cellStyle name="20% - Accent3 2 3 4 6 2" xfId="42547"/>
    <cellStyle name="20% - Accent3 2 3 4 7" xfId="32903"/>
    <cellStyle name="20% - Accent3 2 3 5" xfId="2596"/>
    <cellStyle name="20% - Accent3 2 3 5 2" xfId="2597"/>
    <cellStyle name="20% - Accent3 2 3 5 2 2" xfId="2598"/>
    <cellStyle name="20% - Accent3 2 3 5 2 2 2" xfId="17896"/>
    <cellStyle name="20% - Accent3 2 3 5 2 2 2 2" xfId="27612"/>
    <cellStyle name="20% - Accent3 2 3 5 2 2 2 2 2" xfId="47366"/>
    <cellStyle name="20% - Accent3 2 3 5 2 2 2 3" xfId="37722"/>
    <cellStyle name="20% - Accent3 2 3 5 2 2 3" xfId="22802"/>
    <cellStyle name="20% - Accent3 2 3 5 2 2 3 2" xfId="42557"/>
    <cellStyle name="20% - Accent3 2 3 5 2 2 4" xfId="32913"/>
    <cellStyle name="20% - Accent3 2 3 5 2 3" xfId="17895"/>
    <cellStyle name="20% - Accent3 2 3 5 2 3 2" xfId="27611"/>
    <cellStyle name="20% - Accent3 2 3 5 2 3 2 2" xfId="47365"/>
    <cellStyle name="20% - Accent3 2 3 5 2 3 3" xfId="37721"/>
    <cellStyle name="20% - Accent3 2 3 5 2 4" xfId="22801"/>
    <cellStyle name="20% - Accent3 2 3 5 2 4 2" xfId="42556"/>
    <cellStyle name="20% - Accent3 2 3 5 2 5" xfId="32912"/>
    <cellStyle name="20% - Accent3 2 3 5 3" xfId="2599"/>
    <cellStyle name="20% - Accent3 2 3 5 3 2" xfId="17897"/>
    <cellStyle name="20% - Accent3 2 3 5 3 2 2" xfId="27613"/>
    <cellStyle name="20% - Accent3 2 3 5 3 2 2 2" xfId="47367"/>
    <cellStyle name="20% - Accent3 2 3 5 3 2 3" xfId="37723"/>
    <cellStyle name="20% - Accent3 2 3 5 3 3" xfId="22803"/>
    <cellStyle name="20% - Accent3 2 3 5 3 3 2" xfId="42558"/>
    <cellStyle name="20% - Accent3 2 3 5 3 4" xfId="32914"/>
    <cellStyle name="20% - Accent3 2 3 5 4" xfId="17894"/>
    <cellStyle name="20% - Accent3 2 3 5 4 2" xfId="27610"/>
    <cellStyle name="20% - Accent3 2 3 5 4 2 2" xfId="47364"/>
    <cellStyle name="20% - Accent3 2 3 5 4 3" xfId="37720"/>
    <cellStyle name="20% - Accent3 2 3 5 5" xfId="22800"/>
    <cellStyle name="20% - Accent3 2 3 5 5 2" xfId="42555"/>
    <cellStyle name="20% - Accent3 2 3 5 6" xfId="32911"/>
    <cellStyle name="20% - Accent3 2 3 6" xfId="2600"/>
    <cellStyle name="20% - Accent3 2 3 6 2" xfId="2601"/>
    <cellStyle name="20% - Accent3 2 3 6 2 2" xfId="17899"/>
    <cellStyle name="20% - Accent3 2 3 6 2 2 2" xfId="27615"/>
    <cellStyle name="20% - Accent3 2 3 6 2 2 2 2" xfId="47369"/>
    <cellStyle name="20% - Accent3 2 3 6 2 2 3" xfId="37725"/>
    <cellStyle name="20% - Accent3 2 3 6 2 3" xfId="22805"/>
    <cellStyle name="20% - Accent3 2 3 6 2 3 2" xfId="42560"/>
    <cellStyle name="20% - Accent3 2 3 6 2 4" xfId="32916"/>
    <cellStyle name="20% - Accent3 2 3 6 3" xfId="17898"/>
    <cellStyle name="20% - Accent3 2 3 6 3 2" xfId="27614"/>
    <cellStyle name="20% - Accent3 2 3 6 3 2 2" xfId="47368"/>
    <cellStyle name="20% - Accent3 2 3 6 3 3" xfId="37724"/>
    <cellStyle name="20% - Accent3 2 3 6 4" xfId="22804"/>
    <cellStyle name="20% - Accent3 2 3 6 4 2" xfId="42559"/>
    <cellStyle name="20% - Accent3 2 3 6 5" xfId="32915"/>
    <cellStyle name="20% - Accent3 2 3 7" xfId="2602"/>
    <cellStyle name="20% - Accent3 2 3 7 2" xfId="2603"/>
    <cellStyle name="20% - Accent3 2 3 7 2 2" xfId="17901"/>
    <cellStyle name="20% - Accent3 2 3 7 2 2 2" xfId="27617"/>
    <cellStyle name="20% - Accent3 2 3 7 2 2 2 2" xfId="47371"/>
    <cellStyle name="20% - Accent3 2 3 7 2 2 3" xfId="37727"/>
    <cellStyle name="20% - Accent3 2 3 7 2 3" xfId="22807"/>
    <cellStyle name="20% - Accent3 2 3 7 2 3 2" xfId="42562"/>
    <cellStyle name="20% - Accent3 2 3 7 2 4" xfId="32918"/>
    <cellStyle name="20% - Accent3 2 3 7 3" xfId="17900"/>
    <cellStyle name="20% - Accent3 2 3 7 3 2" xfId="27616"/>
    <cellStyle name="20% - Accent3 2 3 7 3 2 2" xfId="47370"/>
    <cellStyle name="20% - Accent3 2 3 7 3 3" xfId="37726"/>
    <cellStyle name="20% - Accent3 2 3 7 4" xfId="22806"/>
    <cellStyle name="20% - Accent3 2 3 7 4 2" xfId="42561"/>
    <cellStyle name="20% - Accent3 2 3 7 5" xfId="32917"/>
    <cellStyle name="20% - Accent3 2 3 8" xfId="2604"/>
    <cellStyle name="20% - Accent3 2 3 8 2" xfId="17902"/>
    <cellStyle name="20% - Accent3 2 3 8 2 2" xfId="27618"/>
    <cellStyle name="20% - Accent3 2 3 8 2 2 2" xfId="47372"/>
    <cellStyle name="20% - Accent3 2 3 8 2 3" xfId="37728"/>
    <cellStyle name="20% - Accent3 2 3 8 3" xfId="22808"/>
    <cellStyle name="20% - Accent3 2 3 8 3 2" xfId="42563"/>
    <cellStyle name="20% - Accent3 2 3 8 4" xfId="32919"/>
    <cellStyle name="20% - Accent3 2 3 9" xfId="2605"/>
    <cellStyle name="20% - Accent3 2 3 9 2" xfId="17903"/>
    <cellStyle name="20% - Accent3 2 3 9 2 2" xfId="27619"/>
    <cellStyle name="20% - Accent3 2 3 9 2 2 2" xfId="47373"/>
    <cellStyle name="20% - Accent3 2 3 9 2 3" xfId="37729"/>
    <cellStyle name="20% - Accent3 2 3 9 3" xfId="22809"/>
    <cellStyle name="20% - Accent3 2 3 9 3 2" xfId="42564"/>
    <cellStyle name="20% - Accent3 2 3 9 4" xfId="32920"/>
    <cellStyle name="20% - Accent3 2 4" xfId="2606"/>
    <cellStyle name="20% - Accent3 2 4 10" xfId="32921"/>
    <cellStyle name="20% - Accent3 2 4 2" xfId="2607"/>
    <cellStyle name="20% - Accent3 2 4 2 2" xfId="2608"/>
    <cellStyle name="20% - Accent3 2 4 2 2 2" xfId="2609"/>
    <cellStyle name="20% - Accent3 2 4 2 2 2 2" xfId="2610"/>
    <cellStyle name="20% - Accent3 2 4 2 2 2 2 2" xfId="17908"/>
    <cellStyle name="20% - Accent3 2 4 2 2 2 2 2 2" xfId="27624"/>
    <cellStyle name="20% - Accent3 2 4 2 2 2 2 2 2 2" xfId="47378"/>
    <cellStyle name="20% - Accent3 2 4 2 2 2 2 2 3" xfId="37734"/>
    <cellStyle name="20% - Accent3 2 4 2 2 2 2 3" xfId="22814"/>
    <cellStyle name="20% - Accent3 2 4 2 2 2 2 3 2" xfId="42569"/>
    <cellStyle name="20% - Accent3 2 4 2 2 2 2 4" xfId="32925"/>
    <cellStyle name="20% - Accent3 2 4 2 2 2 3" xfId="17907"/>
    <cellStyle name="20% - Accent3 2 4 2 2 2 3 2" xfId="27623"/>
    <cellStyle name="20% - Accent3 2 4 2 2 2 3 2 2" xfId="47377"/>
    <cellStyle name="20% - Accent3 2 4 2 2 2 3 3" xfId="37733"/>
    <cellStyle name="20% - Accent3 2 4 2 2 2 4" xfId="22813"/>
    <cellStyle name="20% - Accent3 2 4 2 2 2 4 2" xfId="42568"/>
    <cellStyle name="20% - Accent3 2 4 2 2 2 5" xfId="32924"/>
    <cellStyle name="20% - Accent3 2 4 2 2 3" xfId="2611"/>
    <cellStyle name="20% - Accent3 2 4 2 2 3 2" xfId="17909"/>
    <cellStyle name="20% - Accent3 2 4 2 2 3 2 2" xfId="27625"/>
    <cellStyle name="20% - Accent3 2 4 2 2 3 2 2 2" xfId="47379"/>
    <cellStyle name="20% - Accent3 2 4 2 2 3 2 3" xfId="37735"/>
    <cellStyle name="20% - Accent3 2 4 2 2 3 3" xfId="22815"/>
    <cellStyle name="20% - Accent3 2 4 2 2 3 3 2" xfId="42570"/>
    <cellStyle name="20% - Accent3 2 4 2 2 3 4" xfId="32926"/>
    <cellStyle name="20% - Accent3 2 4 2 2 4" xfId="17906"/>
    <cellStyle name="20% - Accent3 2 4 2 2 4 2" xfId="27622"/>
    <cellStyle name="20% - Accent3 2 4 2 2 4 2 2" xfId="47376"/>
    <cellStyle name="20% - Accent3 2 4 2 2 4 3" xfId="37732"/>
    <cellStyle name="20% - Accent3 2 4 2 2 5" xfId="22812"/>
    <cellStyle name="20% - Accent3 2 4 2 2 5 2" xfId="42567"/>
    <cellStyle name="20% - Accent3 2 4 2 2 6" xfId="32923"/>
    <cellStyle name="20% - Accent3 2 4 2 3" xfId="2612"/>
    <cellStyle name="20% - Accent3 2 4 2 3 2" xfId="2613"/>
    <cellStyle name="20% - Accent3 2 4 2 3 2 2" xfId="17911"/>
    <cellStyle name="20% - Accent3 2 4 2 3 2 2 2" xfId="27627"/>
    <cellStyle name="20% - Accent3 2 4 2 3 2 2 2 2" xfId="47381"/>
    <cellStyle name="20% - Accent3 2 4 2 3 2 2 3" xfId="37737"/>
    <cellStyle name="20% - Accent3 2 4 2 3 2 3" xfId="22817"/>
    <cellStyle name="20% - Accent3 2 4 2 3 2 3 2" xfId="42572"/>
    <cellStyle name="20% - Accent3 2 4 2 3 2 4" xfId="32928"/>
    <cellStyle name="20% - Accent3 2 4 2 3 3" xfId="17910"/>
    <cellStyle name="20% - Accent3 2 4 2 3 3 2" xfId="27626"/>
    <cellStyle name="20% - Accent3 2 4 2 3 3 2 2" xfId="47380"/>
    <cellStyle name="20% - Accent3 2 4 2 3 3 3" xfId="37736"/>
    <cellStyle name="20% - Accent3 2 4 2 3 4" xfId="22816"/>
    <cellStyle name="20% - Accent3 2 4 2 3 4 2" xfId="42571"/>
    <cellStyle name="20% - Accent3 2 4 2 3 5" xfId="32927"/>
    <cellStyle name="20% - Accent3 2 4 2 4" xfId="2614"/>
    <cellStyle name="20% - Accent3 2 4 2 4 2" xfId="17912"/>
    <cellStyle name="20% - Accent3 2 4 2 4 2 2" xfId="27628"/>
    <cellStyle name="20% - Accent3 2 4 2 4 2 2 2" xfId="47382"/>
    <cellStyle name="20% - Accent3 2 4 2 4 2 3" xfId="37738"/>
    <cellStyle name="20% - Accent3 2 4 2 4 3" xfId="22818"/>
    <cellStyle name="20% - Accent3 2 4 2 4 3 2" xfId="42573"/>
    <cellStyle name="20% - Accent3 2 4 2 4 4" xfId="32929"/>
    <cellStyle name="20% - Accent3 2 4 2 5" xfId="17905"/>
    <cellStyle name="20% - Accent3 2 4 2 5 2" xfId="27621"/>
    <cellStyle name="20% - Accent3 2 4 2 5 2 2" xfId="47375"/>
    <cellStyle name="20% - Accent3 2 4 2 5 3" xfId="37731"/>
    <cellStyle name="20% - Accent3 2 4 2 6" xfId="22811"/>
    <cellStyle name="20% - Accent3 2 4 2 6 2" xfId="42566"/>
    <cellStyle name="20% - Accent3 2 4 2 7" xfId="32922"/>
    <cellStyle name="20% - Accent3 2 4 3" xfId="2615"/>
    <cellStyle name="20% - Accent3 2 4 3 2" xfId="2616"/>
    <cellStyle name="20% - Accent3 2 4 3 2 2" xfId="2617"/>
    <cellStyle name="20% - Accent3 2 4 3 2 2 2" xfId="17915"/>
    <cellStyle name="20% - Accent3 2 4 3 2 2 2 2" xfId="27631"/>
    <cellStyle name="20% - Accent3 2 4 3 2 2 2 2 2" xfId="47385"/>
    <cellStyle name="20% - Accent3 2 4 3 2 2 2 3" xfId="37741"/>
    <cellStyle name="20% - Accent3 2 4 3 2 2 3" xfId="22821"/>
    <cellStyle name="20% - Accent3 2 4 3 2 2 3 2" xfId="42576"/>
    <cellStyle name="20% - Accent3 2 4 3 2 2 4" xfId="32932"/>
    <cellStyle name="20% - Accent3 2 4 3 2 3" xfId="17914"/>
    <cellStyle name="20% - Accent3 2 4 3 2 3 2" xfId="27630"/>
    <cellStyle name="20% - Accent3 2 4 3 2 3 2 2" xfId="47384"/>
    <cellStyle name="20% - Accent3 2 4 3 2 3 3" xfId="37740"/>
    <cellStyle name="20% - Accent3 2 4 3 2 4" xfId="22820"/>
    <cellStyle name="20% - Accent3 2 4 3 2 4 2" xfId="42575"/>
    <cellStyle name="20% - Accent3 2 4 3 2 5" xfId="32931"/>
    <cellStyle name="20% - Accent3 2 4 3 3" xfId="2618"/>
    <cellStyle name="20% - Accent3 2 4 3 3 2" xfId="17916"/>
    <cellStyle name="20% - Accent3 2 4 3 3 2 2" xfId="27632"/>
    <cellStyle name="20% - Accent3 2 4 3 3 2 2 2" xfId="47386"/>
    <cellStyle name="20% - Accent3 2 4 3 3 2 3" xfId="37742"/>
    <cellStyle name="20% - Accent3 2 4 3 3 3" xfId="22822"/>
    <cellStyle name="20% - Accent3 2 4 3 3 3 2" xfId="42577"/>
    <cellStyle name="20% - Accent3 2 4 3 3 4" xfId="32933"/>
    <cellStyle name="20% - Accent3 2 4 3 4" xfId="17913"/>
    <cellStyle name="20% - Accent3 2 4 3 4 2" xfId="27629"/>
    <cellStyle name="20% - Accent3 2 4 3 4 2 2" xfId="47383"/>
    <cellStyle name="20% - Accent3 2 4 3 4 3" xfId="37739"/>
    <cellStyle name="20% - Accent3 2 4 3 5" xfId="22819"/>
    <cellStyle name="20% - Accent3 2 4 3 5 2" xfId="42574"/>
    <cellStyle name="20% - Accent3 2 4 3 6" xfId="32930"/>
    <cellStyle name="20% - Accent3 2 4 4" xfId="2619"/>
    <cellStyle name="20% - Accent3 2 4 4 2" xfId="2620"/>
    <cellStyle name="20% - Accent3 2 4 4 2 2" xfId="17918"/>
    <cellStyle name="20% - Accent3 2 4 4 2 2 2" xfId="27634"/>
    <cellStyle name="20% - Accent3 2 4 4 2 2 2 2" xfId="47388"/>
    <cellStyle name="20% - Accent3 2 4 4 2 2 3" xfId="37744"/>
    <cellStyle name="20% - Accent3 2 4 4 2 3" xfId="22824"/>
    <cellStyle name="20% - Accent3 2 4 4 2 3 2" xfId="42579"/>
    <cellStyle name="20% - Accent3 2 4 4 2 4" xfId="32935"/>
    <cellStyle name="20% - Accent3 2 4 4 3" xfId="17917"/>
    <cellStyle name="20% - Accent3 2 4 4 3 2" xfId="27633"/>
    <cellStyle name="20% - Accent3 2 4 4 3 2 2" xfId="47387"/>
    <cellStyle name="20% - Accent3 2 4 4 3 3" xfId="37743"/>
    <cellStyle name="20% - Accent3 2 4 4 4" xfId="22823"/>
    <cellStyle name="20% - Accent3 2 4 4 4 2" xfId="42578"/>
    <cellStyle name="20% - Accent3 2 4 4 5" xfId="32934"/>
    <cellStyle name="20% - Accent3 2 4 5" xfId="2621"/>
    <cellStyle name="20% - Accent3 2 4 5 2" xfId="17919"/>
    <cellStyle name="20% - Accent3 2 4 5 2 2" xfId="27635"/>
    <cellStyle name="20% - Accent3 2 4 5 2 2 2" xfId="47389"/>
    <cellStyle name="20% - Accent3 2 4 5 2 3" xfId="37745"/>
    <cellStyle name="20% - Accent3 2 4 5 3" xfId="22825"/>
    <cellStyle name="20% - Accent3 2 4 5 3 2" xfId="42580"/>
    <cellStyle name="20% - Accent3 2 4 5 4" xfId="32936"/>
    <cellStyle name="20% - Accent3 2 4 6" xfId="2622"/>
    <cellStyle name="20% - Accent3 2 4 6 2" xfId="17920"/>
    <cellStyle name="20% - Accent3 2 4 6 2 2" xfId="27636"/>
    <cellStyle name="20% - Accent3 2 4 6 2 2 2" xfId="47390"/>
    <cellStyle name="20% - Accent3 2 4 6 2 3" xfId="37746"/>
    <cellStyle name="20% - Accent3 2 4 6 3" xfId="22826"/>
    <cellStyle name="20% - Accent3 2 4 6 3 2" xfId="42581"/>
    <cellStyle name="20% - Accent3 2 4 6 4" xfId="32937"/>
    <cellStyle name="20% - Accent3 2 4 7" xfId="2623"/>
    <cellStyle name="20% - Accent3 2 4 7 2" xfId="17921"/>
    <cellStyle name="20% - Accent3 2 4 7 2 2" xfId="27637"/>
    <cellStyle name="20% - Accent3 2 4 7 2 2 2" xfId="47391"/>
    <cellStyle name="20% - Accent3 2 4 7 2 3" xfId="37747"/>
    <cellStyle name="20% - Accent3 2 4 7 3" xfId="22827"/>
    <cellStyle name="20% - Accent3 2 4 7 3 2" xfId="42582"/>
    <cellStyle name="20% - Accent3 2 4 7 4" xfId="32938"/>
    <cellStyle name="20% - Accent3 2 4 8" xfId="17904"/>
    <cellStyle name="20% - Accent3 2 4 8 2" xfId="27620"/>
    <cellStyle name="20% - Accent3 2 4 8 2 2" xfId="47374"/>
    <cellStyle name="20% - Accent3 2 4 8 3" xfId="37730"/>
    <cellStyle name="20% - Accent3 2 4 9" xfId="22810"/>
    <cellStyle name="20% - Accent3 2 4 9 2" xfId="42565"/>
    <cellStyle name="20% - Accent3 2 5" xfId="2624"/>
    <cellStyle name="20% - Accent3 2 5 2" xfId="2625"/>
    <cellStyle name="20% - Accent3 2 5 2 2" xfId="2626"/>
    <cellStyle name="20% - Accent3 2 5 2 2 2" xfId="2627"/>
    <cellStyle name="20% - Accent3 2 5 2 2 2 2" xfId="17925"/>
    <cellStyle name="20% - Accent3 2 5 2 2 2 2 2" xfId="27641"/>
    <cellStyle name="20% - Accent3 2 5 2 2 2 2 2 2" xfId="47395"/>
    <cellStyle name="20% - Accent3 2 5 2 2 2 2 3" xfId="37751"/>
    <cellStyle name="20% - Accent3 2 5 2 2 2 3" xfId="22831"/>
    <cellStyle name="20% - Accent3 2 5 2 2 2 3 2" xfId="42586"/>
    <cellStyle name="20% - Accent3 2 5 2 2 2 4" xfId="32942"/>
    <cellStyle name="20% - Accent3 2 5 2 2 3" xfId="17924"/>
    <cellStyle name="20% - Accent3 2 5 2 2 3 2" xfId="27640"/>
    <cellStyle name="20% - Accent3 2 5 2 2 3 2 2" xfId="47394"/>
    <cellStyle name="20% - Accent3 2 5 2 2 3 3" xfId="37750"/>
    <cellStyle name="20% - Accent3 2 5 2 2 4" xfId="22830"/>
    <cellStyle name="20% - Accent3 2 5 2 2 4 2" xfId="42585"/>
    <cellStyle name="20% - Accent3 2 5 2 2 5" xfId="32941"/>
    <cellStyle name="20% - Accent3 2 5 2 3" xfId="2628"/>
    <cellStyle name="20% - Accent3 2 5 2 3 2" xfId="17926"/>
    <cellStyle name="20% - Accent3 2 5 2 3 2 2" xfId="27642"/>
    <cellStyle name="20% - Accent3 2 5 2 3 2 2 2" xfId="47396"/>
    <cellStyle name="20% - Accent3 2 5 2 3 2 3" xfId="37752"/>
    <cellStyle name="20% - Accent3 2 5 2 3 3" xfId="22832"/>
    <cellStyle name="20% - Accent3 2 5 2 3 3 2" xfId="42587"/>
    <cellStyle name="20% - Accent3 2 5 2 3 4" xfId="32943"/>
    <cellStyle name="20% - Accent3 2 5 2 4" xfId="17923"/>
    <cellStyle name="20% - Accent3 2 5 2 4 2" xfId="27639"/>
    <cellStyle name="20% - Accent3 2 5 2 4 2 2" xfId="47393"/>
    <cellStyle name="20% - Accent3 2 5 2 4 3" xfId="37749"/>
    <cellStyle name="20% - Accent3 2 5 2 5" xfId="22829"/>
    <cellStyle name="20% - Accent3 2 5 2 5 2" xfId="42584"/>
    <cellStyle name="20% - Accent3 2 5 2 6" xfId="32940"/>
    <cellStyle name="20% - Accent3 2 5 3" xfId="2629"/>
    <cellStyle name="20% - Accent3 2 5 3 2" xfId="2630"/>
    <cellStyle name="20% - Accent3 2 5 3 2 2" xfId="17928"/>
    <cellStyle name="20% - Accent3 2 5 3 2 2 2" xfId="27644"/>
    <cellStyle name="20% - Accent3 2 5 3 2 2 2 2" xfId="47398"/>
    <cellStyle name="20% - Accent3 2 5 3 2 2 3" xfId="37754"/>
    <cellStyle name="20% - Accent3 2 5 3 2 3" xfId="22834"/>
    <cellStyle name="20% - Accent3 2 5 3 2 3 2" xfId="42589"/>
    <cellStyle name="20% - Accent3 2 5 3 2 4" xfId="32945"/>
    <cellStyle name="20% - Accent3 2 5 3 3" xfId="17927"/>
    <cellStyle name="20% - Accent3 2 5 3 3 2" xfId="27643"/>
    <cellStyle name="20% - Accent3 2 5 3 3 2 2" xfId="47397"/>
    <cellStyle name="20% - Accent3 2 5 3 3 3" xfId="37753"/>
    <cellStyle name="20% - Accent3 2 5 3 4" xfId="22833"/>
    <cellStyle name="20% - Accent3 2 5 3 4 2" xfId="42588"/>
    <cellStyle name="20% - Accent3 2 5 3 5" xfId="32944"/>
    <cellStyle name="20% - Accent3 2 5 4" xfId="2631"/>
    <cellStyle name="20% - Accent3 2 5 4 2" xfId="17929"/>
    <cellStyle name="20% - Accent3 2 5 4 2 2" xfId="27645"/>
    <cellStyle name="20% - Accent3 2 5 4 2 2 2" xfId="47399"/>
    <cellStyle name="20% - Accent3 2 5 4 2 3" xfId="37755"/>
    <cellStyle name="20% - Accent3 2 5 4 3" xfId="22835"/>
    <cellStyle name="20% - Accent3 2 5 4 3 2" xfId="42590"/>
    <cellStyle name="20% - Accent3 2 5 4 4" xfId="32946"/>
    <cellStyle name="20% - Accent3 2 5 5" xfId="17922"/>
    <cellStyle name="20% - Accent3 2 5 5 2" xfId="27638"/>
    <cellStyle name="20% - Accent3 2 5 5 2 2" xfId="47392"/>
    <cellStyle name="20% - Accent3 2 5 5 3" xfId="37748"/>
    <cellStyle name="20% - Accent3 2 5 6" xfId="22828"/>
    <cellStyle name="20% - Accent3 2 5 6 2" xfId="42583"/>
    <cellStyle name="20% - Accent3 2 5 7" xfId="32939"/>
    <cellStyle name="20% - Accent3 2 6" xfId="2632"/>
    <cellStyle name="20% - Accent3 2 6 2" xfId="2633"/>
    <cellStyle name="20% - Accent3 2 6 2 2" xfId="2634"/>
    <cellStyle name="20% - Accent3 2 6 2 2 2" xfId="2635"/>
    <cellStyle name="20% - Accent3 2 6 2 2 2 2" xfId="17933"/>
    <cellStyle name="20% - Accent3 2 6 2 2 2 2 2" xfId="27649"/>
    <cellStyle name="20% - Accent3 2 6 2 2 2 2 2 2" xfId="47403"/>
    <cellStyle name="20% - Accent3 2 6 2 2 2 2 3" xfId="37759"/>
    <cellStyle name="20% - Accent3 2 6 2 2 2 3" xfId="22839"/>
    <cellStyle name="20% - Accent3 2 6 2 2 2 3 2" xfId="42594"/>
    <cellStyle name="20% - Accent3 2 6 2 2 2 4" xfId="32950"/>
    <cellStyle name="20% - Accent3 2 6 2 2 3" xfId="17932"/>
    <cellStyle name="20% - Accent3 2 6 2 2 3 2" xfId="27648"/>
    <cellStyle name="20% - Accent3 2 6 2 2 3 2 2" xfId="47402"/>
    <cellStyle name="20% - Accent3 2 6 2 2 3 3" xfId="37758"/>
    <cellStyle name="20% - Accent3 2 6 2 2 4" xfId="22838"/>
    <cellStyle name="20% - Accent3 2 6 2 2 4 2" xfId="42593"/>
    <cellStyle name="20% - Accent3 2 6 2 2 5" xfId="32949"/>
    <cellStyle name="20% - Accent3 2 6 2 3" xfId="2636"/>
    <cellStyle name="20% - Accent3 2 6 2 3 2" xfId="17934"/>
    <cellStyle name="20% - Accent3 2 6 2 3 2 2" xfId="27650"/>
    <cellStyle name="20% - Accent3 2 6 2 3 2 2 2" xfId="47404"/>
    <cellStyle name="20% - Accent3 2 6 2 3 2 3" xfId="37760"/>
    <cellStyle name="20% - Accent3 2 6 2 3 3" xfId="22840"/>
    <cellStyle name="20% - Accent3 2 6 2 3 3 2" xfId="42595"/>
    <cellStyle name="20% - Accent3 2 6 2 3 4" xfId="32951"/>
    <cellStyle name="20% - Accent3 2 6 2 4" xfId="17931"/>
    <cellStyle name="20% - Accent3 2 6 2 4 2" xfId="27647"/>
    <cellStyle name="20% - Accent3 2 6 2 4 2 2" xfId="47401"/>
    <cellStyle name="20% - Accent3 2 6 2 4 3" xfId="37757"/>
    <cellStyle name="20% - Accent3 2 6 2 5" xfId="22837"/>
    <cellStyle name="20% - Accent3 2 6 2 5 2" xfId="42592"/>
    <cellStyle name="20% - Accent3 2 6 2 6" xfId="32948"/>
    <cellStyle name="20% - Accent3 2 6 3" xfId="2637"/>
    <cellStyle name="20% - Accent3 2 6 3 2" xfId="2638"/>
    <cellStyle name="20% - Accent3 2 6 3 2 2" xfId="17936"/>
    <cellStyle name="20% - Accent3 2 6 3 2 2 2" xfId="27652"/>
    <cellStyle name="20% - Accent3 2 6 3 2 2 2 2" xfId="47406"/>
    <cellStyle name="20% - Accent3 2 6 3 2 2 3" xfId="37762"/>
    <cellStyle name="20% - Accent3 2 6 3 2 3" xfId="22842"/>
    <cellStyle name="20% - Accent3 2 6 3 2 3 2" xfId="42597"/>
    <cellStyle name="20% - Accent3 2 6 3 2 4" xfId="32953"/>
    <cellStyle name="20% - Accent3 2 6 3 3" xfId="17935"/>
    <cellStyle name="20% - Accent3 2 6 3 3 2" xfId="27651"/>
    <cellStyle name="20% - Accent3 2 6 3 3 2 2" xfId="47405"/>
    <cellStyle name="20% - Accent3 2 6 3 3 3" xfId="37761"/>
    <cellStyle name="20% - Accent3 2 6 3 4" xfId="22841"/>
    <cellStyle name="20% - Accent3 2 6 3 4 2" xfId="42596"/>
    <cellStyle name="20% - Accent3 2 6 3 5" xfId="32952"/>
    <cellStyle name="20% - Accent3 2 6 4" xfId="2639"/>
    <cellStyle name="20% - Accent3 2 6 4 2" xfId="17937"/>
    <cellStyle name="20% - Accent3 2 6 4 2 2" xfId="27653"/>
    <cellStyle name="20% - Accent3 2 6 4 2 2 2" xfId="47407"/>
    <cellStyle name="20% - Accent3 2 6 4 2 3" xfId="37763"/>
    <cellStyle name="20% - Accent3 2 6 4 3" xfId="22843"/>
    <cellStyle name="20% - Accent3 2 6 4 3 2" xfId="42598"/>
    <cellStyle name="20% - Accent3 2 6 4 4" xfId="32954"/>
    <cellStyle name="20% - Accent3 2 6 5" xfId="17930"/>
    <cellStyle name="20% - Accent3 2 6 5 2" xfId="27646"/>
    <cellStyle name="20% - Accent3 2 6 5 2 2" xfId="47400"/>
    <cellStyle name="20% - Accent3 2 6 5 3" xfId="37756"/>
    <cellStyle name="20% - Accent3 2 6 6" xfId="22836"/>
    <cellStyle name="20% - Accent3 2 6 6 2" xfId="42591"/>
    <cellStyle name="20% - Accent3 2 6 7" xfId="32947"/>
    <cellStyle name="20% - Accent3 2 7" xfId="2640"/>
    <cellStyle name="20% - Accent3 2 8" xfId="2641"/>
    <cellStyle name="20% - Accent3 2 8 2" xfId="2642"/>
    <cellStyle name="20% - Accent3 2 8 2 2" xfId="2643"/>
    <cellStyle name="20% - Accent3 2 8 2 2 2" xfId="17940"/>
    <cellStyle name="20% - Accent3 2 8 2 2 2 2" xfId="27656"/>
    <cellStyle name="20% - Accent3 2 8 2 2 2 2 2" xfId="47410"/>
    <cellStyle name="20% - Accent3 2 8 2 2 2 3" xfId="37766"/>
    <cellStyle name="20% - Accent3 2 8 2 2 3" xfId="22846"/>
    <cellStyle name="20% - Accent3 2 8 2 2 3 2" xfId="42601"/>
    <cellStyle name="20% - Accent3 2 8 2 2 4" xfId="32957"/>
    <cellStyle name="20% - Accent3 2 8 2 3" xfId="17939"/>
    <cellStyle name="20% - Accent3 2 8 2 3 2" xfId="27655"/>
    <cellStyle name="20% - Accent3 2 8 2 3 2 2" xfId="47409"/>
    <cellStyle name="20% - Accent3 2 8 2 3 3" xfId="37765"/>
    <cellStyle name="20% - Accent3 2 8 2 4" xfId="22845"/>
    <cellStyle name="20% - Accent3 2 8 2 4 2" xfId="42600"/>
    <cellStyle name="20% - Accent3 2 8 2 5" xfId="32956"/>
    <cellStyle name="20% - Accent3 2 8 3" xfId="2644"/>
    <cellStyle name="20% - Accent3 2 8 3 2" xfId="17941"/>
    <cellStyle name="20% - Accent3 2 8 3 2 2" xfId="27657"/>
    <cellStyle name="20% - Accent3 2 8 3 2 2 2" xfId="47411"/>
    <cellStyle name="20% - Accent3 2 8 3 2 3" xfId="37767"/>
    <cellStyle name="20% - Accent3 2 8 3 3" xfId="22847"/>
    <cellStyle name="20% - Accent3 2 8 3 3 2" xfId="42602"/>
    <cellStyle name="20% - Accent3 2 8 3 4" xfId="32958"/>
    <cellStyle name="20% - Accent3 2 8 4" xfId="17938"/>
    <cellStyle name="20% - Accent3 2 8 4 2" xfId="27654"/>
    <cellStyle name="20% - Accent3 2 8 4 2 2" xfId="47408"/>
    <cellStyle name="20% - Accent3 2 8 4 3" xfId="37764"/>
    <cellStyle name="20% - Accent3 2 8 5" xfId="22844"/>
    <cellStyle name="20% - Accent3 2 8 5 2" xfId="42599"/>
    <cellStyle name="20% - Accent3 2 8 6" xfId="32955"/>
    <cellStyle name="20% - Accent3 2 9" xfId="2645"/>
    <cellStyle name="20% - Accent3 2 9 2" xfId="2646"/>
    <cellStyle name="20% - Accent3 2 9 2 2" xfId="17943"/>
    <cellStyle name="20% - Accent3 2 9 2 2 2" xfId="27659"/>
    <cellStyle name="20% - Accent3 2 9 2 2 2 2" xfId="47413"/>
    <cellStyle name="20% - Accent3 2 9 2 2 3" xfId="37769"/>
    <cellStyle name="20% - Accent3 2 9 2 3" xfId="22849"/>
    <cellStyle name="20% - Accent3 2 9 2 3 2" xfId="42604"/>
    <cellStyle name="20% - Accent3 2 9 2 4" xfId="32960"/>
    <cellStyle name="20% - Accent3 2 9 3" xfId="17942"/>
    <cellStyle name="20% - Accent3 2 9 3 2" xfId="27658"/>
    <cellStyle name="20% - Accent3 2 9 3 2 2" xfId="47412"/>
    <cellStyle name="20% - Accent3 2 9 3 3" xfId="37768"/>
    <cellStyle name="20% - Accent3 2 9 4" xfId="22848"/>
    <cellStyle name="20% - Accent3 2 9 4 2" xfId="42603"/>
    <cellStyle name="20% - Accent3 2 9 5" xfId="32959"/>
    <cellStyle name="20% - Accent3 20" xfId="20717"/>
    <cellStyle name="20% - Accent3 20 2" xfId="40497"/>
    <cellStyle name="20% - Accent3 21" xfId="30361"/>
    <cellStyle name="20% - Accent3 21 2" xfId="50110"/>
    <cellStyle name="20% - Accent3 22" xfId="30771"/>
    <cellStyle name="20% - Accent3 22 2" xfId="50510"/>
    <cellStyle name="20% - Accent3 23" xfId="30828"/>
    <cellStyle name="20% - Accent3 24" xfId="30785"/>
    <cellStyle name="20% - Accent3 25" xfId="50526"/>
    <cellStyle name="20% - Accent3 3" xfId="47"/>
    <cellStyle name="20% - Accent3 3 10" xfId="2647"/>
    <cellStyle name="20% - Accent3 3 10 2" xfId="2648"/>
    <cellStyle name="20% - Accent3 3 10 2 2" xfId="17945"/>
    <cellStyle name="20% - Accent3 3 10 2 2 2" xfId="27661"/>
    <cellStyle name="20% - Accent3 3 10 2 2 2 2" xfId="47415"/>
    <cellStyle name="20% - Accent3 3 10 2 2 3" xfId="37771"/>
    <cellStyle name="20% - Accent3 3 10 2 3" xfId="22851"/>
    <cellStyle name="20% - Accent3 3 10 2 3 2" xfId="42606"/>
    <cellStyle name="20% - Accent3 3 10 2 4" xfId="32962"/>
    <cellStyle name="20% - Accent3 3 10 3" xfId="17944"/>
    <cellStyle name="20% - Accent3 3 10 3 2" xfId="27660"/>
    <cellStyle name="20% - Accent3 3 10 3 2 2" xfId="47414"/>
    <cellStyle name="20% - Accent3 3 10 3 3" xfId="37770"/>
    <cellStyle name="20% - Accent3 3 10 4" xfId="22850"/>
    <cellStyle name="20% - Accent3 3 10 4 2" xfId="42605"/>
    <cellStyle name="20% - Accent3 3 10 5" xfId="32961"/>
    <cellStyle name="20% - Accent3 3 11" xfId="2649"/>
    <cellStyle name="20% - Accent3 3 11 2" xfId="17946"/>
    <cellStyle name="20% - Accent3 3 11 2 2" xfId="27662"/>
    <cellStyle name="20% - Accent3 3 11 2 2 2" xfId="47416"/>
    <cellStyle name="20% - Accent3 3 11 2 3" xfId="37772"/>
    <cellStyle name="20% - Accent3 3 11 3" xfId="22852"/>
    <cellStyle name="20% - Accent3 3 11 3 2" xfId="42607"/>
    <cellStyle name="20% - Accent3 3 11 4" xfId="32963"/>
    <cellStyle name="20% - Accent3 3 12" xfId="2650"/>
    <cellStyle name="20% - Accent3 3 12 2" xfId="17947"/>
    <cellStyle name="20% - Accent3 3 12 2 2" xfId="27663"/>
    <cellStyle name="20% - Accent3 3 12 2 2 2" xfId="47417"/>
    <cellStyle name="20% - Accent3 3 12 2 3" xfId="37773"/>
    <cellStyle name="20% - Accent3 3 12 3" xfId="22853"/>
    <cellStyle name="20% - Accent3 3 12 3 2" xfId="42608"/>
    <cellStyle name="20% - Accent3 3 12 4" xfId="32964"/>
    <cellStyle name="20% - Accent3 3 13" xfId="2651"/>
    <cellStyle name="20% - Accent3 3 13 2" xfId="17948"/>
    <cellStyle name="20% - Accent3 3 13 2 2" xfId="27664"/>
    <cellStyle name="20% - Accent3 3 13 2 2 2" xfId="47418"/>
    <cellStyle name="20% - Accent3 3 13 2 3" xfId="37774"/>
    <cellStyle name="20% - Accent3 3 13 3" xfId="22854"/>
    <cellStyle name="20% - Accent3 3 13 3 2" xfId="42609"/>
    <cellStyle name="20% - Accent3 3 13 4" xfId="32965"/>
    <cellStyle name="20% - Accent3 3 2" xfId="2652"/>
    <cellStyle name="20% - Accent3 3 2 10" xfId="2653"/>
    <cellStyle name="20% - Accent3 3 2 10 2" xfId="17950"/>
    <cellStyle name="20% - Accent3 3 2 10 2 2" xfId="27666"/>
    <cellStyle name="20% - Accent3 3 2 10 2 2 2" xfId="47420"/>
    <cellStyle name="20% - Accent3 3 2 10 2 3" xfId="37776"/>
    <cellStyle name="20% - Accent3 3 2 10 3" xfId="22856"/>
    <cellStyle name="20% - Accent3 3 2 10 3 2" xfId="42611"/>
    <cellStyle name="20% - Accent3 3 2 10 4" xfId="32967"/>
    <cellStyle name="20% - Accent3 3 2 11" xfId="2654"/>
    <cellStyle name="20% - Accent3 3 2 11 2" xfId="17951"/>
    <cellStyle name="20% - Accent3 3 2 11 2 2" xfId="27667"/>
    <cellStyle name="20% - Accent3 3 2 11 2 2 2" xfId="47421"/>
    <cellStyle name="20% - Accent3 3 2 11 2 3" xfId="37777"/>
    <cellStyle name="20% - Accent3 3 2 11 3" xfId="22857"/>
    <cellStyle name="20% - Accent3 3 2 11 3 2" xfId="42612"/>
    <cellStyle name="20% - Accent3 3 2 11 4" xfId="32968"/>
    <cellStyle name="20% - Accent3 3 2 12" xfId="17949"/>
    <cellStyle name="20% - Accent3 3 2 12 2" xfId="27665"/>
    <cellStyle name="20% - Accent3 3 2 12 2 2" xfId="47419"/>
    <cellStyle name="20% - Accent3 3 2 12 3" xfId="37775"/>
    <cellStyle name="20% - Accent3 3 2 13" xfId="22855"/>
    <cellStyle name="20% - Accent3 3 2 13 2" xfId="42610"/>
    <cellStyle name="20% - Accent3 3 2 14" xfId="32966"/>
    <cellStyle name="20% - Accent3 3 2 2" xfId="2655"/>
    <cellStyle name="20% - Accent3 3 2 2 10" xfId="2656"/>
    <cellStyle name="20% - Accent3 3 2 2 10 2" xfId="17953"/>
    <cellStyle name="20% - Accent3 3 2 2 10 2 2" xfId="27669"/>
    <cellStyle name="20% - Accent3 3 2 2 10 2 2 2" xfId="47423"/>
    <cellStyle name="20% - Accent3 3 2 2 10 2 3" xfId="37779"/>
    <cellStyle name="20% - Accent3 3 2 2 10 3" xfId="22859"/>
    <cellStyle name="20% - Accent3 3 2 2 10 3 2" xfId="42614"/>
    <cellStyle name="20% - Accent3 3 2 2 10 4" xfId="32970"/>
    <cellStyle name="20% - Accent3 3 2 2 11" xfId="17952"/>
    <cellStyle name="20% - Accent3 3 2 2 11 2" xfId="27668"/>
    <cellStyle name="20% - Accent3 3 2 2 11 2 2" xfId="47422"/>
    <cellStyle name="20% - Accent3 3 2 2 11 3" xfId="37778"/>
    <cellStyle name="20% - Accent3 3 2 2 12" xfId="22858"/>
    <cellStyle name="20% - Accent3 3 2 2 12 2" xfId="42613"/>
    <cellStyle name="20% - Accent3 3 2 2 13" xfId="32969"/>
    <cellStyle name="20% - Accent3 3 2 2 2" xfId="2657"/>
    <cellStyle name="20% - Accent3 3 2 2 2 10" xfId="32971"/>
    <cellStyle name="20% - Accent3 3 2 2 2 2" xfId="2658"/>
    <cellStyle name="20% - Accent3 3 2 2 2 2 2" xfId="2659"/>
    <cellStyle name="20% - Accent3 3 2 2 2 2 2 2" xfId="2660"/>
    <cellStyle name="20% - Accent3 3 2 2 2 2 2 2 2" xfId="2661"/>
    <cellStyle name="20% - Accent3 3 2 2 2 2 2 2 2 2" xfId="17958"/>
    <cellStyle name="20% - Accent3 3 2 2 2 2 2 2 2 2 2" xfId="27674"/>
    <cellStyle name="20% - Accent3 3 2 2 2 2 2 2 2 2 2 2" xfId="47428"/>
    <cellStyle name="20% - Accent3 3 2 2 2 2 2 2 2 2 3" xfId="37784"/>
    <cellStyle name="20% - Accent3 3 2 2 2 2 2 2 2 3" xfId="22864"/>
    <cellStyle name="20% - Accent3 3 2 2 2 2 2 2 2 3 2" xfId="42619"/>
    <cellStyle name="20% - Accent3 3 2 2 2 2 2 2 2 4" xfId="32975"/>
    <cellStyle name="20% - Accent3 3 2 2 2 2 2 2 3" xfId="17957"/>
    <cellStyle name="20% - Accent3 3 2 2 2 2 2 2 3 2" xfId="27673"/>
    <cellStyle name="20% - Accent3 3 2 2 2 2 2 2 3 2 2" xfId="47427"/>
    <cellStyle name="20% - Accent3 3 2 2 2 2 2 2 3 3" xfId="37783"/>
    <cellStyle name="20% - Accent3 3 2 2 2 2 2 2 4" xfId="22863"/>
    <cellStyle name="20% - Accent3 3 2 2 2 2 2 2 4 2" xfId="42618"/>
    <cellStyle name="20% - Accent3 3 2 2 2 2 2 2 5" xfId="32974"/>
    <cellStyle name="20% - Accent3 3 2 2 2 2 2 3" xfId="2662"/>
    <cellStyle name="20% - Accent3 3 2 2 2 2 2 3 2" xfId="17959"/>
    <cellStyle name="20% - Accent3 3 2 2 2 2 2 3 2 2" xfId="27675"/>
    <cellStyle name="20% - Accent3 3 2 2 2 2 2 3 2 2 2" xfId="47429"/>
    <cellStyle name="20% - Accent3 3 2 2 2 2 2 3 2 3" xfId="37785"/>
    <cellStyle name="20% - Accent3 3 2 2 2 2 2 3 3" xfId="22865"/>
    <cellStyle name="20% - Accent3 3 2 2 2 2 2 3 3 2" xfId="42620"/>
    <cellStyle name="20% - Accent3 3 2 2 2 2 2 3 4" xfId="32976"/>
    <cellStyle name="20% - Accent3 3 2 2 2 2 2 4" xfId="17956"/>
    <cellStyle name="20% - Accent3 3 2 2 2 2 2 4 2" xfId="27672"/>
    <cellStyle name="20% - Accent3 3 2 2 2 2 2 4 2 2" xfId="47426"/>
    <cellStyle name="20% - Accent3 3 2 2 2 2 2 4 3" xfId="37782"/>
    <cellStyle name="20% - Accent3 3 2 2 2 2 2 5" xfId="22862"/>
    <cellStyle name="20% - Accent3 3 2 2 2 2 2 5 2" xfId="42617"/>
    <cellStyle name="20% - Accent3 3 2 2 2 2 2 6" xfId="32973"/>
    <cellStyle name="20% - Accent3 3 2 2 2 2 3" xfId="2663"/>
    <cellStyle name="20% - Accent3 3 2 2 2 2 3 2" xfId="2664"/>
    <cellStyle name="20% - Accent3 3 2 2 2 2 3 2 2" xfId="17961"/>
    <cellStyle name="20% - Accent3 3 2 2 2 2 3 2 2 2" xfId="27677"/>
    <cellStyle name="20% - Accent3 3 2 2 2 2 3 2 2 2 2" xfId="47431"/>
    <cellStyle name="20% - Accent3 3 2 2 2 2 3 2 2 3" xfId="37787"/>
    <cellStyle name="20% - Accent3 3 2 2 2 2 3 2 3" xfId="22867"/>
    <cellStyle name="20% - Accent3 3 2 2 2 2 3 2 3 2" xfId="42622"/>
    <cellStyle name="20% - Accent3 3 2 2 2 2 3 2 4" xfId="32978"/>
    <cellStyle name="20% - Accent3 3 2 2 2 2 3 3" xfId="17960"/>
    <cellStyle name="20% - Accent3 3 2 2 2 2 3 3 2" xfId="27676"/>
    <cellStyle name="20% - Accent3 3 2 2 2 2 3 3 2 2" xfId="47430"/>
    <cellStyle name="20% - Accent3 3 2 2 2 2 3 3 3" xfId="37786"/>
    <cellStyle name="20% - Accent3 3 2 2 2 2 3 4" xfId="22866"/>
    <cellStyle name="20% - Accent3 3 2 2 2 2 3 4 2" xfId="42621"/>
    <cellStyle name="20% - Accent3 3 2 2 2 2 3 5" xfId="32977"/>
    <cellStyle name="20% - Accent3 3 2 2 2 2 4" xfId="2665"/>
    <cellStyle name="20% - Accent3 3 2 2 2 2 4 2" xfId="17962"/>
    <cellStyle name="20% - Accent3 3 2 2 2 2 4 2 2" xfId="27678"/>
    <cellStyle name="20% - Accent3 3 2 2 2 2 4 2 2 2" xfId="47432"/>
    <cellStyle name="20% - Accent3 3 2 2 2 2 4 2 3" xfId="37788"/>
    <cellStyle name="20% - Accent3 3 2 2 2 2 4 3" xfId="22868"/>
    <cellStyle name="20% - Accent3 3 2 2 2 2 4 3 2" xfId="42623"/>
    <cellStyle name="20% - Accent3 3 2 2 2 2 4 4" xfId="32979"/>
    <cellStyle name="20% - Accent3 3 2 2 2 2 5" xfId="17955"/>
    <cellStyle name="20% - Accent3 3 2 2 2 2 5 2" xfId="27671"/>
    <cellStyle name="20% - Accent3 3 2 2 2 2 5 2 2" xfId="47425"/>
    <cellStyle name="20% - Accent3 3 2 2 2 2 5 3" xfId="37781"/>
    <cellStyle name="20% - Accent3 3 2 2 2 2 6" xfId="22861"/>
    <cellStyle name="20% - Accent3 3 2 2 2 2 6 2" xfId="42616"/>
    <cellStyle name="20% - Accent3 3 2 2 2 2 7" xfId="32972"/>
    <cellStyle name="20% - Accent3 3 2 2 2 3" xfId="2666"/>
    <cellStyle name="20% - Accent3 3 2 2 2 3 2" xfId="2667"/>
    <cellStyle name="20% - Accent3 3 2 2 2 3 2 2" xfId="2668"/>
    <cellStyle name="20% - Accent3 3 2 2 2 3 2 2 2" xfId="17965"/>
    <cellStyle name="20% - Accent3 3 2 2 2 3 2 2 2 2" xfId="27681"/>
    <cellStyle name="20% - Accent3 3 2 2 2 3 2 2 2 2 2" xfId="47435"/>
    <cellStyle name="20% - Accent3 3 2 2 2 3 2 2 2 3" xfId="37791"/>
    <cellStyle name="20% - Accent3 3 2 2 2 3 2 2 3" xfId="22871"/>
    <cellStyle name="20% - Accent3 3 2 2 2 3 2 2 3 2" xfId="42626"/>
    <cellStyle name="20% - Accent3 3 2 2 2 3 2 2 4" xfId="32982"/>
    <cellStyle name="20% - Accent3 3 2 2 2 3 2 3" xfId="17964"/>
    <cellStyle name="20% - Accent3 3 2 2 2 3 2 3 2" xfId="27680"/>
    <cellStyle name="20% - Accent3 3 2 2 2 3 2 3 2 2" xfId="47434"/>
    <cellStyle name="20% - Accent3 3 2 2 2 3 2 3 3" xfId="37790"/>
    <cellStyle name="20% - Accent3 3 2 2 2 3 2 4" xfId="22870"/>
    <cellStyle name="20% - Accent3 3 2 2 2 3 2 4 2" xfId="42625"/>
    <cellStyle name="20% - Accent3 3 2 2 2 3 2 5" xfId="32981"/>
    <cellStyle name="20% - Accent3 3 2 2 2 3 3" xfId="2669"/>
    <cellStyle name="20% - Accent3 3 2 2 2 3 3 2" xfId="17966"/>
    <cellStyle name="20% - Accent3 3 2 2 2 3 3 2 2" xfId="27682"/>
    <cellStyle name="20% - Accent3 3 2 2 2 3 3 2 2 2" xfId="47436"/>
    <cellStyle name="20% - Accent3 3 2 2 2 3 3 2 3" xfId="37792"/>
    <cellStyle name="20% - Accent3 3 2 2 2 3 3 3" xfId="22872"/>
    <cellStyle name="20% - Accent3 3 2 2 2 3 3 3 2" xfId="42627"/>
    <cellStyle name="20% - Accent3 3 2 2 2 3 3 4" xfId="32983"/>
    <cellStyle name="20% - Accent3 3 2 2 2 3 4" xfId="17963"/>
    <cellStyle name="20% - Accent3 3 2 2 2 3 4 2" xfId="27679"/>
    <cellStyle name="20% - Accent3 3 2 2 2 3 4 2 2" xfId="47433"/>
    <cellStyle name="20% - Accent3 3 2 2 2 3 4 3" xfId="37789"/>
    <cellStyle name="20% - Accent3 3 2 2 2 3 5" xfId="22869"/>
    <cellStyle name="20% - Accent3 3 2 2 2 3 5 2" xfId="42624"/>
    <cellStyle name="20% - Accent3 3 2 2 2 3 6" xfId="32980"/>
    <cellStyle name="20% - Accent3 3 2 2 2 4" xfId="2670"/>
    <cellStyle name="20% - Accent3 3 2 2 2 4 2" xfId="2671"/>
    <cellStyle name="20% - Accent3 3 2 2 2 4 2 2" xfId="17968"/>
    <cellStyle name="20% - Accent3 3 2 2 2 4 2 2 2" xfId="27684"/>
    <cellStyle name="20% - Accent3 3 2 2 2 4 2 2 2 2" xfId="47438"/>
    <cellStyle name="20% - Accent3 3 2 2 2 4 2 2 3" xfId="37794"/>
    <cellStyle name="20% - Accent3 3 2 2 2 4 2 3" xfId="22874"/>
    <cellStyle name="20% - Accent3 3 2 2 2 4 2 3 2" xfId="42629"/>
    <cellStyle name="20% - Accent3 3 2 2 2 4 2 4" xfId="32985"/>
    <cellStyle name="20% - Accent3 3 2 2 2 4 3" xfId="17967"/>
    <cellStyle name="20% - Accent3 3 2 2 2 4 3 2" xfId="27683"/>
    <cellStyle name="20% - Accent3 3 2 2 2 4 3 2 2" xfId="47437"/>
    <cellStyle name="20% - Accent3 3 2 2 2 4 3 3" xfId="37793"/>
    <cellStyle name="20% - Accent3 3 2 2 2 4 4" xfId="22873"/>
    <cellStyle name="20% - Accent3 3 2 2 2 4 4 2" xfId="42628"/>
    <cellStyle name="20% - Accent3 3 2 2 2 4 5" xfId="32984"/>
    <cellStyle name="20% - Accent3 3 2 2 2 5" xfId="2672"/>
    <cellStyle name="20% - Accent3 3 2 2 2 5 2" xfId="17969"/>
    <cellStyle name="20% - Accent3 3 2 2 2 5 2 2" xfId="27685"/>
    <cellStyle name="20% - Accent3 3 2 2 2 5 2 2 2" xfId="47439"/>
    <cellStyle name="20% - Accent3 3 2 2 2 5 2 3" xfId="37795"/>
    <cellStyle name="20% - Accent3 3 2 2 2 5 3" xfId="22875"/>
    <cellStyle name="20% - Accent3 3 2 2 2 5 3 2" xfId="42630"/>
    <cellStyle name="20% - Accent3 3 2 2 2 5 4" xfId="32986"/>
    <cellStyle name="20% - Accent3 3 2 2 2 6" xfId="2673"/>
    <cellStyle name="20% - Accent3 3 2 2 2 6 2" xfId="17970"/>
    <cellStyle name="20% - Accent3 3 2 2 2 6 2 2" xfId="27686"/>
    <cellStyle name="20% - Accent3 3 2 2 2 6 2 2 2" xfId="47440"/>
    <cellStyle name="20% - Accent3 3 2 2 2 6 2 3" xfId="37796"/>
    <cellStyle name="20% - Accent3 3 2 2 2 6 3" xfId="22876"/>
    <cellStyle name="20% - Accent3 3 2 2 2 6 3 2" xfId="42631"/>
    <cellStyle name="20% - Accent3 3 2 2 2 6 4" xfId="32987"/>
    <cellStyle name="20% - Accent3 3 2 2 2 7" xfId="2674"/>
    <cellStyle name="20% - Accent3 3 2 2 2 7 2" xfId="17971"/>
    <cellStyle name="20% - Accent3 3 2 2 2 7 2 2" xfId="27687"/>
    <cellStyle name="20% - Accent3 3 2 2 2 7 2 2 2" xfId="47441"/>
    <cellStyle name="20% - Accent3 3 2 2 2 7 2 3" xfId="37797"/>
    <cellStyle name="20% - Accent3 3 2 2 2 7 3" xfId="22877"/>
    <cellStyle name="20% - Accent3 3 2 2 2 7 3 2" xfId="42632"/>
    <cellStyle name="20% - Accent3 3 2 2 2 7 4" xfId="32988"/>
    <cellStyle name="20% - Accent3 3 2 2 2 8" xfId="17954"/>
    <cellStyle name="20% - Accent3 3 2 2 2 8 2" xfId="27670"/>
    <cellStyle name="20% - Accent3 3 2 2 2 8 2 2" xfId="47424"/>
    <cellStyle name="20% - Accent3 3 2 2 2 8 3" xfId="37780"/>
    <cellStyle name="20% - Accent3 3 2 2 2 9" xfId="22860"/>
    <cellStyle name="20% - Accent3 3 2 2 2 9 2" xfId="42615"/>
    <cellStyle name="20% - Accent3 3 2 2 3" xfId="2675"/>
    <cellStyle name="20% - Accent3 3 2 2 3 2" xfId="2676"/>
    <cellStyle name="20% - Accent3 3 2 2 3 2 2" xfId="2677"/>
    <cellStyle name="20% - Accent3 3 2 2 3 2 2 2" xfId="2678"/>
    <cellStyle name="20% - Accent3 3 2 2 3 2 2 2 2" xfId="17975"/>
    <cellStyle name="20% - Accent3 3 2 2 3 2 2 2 2 2" xfId="27691"/>
    <cellStyle name="20% - Accent3 3 2 2 3 2 2 2 2 2 2" xfId="47445"/>
    <cellStyle name="20% - Accent3 3 2 2 3 2 2 2 2 3" xfId="37801"/>
    <cellStyle name="20% - Accent3 3 2 2 3 2 2 2 3" xfId="22881"/>
    <cellStyle name="20% - Accent3 3 2 2 3 2 2 2 3 2" xfId="42636"/>
    <cellStyle name="20% - Accent3 3 2 2 3 2 2 2 4" xfId="32992"/>
    <cellStyle name="20% - Accent3 3 2 2 3 2 2 3" xfId="17974"/>
    <cellStyle name="20% - Accent3 3 2 2 3 2 2 3 2" xfId="27690"/>
    <cellStyle name="20% - Accent3 3 2 2 3 2 2 3 2 2" xfId="47444"/>
    <cellStyle name="20% - Accent3 3 2 2 3 2 2 3 3" xfId="37800"/>
    <cellStyle name="20% - Accent3 3 2 2 3 2 2 4" xfId="22880"/>
    <cellStyle name="20% - Accent3 3 2 2 3 2 2 4 2" xfId="42635"/>
    <cellStyle name="20% - Accent3 3 2 2 3 2 2 5" xfId="32991"/>
    <cellStyle name="20% - Accent3 3 2 2 3 2 3" xfId="2679"/>
    <cellStyle name="20% - Accent3 3 2 2 3 2 3 2" xfId="17976"/>
    <cellStyle name="20% - Accent3 3 2 2 3 2 3 2 2" xfId="27692"/>
    <cellStyle name="20% - Accent3 3 2 2 3 2 3 2 2 2" xfId="47446"/>
    <cellStyle name="20% - Accent3 3 2 2 3 2 3 2 3" xfId="37802"/>
    <cellStyle name="20% - Accent3 3 2 2 3 2 3 3" xfId="22882"/>
    <cellStyle name="20% - Accent3 3 2 2 3 2 3 3 2" xfId="42637"/>
    <cellStyle name="20% - Accent3 3 2 2 3 2 3 4" xfId="32993"/>
    <cellStyle name="20% - Accent3 3 2 2 3 2 4" xfId="17973"/>
    <cellStyle name="20% - Accent3 3 2 2 3 2 4 2" xfId="27689"/>
    <cellStyle name="20% - Accent3 3 2 2 3 2 4 2 2" xfId="47443"/>
    <cellStyle name="20% - Accent3 3 2 2 3 2 4 3" xfId="37799"/>
    <cellStyle name="20% - Accent3 3 2 2 3 2 5" xfId="22879"/>
    <cellStyle name="20% - Accent3 3 2 2 3 2 5 2" xfId="42634"/>
    <cellStyle name="20% - Accent3 3 2 2 3 2 6" xfId="32990"/>
    <cellStyle name="20% - Accent3 3 2 2 3 3" xfId="2680"/>
    <cellStyle name="20% - Accent3 3 2 2 3 3 2" xfId="2681"/>
    <cellStyle name="20% - Accent3 3 2 2 3 3 2 2" xfId="17978"/>
    <cellStyle name="20% - Accent3 3 2 2 3 3 2 2 2" xfId="27694"/>
    <cellStyle name="20% - Accent3 3 2 2 3 3 2 2 2 2" xfId="47448"/>
    <cellStyle name="20% - Accent3 3 2 2 3 3 2 2 3" xfId="37804"/>
    <cellStyle name="20% - Accent3 3 2 2 3 3 2 3" xfId="22884"/>
    <cellStyle name="20% - Accent3 3 2 2 3 3 2 3 2" xfId="42639"/>
    <cellStyle name="20% - Accent3 3 2 2 3 3 2 4" xfId="32995"/>
    <cellStyle name="20% - Accent3 3 2 2 3 3 3" xfId="17977"/>
    <cellStyle name="20% - Accent3 3 2 2 3 3 3 2" xfId="27693"/>
    <cellStyle name="20% - Accent3 3 2 2 3 3 3 2 2" xfId="47447"/>
    <cellStyle name="20% - Accent3 3 2 2 3 3 3 3" xfId="37803"/>
    <cellStyle name="20% - Accent3 3 2 2 3 3 4" xfId="22883"/>
    <cellStyle name="20% - Accent3 3 2 2 3 3 4 2" xfId="42638"/>
    <cellStyle name="20% - Accent3 3 2 2 3 3 5" xfId="32994"/>
    <cellStyle name="20% - Accent3 3 2 2 3 4" xfId="2682"/>
    <cellStyle name="20% - Accent3 3 2 2 3 4 2" xfId="17979"/>
    <cellStyle name="20% - Accent3 3 2 2 3 4 2 2" xfId="27695"/>
    <cellStyle name="20% - Accent3 3 2 2 3 4 2 2 2" xfId="47449"/>
    <cellStyle name="20% - Accent3 3 2 2 3 4 2 3" xfId="37805"/>
    <cellStyle name="20% - Accent3 3 2 2 3 4 3" xfId="22885"/>
    <cellStyle name="20% - Accent3 3 2 2 3 4 3 2" xfId="42640"/>
    <cellStyle name="20% - Accent3 3 2 2 3 4 4" xfId="32996"/>
    <cellStyle name="20% - Accent3 3 2 2 3 5" xfId="17972"/>
    <cellStyle name="20% - Accent3 3 2 2 3 5 2" xfId="27688"/>
    <cellStyle name="20% - Accent3 3 2 2 3 5 2 2" xfId="47442"/>
    <cellStyle name="20% - Accent3 3 2 2 3 5 3" xfId="37798"/>
    <cellStyle name="20% - Accent3 3 2 2 3 6" xfId="22878"/>
    <cellStyle name="20% - Accent3 3 2 2 3 6 2" xfId="42633"/>
    <cellStyle name="20% - Accent3 3 2 2 3 7" xfId="32989"/>
    <cellStyle name="20% - Accent3 3 2 2 4" xfId="2683"/>
    <cellStyle name="20% - Accent3 3 2 2 4 2" xfId="2684"/>
    <cellStyle name="20% - Accent3 3 2 2 4 2 2" xfId="2685"/>
    <cellStyle name="20% - Accent3 3 2 2 4 2 2 2" xfId="2686"/>
    <cellStyle name="20% - Accent3 3 2 2 4 2 2 2 2" xfId="17983"/>
    <cellStyle name="20% - Accent3 3 2 2 4 2 2 2 2 2" xfId="27699"/>
    <cellStyle name="20% - Accent3 3 2 2 4 2 2 2 2 2 2" xfId="47453"/>
    <cellStyle name="20% - Accent3 3 2 2 4 2 2 2 2 3" xfId="37809"/>
    <cellStyle name="20% - Accent3 3 2 2 4 2 2 2 3" xfId="22889"/>
    <cellStyle name="20% - Accent3 3 2 2 4 2 2 2 3 2" xfId="42644"/>
    <cellStyle name="20% - Accent3 3 2 2 4 2 2 2 4" xfId="33000"/>
    <cellStyle name="20% - Accent3 3 2 2 4 2 2 3" xfId="17982"/>
    <cellStyle name="20% - Accent3 3 2 2 4 2 2 3 2" xfId="27698"/>
    <cellStyle name="20% - Accent3 3 2 2 4 2 2 3 2 2" xfId="47452"/>
    <cellStyle name="20% - Accent3 3 2 2 4 2 2 3 3" xfId="37808"/>
    <cellStyle name="20% - Accent3 3 2 2 4 2 2 4" xfId="22888"/>
    <cellStyle name="20% - Accent3 3 2 2 4 2 2 4 2" xfId="42643"/>
    <cellStyle name="20% - Accent3 3 2 2 4 2 2 5" xfId="32999"/>
    <cellStyle name="20% - Accent3 3 2 2 4 2 3" xfId="2687"/>
    <cellStyle name="20% - Accent3 3 2 2 4 2 3 2" xfId="17984"/>
    <cellStyle name="20% - Accent3 3 2 2 4 2 3 2 2" xfId="27700"/>
    <cellStyle name="20% - Accent3 3 2 2 4 2 3 2 2 2" xfId="47454"/>
    <cellStyle name="20% - Accent3 3 2 2 4 2 3 2 3" xfId="37810"/>
    <cellStyle name="20% - Accent3 3 2 2 4 2 3 3" xfId="22890"/>
    <cellStyle name="20% - Accent3 3 2 2 4 2 3 3 2" xfId="42645"/>
    <cellStyle name="20% - Accent3 3 2 2 4 2 3 4" xfId="33001"/>
    <cellStyle name="20% - Accent3 3 2 2 4 2 4" xfId="17981"/>
    <cellStyle name="20% - Accent3 3 2 2 4 2 4 2" xfId="27697"/>
    <cellStyle name="20% - Accent3 3 2 2 4 2 4 2 2" xfId="47451"/>
    <cellStyle name="20% - Accent3 3 2 2 4 2 4 3" xfId="37807"/>
    <cellStyle name="20% - Accent3 3 2 2 4 2 5" xfId="22887"/>
    <cellStyle name="20% - Accent3 3 2 2 4 2 5 2" xfId="42642"/>
    <cellStyle name="20% - Accent3 3 2 2 4 2 6" xfId="32998"/>
    <cellStyle name="20% - Accent3 3 2 2 4 3" xfId="2688"/>
    <cellStyle name="20% - Accent3 3 2 2 4 3 2" xfId="2689"/>
    <cellStyle name="20% - Accent3 3 2 2 4 3 2 2" xfId="17986"/>
    <cellStyle name="20% - Accent3 3 2 2 4 3 2 2 2" xfId="27702"/>
    <cellStyle name="20% - Accent3 3 2 2 4 3 2 2 2 2" xfId="47456"/>
    <cellStyle name="20% - Accent3 3 2 2 4 3 2 2 3" xfId="37812"/>
    <cellStyle name="20% - Accent3 3 2 2 4 3 2 3" xfId="22892"/>
    <cellStyle name="20% - Accent3 3 2 2 4 3 2 3 2" xfId="42647"/>
    <cellStyle name="20% - Accent3 3 2 2 4 3 2 4" xfId="33003"/>
    <cellStyle name="20% - Accent3 3 2 2 4 3 3" xfId="17985"/>
    <cellStyle name="20% - Accent3 3 2 2 4 3 3 2" xfId="27701"/>
    <cellStyle name="20% - Accent3 3 2 2 4 3 3 2 2" xfId="47455"/>
    <cellStyle name="20% - Accent3 3 2 2 4 3 3 3" xfId="37811"/>
    <cellStyle name="20% - Accent3 3 2 2 4 3 4" xfId="22891"/>
    <cellStyle name="20% - Accent3 3 2 2 4 3 4 2" xfId="42646"/>
    <cellStyle name="20% - Accent3 3 2 2 4 3 5" xfId="33002"/>
    <cellStyle name="20% - Accent3 3 2 2 4 4" xfId="2690"/>
    <cellStyle name="20% - Accent3 3 2 2 4 4 2" xfId="17987"/>
    <cellStyle name="20% - Accent3 3 2 2 4 4 2 2" xfId="27703"/>
    <cellStyle name="20% - Accent3 3 2 2 4 4 2 2 2" xfId="47457"/>
    <cellStyle name="20% - Accent3 3 2 2 4 4 2 3" xfId="37813"/>
    <cellStyle name="20% - Accent3 3 2 2 4 4 3" xfId="22893"/>
    <cellStyle name="20% - Accent3 3 2 2 4 4 3 2" xfId="42648"/>
    <cellStyle name="20% - Accent3 3 2 2 4 4 4" xfId="33004"/>
    <cellStyle name="20% - Accent3 3 2 2 4 5" xfId="17980"/>
    <cellStyle name="20% - Accent3 3 2 2 4 5 2" xfId="27696"/>
    <cellStyle name="20% - Accent3 3 2 2 4 5 2 2" xfId="47450"/>
    <cellStyle name="20% - Accent3 3 2 2 4 5 3" xfId="37806"/>
    <cellStyle name="20% - Accent3 3 2 2 4 6" xfId="22886"/>
    <cellStyle name="20% - Accent3 3 2 2 4 6 2" xfId="42641"/>
    <cellStyle name="20% - Accent3 3 2 2 4 7" xfId="32997"/>
    <cellStyle name="20% - Accent3 3 2 2 5" xfId="2691"/>
    <cellStyle name="20% - Accent3 3 2 2 5 2" xfId="2692"/>
    <cellStyle name="20% - Accent3 3 2 2 5 2 2" xfId="2693"/>
    <cellStyle name="20% - Accent3 3 2 2 5 2 2 2" xfId="17990"/>
    <cellStyle name="20% - Accent3 3 2 2 5 2 2 2 2" xfId="27706"/>
    <cellStyle name="20% - Accent3 3 2 2 5 2 2 2 2 2" xfId="47460"/>
    <cellStyle name="20% - Accent3 3 2 2 5 2 2 2 3" xfId="37816"/>
    <cellStyle name="20% - Accent3 3 2 2 5 2 2 3" xfId="22896"/>
    <cellStyle name="20% - Accent3 3 2 2 5 2 2 3 2" xfId="42651"/>
    <cellStyle name="20% - Accent3 3 2 2 5 2 2 4" xfId="33007"/>
    <cellStyle name="20% - Accent3 3 2 2 5 2 3" xfId="17989"/>
    <cellStyle name="20% - Accent3 3 2 2 5 2 3 2" xfId="27705"/>
    <cellStyle name="20% - Accent3 3 2 2 5 2 3 2 2" xfId="47459"/>
    <cellStyle name="20% - Accent3 3 2 2 5 2 3 3" xfId="37815"/>
    <cellStyle name="20% - Accent3 3 2 2 5 2 4" xfId="22895"/>
    <cellStyle name="20% - Accent3 3 2 2 5 2 4 2" xfId="42650"/>
    <cellStyle name="20% - Accent3 3 2 2 5 2 5" xfId="33006"/>
    <cellStyle name="20% - Accent3 3 2 2 5 3" xfId="2694"/>
    <cellStyle name="20% - Accent3 3 2 2 5 3 2" xfId="17991"/>
    <cellStyle name="20% - Accent3 3 2 2 5 3 2 2" xfId="27707"/>
    <cellStyle name="20% - Accent3 3 2 2 5 3 2 2 2" xfId="47461"/>
    <cellStyle name="20% - Accent3 3 2 2 5 3 2 3" xfId="37817"/>
    <cellStyle name="20% - Accent3 3 2 2 5 3 3" xfId="22897"/>
    <cellStyle name="20% - Accent3 3 2 2 5 3 3 2" xfId="42652"/>
    <cellStyle name="20% - Accent3 3 2 2 5 3 4" xfId="33008"/>
    <cellStyle name="20% - Accent3 3 2 2 5 4" xfId="17988"/>
    <cellStyle name="20% - Accent3 3 2 2 5 4 2" xfId="27704"/>
    <cellStyle name="20% - Accent3 3 2 2 5 4 2 2" xfId="47458"/>
    <cellStyle name="20% - Accent3 3 2 2 5 4 3" xfId="37814"/>
    <cellStyle name="20% - Accent3 3 2 2 5 5" xfId="22894"/>
    <cellStyle name="20% - Accent3 3 2 2 5 5 2" xfId="42649"/>
    <cellStyle name="20% - Accent3 3 2 2 5 6" xfId="33005"/>
    <cellStyle name="20% - Accent3 3 2 2 6" xfId="2695"/>
    <cellStyle name="20% - Accent3 3 2 2 6 2" xfId="2696"/>
    <cellStyle name="20% - Accent3 3 2 2 6 2 2" xfId="17993"/>
    <cellStyle name="20% - Accent3 3 2 2 6 2 2 2" xfId="27709"/>
    <cellStyle name="20% - Accent3 3 2 2 6 2 2 2 2" xfId="47463"/>
    <cellStyle name="20% - Accent3 3 2 2 6 2 2 3" xfId="37819"/>
    <cellStyle name="20% - Accent3 3 2 2 6 2 3" xfId="22899"/>
    <cellStyle name="20% - Accent3 3 2 2 6 2 3 2" xfId="42654"/>
    <cellStyle name="20% - Accent3 3 2 2 6 2 4" xfId="33010"/>
    <cellStyle name="20% - Accent3 3 2 2 6 3" xfId="17992"/>
    <cellStyle name="20% - Accent3 3 2 2 6 3 2" xfId="27708"/>
    <cellStyle name="20% - Accent3 3 2 2 6 3 2 2" xfId="47462"/>
    <cellStyle name="20% - Accent3 3 2 2 6 3 3" xfId="37818"/>
    <cellStyle name="20% - Accent3 3 2 2 6 4" xfId="22898"/>
    <cellStyle name="20% - Accent3 3 2 2 6 4 2" xfId="42653"/>
    <cellStyle name="20% - Accent3 3 2 2 6 5" xfId="33009"/>
    <cellStyle name="20% - Accent3 3 2 2 7" xfId="2697"/>
    <cellStyle name="20% - Accent3 3 2 2 7 2" xfId="2698"/>
    <cellStyle name="20% - Accent3 3 2 2 7 2 2" xfId="17995"/>
    <cellStyle name="20% - Accent3 3 2 2 7 2 2 2" xfId="27711"/>
    <cellStyle name="20% - Accent3 3 2 2 7 2 2 2 2" xfId="47465"/>
    <cellStyle name="20% - Accent3 3 2 2 7 2 2 3" xfId="37821"/>
    <cellStyle name="20% - Accent3 3 2 2 7 2 3" xfId="22901"/>
    <cellStyle name="20% - Accent3 3 2 2 7 2 3 2" xfId="42656"/>
    <cellStyle name="20% - Accent3 3 2 2 7 2 4" xfId="33012"/>
    <cellStyle name="20% - Accent3 3 2 2 7 3" xfId="17994"/>
    <cellStyle name="20% - Accent3 3 2 2 7 3 2" xfId="27710"/>
    <cellStyle name="20% - Accent3 3 2 2 7 3 2 2" xfId="47464"/>
    <cellStyle name="20% - Accent3 3 2 2 7 3 3" xfId="37820"/>
    <cellStyle name="20% - Accent3 3 2 2 7 4" xfId="22900"/>
    <cellStyle name="20% - Accent3 3 2 2 7 4 2" xfId="42655"/>
    <cellStyle name="20% - Accent3 3 2 2 7 5" xfId="33011"/>
    <cellStyle name="20% - Accent3 3 2 2 8" xfId="2699"/>
    <cellStyle name="20% - Accent3 3 2 2 8 2" xfId="17996"/>
    <cellStyle name="20% - Accent3 3 2 2 8 2 2" xfId="27712"/>
    <cellStyle name="20% - Accent3 3 2 2 8 2 2 2" xfId="47466"/>
    <cellStyle name="20% - Accent3 3 2 2 8 2 3" xfId="37822"/>
    <cellStyle name="20% - Accent3 3 2 2 8 3" xfId="22902"/>
    <cellStyle name="20% - Accent3 3 2 2 8 3 2" xfId="42657"/>
    <cellStyle name="20% - Accent3 3 2 2 8 4" xfId="33013"/>
    <cellStyle name="20% - Accent3 3 2 2 9" xfId="2700"/>
    <cellStyle name="20% - Accent3 3 2 2 9 2" xfId="17997"/>
    <cellStyle name="20% - Accent3 3 2 2 9 2 2" xfId="27713"/>
    <cellStyle name="20% - Accent3 3 2 2 9 2 2 2" xfId="47467"/>
    <cellStyle name="20% - Accent3 3 2 2 9 2 3" xfId="37823"/>
    <cellStyle name="20% - Accent3 3 2 2 9 3" xfId="22903"/>
    <cellStyle name="20% - Accent3 3 2 2 9 3 2" xfId="42658"/>
    <cellStyle name="20% - Accent3 3 2 2 9 4" xfId="33014"/>
    <cellStyle name="20% - Accent3 3 2 3" xfId="2701"/>
    <cellStyle name="20% - Accent3 3 2 3 10" xfId="33015"/>
    <cellStyle name="20% - Accent3 3 2 3 2" xfId="2702"/>
    <cellStyle name="20% - Accent3 3 2 3 2 2" xfId="2703"/>
    <cellStyle name="20% - Accent3 3 2 3 2 2 2" xfId="2704"/>
    <cellStyle name="20% - Accent3 3 2 3 2 2 2 2" xfId="2705"/>
    <cellStyle name="20% - Accent3 3 2 3 2 2 2 2 2" xfId="18002"/>
    <cellStyle name="20% - Accent3 3 2 3 2 2 2 2 2 2" xfId="27718"/>
    <cellStyle name="20% - Accent3 3 2 3 2 2 2 2 2 2 2" xfId="47472"/>
    <cellStyle name="20% - Accent3 3 2 3 2 2 2 2 2 3" xfId="37828"/>
    <cellStyle name="20% - Accent3 3 2 3 2 2 2 2 3" xfId="22908"/>
    <cellStyle name="20% - Accent3 3 2 3 2 2 2 2 3 2" xfId="42663"/>
    <cellStyle name="20% - Accent3 3 2 3 2 2 2 2 4" xfId="33019"/>
    <cellStyle name="20% - Accent3 3 2 3 2 2 2 3" xfId="18001"/>
    <cellStyle name="20% - Accent3 3 2 3 2 2 2 3 2" xfId="27717"/>
    <cellStyle name="20% - Accent3 3 2 3 2 2 2 3 2 2" xfId="47471"/>
    <cellStyle name="20% - Accent3 3 2 3 2 2 2 3 3" xfId="37827"/>
    <cellStyle name="20% - Accent3 3 2 3 2 2 2 4" xfId="22907"/>
    <cellStyle name="20% - Accent3 3 2 3 2 2 2 4 2" xfId="42662"/>
    <cellStyle name="20% - Accent3 3 2 3 2 2 2 5" xfId="33018"/>
    <cellStyle name="20% - Accent3 3 2 3 2 2 3" xfId="2706"/>
    <cellStyle name="20% - Accent3 3 2 3 2 2 3 2" xfId="18003"/>
    <cellStyle name="20% - Accent3 3 2 3 2 2 3 2 2" xfId="27719"/>
    <cellStyle name="20% - Accent3 3 2 3 2 2 3 2 2 2" xfId="47473"/>
    <cellStyle name="20% - Accent3 3 2 3 2 2 3 2 3" xfId="37829"/>
    <cellStyle name="20% - Accent3 3 2 3 2 2 3 3" xfId="22909"/>
    <cellStyle name="20% - Accent3 3 2 3 2 2 3 3 2" xfId="42664"/>
    <cellStyle name="20% - Accent3 3 2 3 2 2 3 4" xfId="33020"/>
    <cellStyle name="20% - Accent3 3 2 3 2 2 4" xfId="18000"/>
    <cellStyle name="20% - Accent3 3 2 3 2 2 4 2" xfId="27716"/>
    <cellStyle name="20% - Accent3 3 2 3 2 2 4 2 2" xfId="47470"/>
    <cellStyle name="20% - Accent3 3 2 3 2 2 4 3" xfId="37826"/>
    <cellStyle name="20% - Accent3 3 2 3 2 2 5" xfId="22906"/>
    <cellStyle name="20% - Accent3 3 2 3 2 2 5 2" xfId="42661"/>
    <cellStyle name="20% - Accent3 3 2 3 2 2 6" xfId="33017"/>
    <cellStyle name="20% - Accent3 3 2 3 2 3" xfId="2707"/>
    <cellStyle name="20% - Accent3 3 2 3 2 3 2" xfId="2708"/>
    <cellStyle name="20% - Accent3 3 2 3 2 3 2 2" xfId="18005"/>
    <cellStyle name="20% - Accent3 3 2 3 2 3 2 2 2" xfId="27721"/>
    <cellStyle name="20% - Accent3 3 2 3 2 3 2 2 2 2" xfId="47475"/>
    <cellStyle name="20% - Accent3 3 2 3 2 3 2 2 3" xfId="37831"/>
    <cellStyle name="20% - Accent3 3 2 3 2 3 2 3" xfId="22911"/>
    <cellStyle name="20% - Accent3 3 2 3 2 3 2 3 2" xfId="42666"/>
    <cellStyle name="20% - Accent3 3 2 3 2 3 2 4" xfId="33022"/>
    <cellStyle name="20% - Accent3 3 2 3 2 3 3" xfId="18004"/>
    <cellStyle name="20% - Accent3 3 2 3 2 3 3 2" xfId="27720"/>
    <cellStyle name="20% - Accent3 3 2 3 2 3 3 2 2" xfId="47474"/>
    <cellStyle name="20% - Accent3 3 2 3 2 3 3 3" xfId="37830"/>
    <cellStyle name="20% - Accent3 3 2 3 2 3 4" xfId="22910"/>
    <cellStyle name="20% - Accent3 3 2 3 2 3 4 2" xfId="42665"/>
    <cellStyle name="20% - Accent3 3 2 3 2 3 5" xfId="33021"/>
    <cellStyle name="20% - Accent3 3 2 3 2 4" xfId="2709"/>
    <cellStyle name="20% - Accent3 3 2 3 2 4 2" xfId="18006"/>
    <cellStyle name="20% - Accent3 3 2 3 2 4 2 2" xfId="27722"/>
    <cellStyle name="20% - Accent3 3 2 3 2 4 2 2 2" xfId="47476"/>
    <cellStyle name="20% - Accent3 3 2 3 2 4 2 3" xfId="37832"/>
    <cellStyle name="20% - Accent3 3 2 3 2 4 3" xfId="22912"/>
    <cellStyle name="20% - Accent3 3 2 3 2 4 3 2" xfId="42667"/>
    <cellStyle name="20% - Accent3 3 2 3 2 4 4" xfId="33023"/>
    <cellStyle name="20% - Accent3 3 2 3 2 5" xfId="17999"/>
    <cellStyle name="20% - Accent3 3 2 3 2 5 2" xfId="27715"/>
    <cellStyle name="20% - Accent3 3 2 3 2 5 2 2" xfId="47469"/>
    <cellStyle name="20% - Accent3 3 2 3 2 5 3" xfId="37825"/>
    <cellStyle name="20% - Accent3 3 2 3 2 6" xfId="22905"/>
    <cellStyle name="20% - Accent3 3 2 3 2 6 2" xfId="42660"/>
    <cellStyle name="20% - Accent3 3 2 3 2 7" xfId="33016"/>
    <cellStyle name="20% - Accent3 3 2 3 3" xfId="2710"/>
    <cellStyle name="20% - Accent3 3 2 3 3 2" xfId="2711"/>
    <cellStyle name="20% - Accent3 3 2 3 3 2 2" xfId="2712"/>
    <cellStyle name="20% - Accent3 3 2 3 3 2 2 2" xfId="18009"/>
    <cellStyle name="20% - Accent3 3 2 3 3 2 2 2 2" xfId="27725"/>
    <cellStyle name="20% - Accent3 3 2 3 3 2 2 2 2 2" xfId="47479"/>
    <cellStyle name="20% - Accent3 3 2 3 3 2 2 2 3" xfId="37835"/>
    <cellStyle name="20% - Accent3 3 2 3 3 2 2 3" xfId="22915"/>
    <cellStyle name="20% - Accent3 3 2 3 3 2 2 3 2" xfId="42670"/>
    <cellStyle name="20% - Accent3 3 2 3 3 2 2 4" xfId="33026"/>
    <cellStyle name="20% - Accent3 3 2 3 3 2 3" xfId="18008"/>
    <cellStyle name="20% - Accent3 3 2 3 3 2 3 2" xfId="27724"/>
    <cellStyle name="20% - Accent3 3 2 3 3 2 3 2 2" xfId="47478"/>
    <cellStyle name="20% - Accent3 3 2 3 3 2 3 3" xfId="37834"/>
    <cellStyle name="20% - Accent3 3 2 3 3 2 4" xfId="22914"/>
    <cellStyle name="20% - Accent3 3 2 3 3 2 4 2" xfId="42669"/>
    <cellStyle name="20% - Accent3 3 2 3 3 2 5" xfId="33025"/>
    <cellStyle name="20% - Accent3 3 2 3 3 3" xfId="2713"/>
    <cellStyle name="20% - Accent3 3 2 3 3 3 2" xfId="18010"/>
    <cellStyle name="20% - Accent3 3 2 3 3 3 2 2" xfId="27726"/>
    <cellStyle name="20% - Accent3 3 2 3 3 3 2 2 2" xfId="47480"/>
    <cellStyle name="20% - Accent3 3 2 3 3 3 2 3" xfId="37836"/>
    <cellStyle name="20% - Accent3 3 2 3 3 3 3" xfId="22916"/>
    <cellStyle name="20% - Accent3 3 2 3 3 3 3 2" xfId="42671"/>
    <cellStyle name="20% - Accent3 3 2 3 3 3 4" xfId="33027"/>
    <cellStyle name="20% - Accent3 3 2 3 3 4" xfId="18007"/>
    <cellStyle name="20% - Accent3 3 2 3 3 4 2" xfId="27723"/>
    <cellStyle name="20% - Accent3 3 2 3 3 4 2 2" xfId="47477"/>
    <cellStyle name="20% - Accent3 3 2 3 3 4 3" xfId="37833"/>
    <cellStyle name="20% - Accent3 3 2 3 3 5" xfId="22913"/>
    <cellStyle name="20% - Accent3 3 2 3 3 5 2" xfId="42668"/>
    <cellStyle name="20% - Accent3 3 2 3 3 6" xfId="33024"/>
    <cellStyle name="20% - Accent3 3 2 3 4" xfId="2714"/>
    <cellStyle name="20% - Accent3 3 2 3 4 2" xfId="2715"/>
    <cellStyle name="20% - Accent3 3 2 3 4 2 2" xfId="18012"/>
    <cellStyle name="20% - Accent3 3 2 3 4 2 2 2" xfId="27728"/>
    <cellStyle name="20% - Accent3 3 2 3 4 2 2 2 2" xfId="47482"/>
    <cellStyle name="20% - Accent3 3 2 3 4 2 2 3" xfId="37838"/>
    <cellStyle name="20% - Accent3 3 2 3 4 2 3" xfId="22918"/>
    <cellStyle name="20% - Accent3 3 2 3 4 2 3 2" xfId="42673"/>
    <cellStyle name="20% - Accent3 3 2 3 4 2 4" xfId="33029"/>
    <cellStyle name="20% - Accent3 3 2 3 4 3" xfId="18011"/>
    <cellStyle name="20% - Accent3 3 2 3 4 3 2" xfId="27727"/>
    <cellStyle name="20% - Accent3 3 2 3 4 3 2 2" xfId="47481"/>
    <cellStyle name="20% - Accent3 3 2 3 4 3 3" xfId="37837"/>
    <cellStyle name="20% - Accent3 3 2 3 4 4" xfId="22917"/>
    <cellStyle name="20% - Accent3 3 2 3 4 4 2" xfId="42672"/>
    <cellStyle name="20% - Accent3 3 2 3 4 5" xfId="33028"/>
    <cellStyle name="20% - Accent3 3 2 3 5" xfId="2716"/>
    <cellStyle name="20% - Accent3 3 2 3 5 2" xfId="18013"/>
    <cellStyle name="20% - Accent3 3 2 3 5 2 2" xfId="27729"/>
    <cellStyle name="20% - Accent3 3 2 3 5 2 2 2" xfId="47483"/>
    <cellStyle name="20% - Accent3 3 2 3 5 2 3" xfId="37839"/>
    <cellStyle name="20% - Accent3 3 2 3 5 3" xfId="22919"/>
    <cellStyle name="20% - Accent3 3 2 3 5 3 2" xfId="42674"/>
    <cellStyle name="20% - Accent3 3 2 3 5 4" xfId="33030"/>
    <cellStyle name="20% - Accent3 3 2 3 6" xfId="2717"/>
    <cellStyle name="20% - Accent3 3 2 3 6 2" xfId="18014"/>
    <cellStyle name="20% - Accent3 3 2 3 6 2 2" xfId="27730"/>
    <cellStyle name="20% - Accent3 3 2 3 6 2 2 2" xfId="47484"/>
    <cellStyle name="20% - Accent3 3 2 3 6 2 3" xfId="37840"/>
    <cellStyle name="20% - Accent3 3 2 3 6 3" xfId="22920"/>
    <cellStyle name="20% - Accent3 3 2 3 6 3 2" xfId="42675"/>
    <cellStyle name="20% - Accent3 3 2 3 6 4" xfId="33031"/>
    <cellStyle name="20% - Accent3 3 2 3 7" xfId="2718"/>
    <cellStyle name="20% - Accent3 3 2 3 7 2" xfId="18015"/>
    <cellStyle name="20% - Accent3 3 2 3 7 2 2" xfId="27731"/>
    <cellStyle name="20% - Accent3 3 2 3 7 2 2 2" xfId="47485"/>
    <cellStyle name="20% - Accent3 3 2 3 7 2 3" xfId="37841"/>
    <cellStyle name="20% - Accent3 3 2 3 7 3" xfId="22921"/>
    <cellStyle name="20% - Accent3 3 2 3 7 3 2" xfId="42676"/>
    <cellStyle name="20% - Accent3 3 2 3 7 4" xfId="33032"/>
    <cellStyle name="20% - Accent3 3 2 3 8" xfId="17998"/>
    <cellStyle name="20% - Accent3 3 2 3 8 2" xfId="27714"/>
    <cellStyle name="20% - Accent3 3 2 3 8 2 2" xfId="47468"/>
    <cellStyle name="20% - Accent3 3 2 3 8 3" xfId="37824"/>
    <cellStyle name="20% - Accent3 3 2 3 9" xfId="22904"/>
    <cellStyle name="20% - Accent3 3 2 3 9 2" xfId="42659"/>
    <cellStyle name="20% - Accent3 3 2 4" xfId="2719"/>
    <cellStyle name="20% - Accent3 3 2 4 2" xfId="2720"/>
    <cellStyle name="20% - Accent3 3 2 4 2 2" xfId="2721"/>
    <cellStyle name="20% - Accent3 3 2 4 2 2 2" xfId="2722"/>
    <cellStyle name="20% - Accent3 3 2 4 2 2 2 2" xfId="18019"/>
    <cellStyle name="20% - Accent3 3 2 4 2 2 2 2 2" xfId="27735"/>
    <cellStyle name="20% - Accent3 3 2 4 2 2 2 2 2 2" xfId="47489"/>
    <cellStyle name="20% - Accent3 3 2 4 2 2 2 2 3" xfId="37845"/>
    <cellStyle name="20% - Accent3 3 2 4 2 2 2 3" xfId="22925"/>
    <cellStyle name="20% - Accent3 3 2 4 2 2 2 3 2" xfId="42680"/>
    <cellStyle name="20% - Accent3 3 2 4 2 2 2 4" xfId="33036"/>
    <cellStyle name="20% - Accent3 3 2 4 2 2 3" xfId="18018"/>
    <cellStyle name="20% - Accent3 3 2 4 2 2 3 2" xfId="27734"/>
    <cellStyle name="20% - Accent3 3 2 4 2 2 3 2 2" xfId="47488"/>
    <cellStyle name="20% - Accent3 3 2 4 2 2 3 3" xfId="37844"/>
    <cellStyle name="20% - Accent3 3 2 4 2 2 4" xfId="22924"/>
    <cellStyle name="20% - Accent3 3 2 4 2 2 4 2" xfId="42679"/>
    <cellStyle name="20% - Accent3 3 2 4 2 2 5" xfId="33035"/>
    <cellStyle name="20% - Accent3 3 2 4 2 3" xfId="2723"/>
    <cellStyle name="20% - Accent3 3 2 4 2 3 2" xfId="18020"/>
    <cellStyle name="20% - Accent3 3 2 4 2 3 2 2" xfId="27736"/>
    <cellStyle name="20% - Accent3 3 2 4 2 3 2 2 2" xfId="47490"/>
    <cellStyle name="20% - Accent3 3 2 4 2 3 2 3" xfId="37846"/>
    <cellStyle name="20% - Accent3 3 2 4 2 3 3" xfId="22926"/>
    <cellStyle name="20% - Accent3 3 2 4 2 3 3 2" xfId="42681"/>
    <cellStyle name="20% - Accent3 3 2 4 2 3 4" xfId="33037"/>
    <cellStyle name="20% - Accent3 3 2 4 2 4" xfId="18017"/>
    <cellStyle name="20% - Accent3 3 2 4 2 4 2" xfId="27733"/>
    <cellStyle name="20% - Accent3 3 2 4 2 4 2 2" xfId="47487"/>
    <cellStyle name="20% - Accent3 3 2 4 2 4 3" xfId="37843"/>
    <cellStyle name="20% - Accent3 3 2 4 2 5" xfId="22923"/>
    <cellStyle name="20% - Accent3 3 2 4 2 5 2" xfId="42678"/>
    <cellStyle name="20% - Accent3 3 2 4 2 6" xfId="33034"/>
    <cellStyle name="20% - Accent3 3 2 4 3" xfId="2724"/>
    <cellStyle name="20% - Accent3 3 2 4 3 2" xfId="2725"/>
    <cellStyle name="20% - Accent3 3 2 4 3 2 2" xfId="18022"/>
    <cellStyle name="20% - Accent3 3 2 4 3 2 2 2" xfId="27738"/>
    <cellStyle name="20% - Accent3 3 2 4 3 2 2 2 2" xfId="47492"/>
    <cellStyle name="20% - Accent3 3 2 4 3 2 2 3" xfId="37848"/>
    <cellStyle name="20% - Accent3 3 2 4 3 2 3" xfId="22928"/>
    <cellStyle name="20% - Accent3 3 2 4 3 2 3 2" xfId="42683"/>
    <cellStyle name="20% - Accent3 3 2 4 3 2 4" xfId="33039"/>
    <cellStyle name="20% - Accent3 3 2 4 3 3" xfId="18021"/>
    <cellStyle name="20% - Accent3 3 2 4 3 3 2" xfId="27737"/>
    <cellStyle name="20% - Accent3 3 2 4 3 3 2 2" xfId="47491"/>
    <cellStyle name="20% - Accent3 3 2 4 3 3 3" xfId="37847"/>
    <cellStyle name="20% - Accent3 3 2 4 3 4" xfId="22927"/>
    <cellStyle name="20% - Accent3 3 2 4 3 4 2" xfId="42682"/>
    <cellStyle name="20% - Accent3 3 2 4 3 5" xfId="33038"/>
    <cellStyle name="20% - Accent3 3 2 4 4" xfId="2726"/>
    <cellStyle name="20% - Accent3 3 2 4 4 2" xfId="18023"/>
    <cellStyle name="20% - Accent3 3 2 4 4 2 2" xfId="27739"/>
    <cellStyle name="20% - Accent3 3 2 4 4 2 2 2" xfId="47493"/>
    <cellStyle name="20% - Accent3 3 2 4 4 2 3" xfId="37849"/>
    <cellStyle name="20% - Accent3 3 2 4 4 3" xfId="22929"/>
    <cellStyle name="20% - Accent3 3 2 4 4 3 2" xfId="42684"/>
    <cellStyle name="20% - Accent3 3 2 4 4 4" xfId="33040"/>
    <cellStyle name="20% - Accent3 3 2 4 5" xfId="18016"/>
    <cellStyle name="20% - Accent3 3 2 4 5 2" xfId="27732"/>
    <cellStyle name="20% - Accent3 3 2 4 5 2 2" xfId="47486"/>
    <cellStyle name="20% - Accent3 3 2 4 5 3" xfId="37842"/>
    <cellStyle name="20% - Accent3 3 2 4 6" xfId="22922"/>
    <cellStyle name="20% - Accent3 3 2 4 6 2" xfId="42677"/>
    <cellStyle name="20% - Accent3 3 2 4 7" xfId="33033"/>
    <cellStyle name="20% - Accent3 3 2 5" xfId="2727"/>
    <cellStyle name="20% - Accent3 3 2 5 2" xfId="2728"/>
    <cellStyle name="20% - Accent3 3 2 5 2 2" xfId="2729"/>
    <cellStyle name="20% - Accent3 3 2 5 2 2 2" xfId="2730"/>
    <cellStyle name="20% - Accent3 3 2 5 2 2 2 2" xfId="18027"/>
    <cellStyle name="20% - Accent3 3 2 5 2 2 2 2 2" xfId="27743"/>
    <cellStyle name="20% - Accent3 3 2 5 2 2 2 2 2 2" xfId="47497"/>
    <cellStyle name="20% - Accent3 3 2 5 2 2 2 2 3" xfId="37853"/>
    <cellStyle name="20% - Accent3 3 2 5 2 2 2 3" xfId="22933"/>
    <cellStyle name="20% - Accent3 3 2 5 2 2 2 3 2" xfId="42688"/>
    <cellStyle name="20% - Accent3 3 2 5 2 2 2 4" xfId="33044"/>
    <cellStyle name="20% - Accent3 3 2 5 2 2 3" xfId="18026"/>
    <cellStyle name="20% - Accent3 3 2 5 2 2 3 2" xfId="27742"/>
    <cellStyle name="20% - Accent3 3 2 5 2 2 3 2 2" xfId="47496"/>
    <cellStyle name="20% - Accent3 3 2 5 2 2 3 3" xfId="37852"/>
    <cellStyle name="20% - Accent3 3 2 5 2 2 4" xfId="22932"/>
    <cellStyle name="20% - Accent3 3 2 5 2 2 4 2" xfId="42687"/>
    <cellStyle name="20% - Accent3 3 2 5 2 2 5" xfId="33043"/>
    <cellStyle name="20% - Accent3 3 2 5 2 3" xfId="2731"/>
    <cellStyle name="20% - Accent3 3 2 5 2 3 2" xfId="18028"/>
    <cellStyle name="20% - Accent3 3 2 5 2 3 2 2" xfId="27744"/>
    <cellStyle name="20% - Accent3 3 2 5 2 3 2 2 2" xfId="47498"/>
    <cellStyle name="20% - Accent3 3 2 5 2 3 2 3" xfId="37854"/>
    <cellStyle name="20% - Accent3 3 2 5 2 3 3" xfId="22934"/>
    <cellStyle name="20% - Accent3 3 2 5 2 3 3 2" xfId="42689"/>
    <cellStyle name="20% - Accent3 3 2 5 2 3 4" xfId="33045"/>
    <cellStyle name="20% - Accent3 3 2 5 2 4" xfId="18025"/>
    <cellStyle name="20% - Accent3 3 2 5 2 4 2" xfId="27741"/>
    <cellStyle name="20% - Accent3 3 2 5 2 4 2 2" xfId="47495"/>
    <cellStyle name="20% - Accent3 3 2 5 2 4 3" xfId="37851"/>
    <cellStyle name="20% - Accent3 3 2 5 2 5" xfId="22931"/>
    <cellStyle name="20% - Accent3 3 2 5 2 5 2" xfId="42686"/>
    <cellStyle name="20% - Accent3 3 2 5 2 6" xfId="33042"/>
    <cellStyle name="20% - Accent3 3 2 5 3" xfId="2732"/>
    <cellStyle name="20% - Accent3 3 2 5 3 2" xfId="2733"/>
    <cellStyle name="20% - Accent3 3 2 5 3 2 2" xfId="18030"/>
    <cellStyle name="20% - Accent3 3 2 5 3 2 2 2" xfId="27746"/>
    <cellStyle name="20% - Accent3 3 2 5 3 2 2 2 2" xfId="47500"/>
    <cellStyle name="20% - Accent3 3 2 5 3 2 2 3" xfId="37856"/>
    <cellStyle name="20% - Accent3 3 2 5 3 2 3" xfId="22936"/>
    <cellStyle name="20% - Accent3 3 2 5 3 2 3 2" xfId="42691"/>
    <cellStyle name="20% - Accent3 3 2 5 3 2 4" xfId="33047"/>
    <cellStyle name="20% - Accent3 3 2 5 3 3" xfId="18029"/>
    <cellStyle name="20% - Accent3 3 2 5 3 3 2" xfId="27745"/>
    <cellStyle name="20% - Accent3 3 2 5 3 3 2 2" xfId="47499"/>
    <cellStyle name="20% - Accent3 3 2 5 3 3 3" xfId="37855"/>
    <cellStyle name="20% - Accent3 3 2 5 3 4" xfId="22935"/>
    <cellStyle name="20% - Accent3 3 2 5 3 4 2" xfId="42690"/>
    <cellStyle name="20% - Accent3 3 2 5 3 5" xfId="33046"/>
    <cellStyle name="20% - Accent3 3 2 5 4" xfId="2734"/>
    <cellStyle name="20% - Accent3 3 2 5 4 2" xfId="18031"/>
    <cellStyle name="20% - Accent3 3 2 5 4 2 2" xfId="27747"/>
    <cellStyle name="20% - Accent3 3 2 5 4 2 2 2" xfId="47501"/>
    <cellStyle name="20% - Accent3 3 2 5 4 2 3" xfId="37857"/>
    <cellStyle name="20% - Accent3 3 2 5 4 3" xfId="22937"/>
    <cellStyle name="20% - Accent3 3 2 5 4 3 2" xfId="42692"/>
    <cellStyle name="20% - Accent3 3 2 5 4 4" xfId="33048"/>
    <cellStyle name="20% - Accent3 3 2 5 5" xfId="18024"/>
    <cellStyle name="20% - Accent3 3 2 5 5 2" xfId="27740"/>
    <cellStyle name="20% - Accent3 3 2 5 5 2 2" xfId="47494"/>
    <cellStyle name="20% - Accent3 3 2 5 5 3" xfId="37850"/>
    <cellStyle name="20% - Accent3 3 2 5 6" xfId="22930"/>
    <cellStyle name="20% - Accent3 3 2 5 6 2" xfId="42685"/>
    <cellStyle name="20% - Accent3 3 2 5 7" xfId="33041"/>
    <cellStyle name="20% - Accent3 3 2 6" xfId="2735"/>
    <cellStyle name="20% - Accent3 3 2 6 2" xfId="2736"/>
    <cellStyle name="20% - Accent3 3 2 6 2 2" xfId="2737"/>
    <cellStyle name="20% - Accent3 3 2 6 2 2 2" xfId="18034"/>
    <cellStyle name="20% - Accent3 3 2 6 2 2 2 2" xfId="27750"/>
    <cellStyle name="20% - Accent3 3 2 6 2 2 2 2 2" xfId="47504"/>
    <cellStyle name="20% - Accent3 3 2 6 2 2 2 3" xfId="37860"/>
    <cellStyle name="20% - Accent3 3 2 6 2 2 3" xfId="22940"/>
    <cellStyle name="20% - Accent3 3 2 6 2 2 3 2" xfId="42695"/>
    <cellStyle name="20% - Accent3 3 2 6 2 2 4" xfId="33051"/>
    <cellStyle name="20% - Accent3 3 2 6 2 3" xfId="18033"/>
    <cellStyle name="20% - Accent3 3 2 6 2 3 2" xfId="27749"/>
    <cellStyle name="20% - Accent3 3 2 6 2 3 2 2" xfId="47503"/>
    <cellStyle name="20% - Accent3 3 2 6 2 3 3" xfId="37859"/>
    <cellStyle name="20% - Accent3 3 2 6 2 4" xfId="22939"/>
    <cellStyle name="20% - Accent3 3 2 6 2 4 2" xfId="42694"/>
    <cellStyle name="20% - Accent3 3 2 6 2 5" xfId="33050"/>
    <cellStyle name="20% - Accent3 3 2 6 3" xfId="2738"/>
    <cellStyle name="20% - Accent3 3 2 6 3 2" xfId="18035"/>
    <cellStyle name="20% - Accent3 3 2 6 3 2 2" xfId="27751"/>
    <cellStyle name="20% - Accent3 3 2 6 3 2 2 2" xfId="47505"/>
    <cellStyle name="20% - Accent3 3 2 6 3 2 3" xfId="37861"/>
    <cellStyle name="20% - Accent3 3 2 6 3 3" xfId="22941"/>
    <cellStyle name="20% - Accent3 3 2 6 3 3 2" xfId="42696"/>
    <cellStyle name="20% - Accent3 3 2 6 3 4" xfId="33052"/>
    <cellStyle name="20% - Accent3 3 2 6 4" xfId="18032"/>
    <cellStyle name="20% - Accent3 3 2 6 4 2" xfId="27748"/>
    <cellStyle name="20% - Accent3 3 2 6 4 2 2" xfId="47502"/>
    <cellStyle name="20% - Accent3 3 2 6 4 3" xfId="37858"/>
    <cellStyle name="20% - Accent3 3 2 6 5" xfId="22938"/>
    <cellStyle name="20% - Accent3 3 2 6 5 2" xfId="42693"/>
    <cellStyle name="20% - Accent3 3 2 6 6" xfId="33049"/>
    <cellStyle name="20% - Accent3 3 2 7" xfId="2739"/>
    <cellStyle name="20% - Accent3 3 2 7 2" xfId="2740"/>
    <cellStyle name="20% - Accent3 3 2 7 2 2" xfId="18037"/>
    <cellStyle name="20% - Accent3 3 2 7 2 2 2" xfId="27753"/>
    <cellStyle name="20% - Accent3 3 2 7 2 2 2 2" xfId="47507"/>
    <cellStyle name="20% - Accent3 3 2 7 2 2 3" xfId="37863"/>
    <cellStyle name="20% - Accent3 3 2 7 2 3" xfId="22943"/>
    <cellStyle name="20% - Accent3 3 2 7 2 3 2" xfId="42698"/>
    <cellStyle name="20% - Accent3 3 2 7 2 4" xfId="33054"/>
    <cellStyle name="20% - Accent3 3 2 7 3" xfId="18036"/>
    <cellStyle name="20% - Accent3 3 2 7 3 2" xfId="27752"/>
    <cellStyle name="20% - Accent3 3 2 7 3 2 2" xfId="47506"/>
    <cellStyle name="20% - Accent3 3 2 7 3 3" xfId="37862"/>
    <cellStyle name="20% - Accent3 3 2 7 4" xfId="22942"/>
    <cellStyle name="20% - Accent3 3 2 7 4 2" xfId="42697"/>
    <cellStyle name="20% - Accent3 3 2 7 5" xfId="33053"/>
    <cellStyle name="20% - Accent3 3 2 8" xfId="2741"/>
    <cellStyle name="20% - Accent3 3 2 8 2" xfId="2742"/>
    <cellStyle name="20% - Accent3 3 2 8 2 2" xfId="18039"/>
    <cellStyle name="20% - Accent3 3 2 8 2 2 2" xfId="27755"/>
    <cellStyle name="20% - Accent3 3 2 8 2 2 2 2" xfId="47509"/>
    <cellStyle name="20% - Accent3 3 2 8 2 2 3" xfId="37865"/>
    <cellStyle name="20% - Accent3 3 2 8 2 3" xfId="22945"/>
    <cellStyle name="20% - Accent3 3 2 8 2 3 2" xfId="42700"/>
    <cellStyle name="20% - Accent3 3 2 8 2 4" xfId="33056"/>
    <cellStyle name="20% - Accent3 3 2 8 3" xfId="18038"/>
    <cellStyle name="20% - Accent3 3 2 8 3 2" xfId="27754"/>
    <cellStyle name="20% - Accent3 3 2 8 3 2 2" xfId="47508"/>
    <cellStyle name="20% - Accent3 3 2 8 3 3" xfId="37864"/>
    <cellStyle name="20% - Accent3 3 2 8 4" xfId="22944"/>
    <cellStyle name="20% - Accent3 3 2 8 4 2" xfId="42699"/>
    <cellStyle name="20% - Accent3 3 2 8 5" xfId="33055"/>
    <cellStyle name="20% - Accent3 3 2 9" xfId="2743"/>
    <cellStyle name="20% - Accent3 3 2 9 2" xfId="18040"/>
    <cellStyle name="20% - Accent3 3 2 9 2 2" xfId="27756"/>
    <cellStyle name="20% - Accent3 3 2 9 2 2 2" xfId="47510"/>
    <cellStyle name="20% - Accent3 3 2 9 2 3" xfId="37866"/>
    <cellStyle name="20% - Accent3 3 2 9 3" xfId="22946"/>
    <cellStyle name="20% - Accent3 3 2 9 3 2" xfId="42701"/>
    <cellStyle name="20% - Accent3 3 2 9 4" xfId="33057"/>
    <cellStyle name="20% - Accent3 3 3" xfId="2744"/>
    <cellStyle name="20% - Accent3 3 3 10" xfId="2745"/>
    <cellStyle name="20% - Accent3 3 3 10 2" xfId="18042"/>
    <cellStyle name="20% - Accent3 3 3 10 2 2" xfId="27758"/>
    <cellStyle name="20% - Accent3 3 3 10 2 2 2" xfId="47512"/>
    <cellStyle name="20% - Accent3 3 3 10 2 3" xfId="37868"/>
    <cellStyle name="20% - Accent3 3 3 10 3" xfId="22948"/>
    <cellStyle name="20% - Accent3 3 3 10 3 2" xfId="42703"/>
    <cellStyle name="20% - Accent3 3 3 10 4" xfId="33059"/>
    <cellStyle name="20% - Accent3 3 3 11" xfId="18041"/>
    <cellStyle name="20% - Accent3 3 3 11 2" xfId="27757"/>
    <cellStyle name="20% - Accent3 3 3 11 2 2" xfId="47511"/>
    <cellStyle name="20% - Accent3 3 3 11 3" xfId="37867"/>
    <cellStyle name="20% - Accent3 3 3 12" xfId="22947"/>
    <cellStyle name="20% - Accent3 3 3 12 2" xfId="42702"/>
    <cellStyle name="20% - Accent3 3 3 13" xfId="33058"/>
    <cellStyle name="20% - Accent3 3 3 2" xfId="2746"/>
    <cellStyle name="20% - Accent3 3 3 2 10" xfId="33060"/>
    <cellStyle name="20% - Accent3 3 3 2 2" xfId="2747"/>
    <cellStyle name="20% - Accent3 3 3 2 2 2" xfId="2748"/>
    <cellStyle name="20% - Accent3 3 3 2 2 2 2" xfId="2749"/>
    <cellStyle name="20% - Accent3 3 3 2 2 2 2 2" xfId="2750"/>
    <cellStyle name="20% - Accent3 3 3 2 2 2 2 2 2" xfId="18047"/>
    <cellStyle name="20% - Accent3 3 3 2 2 2 2 2 2 2" xfId="27763"/>
    <cellStyle name="20% - Accent3 3 3 2 2 2 2 2 2 2 2" xfId="47517"/>
    <cellStyle name="20% - Accent3 3 3 2 2 2 2 2 2 3" xfId="37873"/>
    <cellStyle name="20% - Accent3 3 3 2 2 2 2 2 3" xfId="22953"/>
    <cellStyle name="20% - Accent3 3 3 2 2 2 2 2 3 2" xfId="42708"/>
    <cellStyle name="20% - Accent3 3 3 2 2 2 2 2 4" xfId="33064"/>
    <cellStyle name="20% - Accent3 3 3 2 2 2 2 3" xfId="18046"/>
    <cellStyle name="20% - Accent3 3 3 2 2 2 2 3 2" xfId="27762"/>
    <cellStyle name="20% - Accent3 3 3 2 2 2 2 3 2 2" xfId="47516"/>
    <cellStyle name="20% - Accent3 3 3 2 2 2 2 3 3" xfId="37872"/>
    <cellStyle name="20% - Accent3 3 3 2 2 2 2 4" xfId="22952"/>
    <cellStyle name="20% - Accent3 3 3 2 2 2 2 4 2" xfId="42707"/>
    <cellStyle name="20% - Accent3 3 3 2 2 2 2 5" xfId="33063"/>
    <cellStyle name="20% - Accent3 3 3 2 2 2 3" xfId="2751"/>
    <cellStyle name="20% - Accent3 3 3 2 2 2 3 2" xfId="18048"/>
    <cellStyle name="20% - Accent3 3 3 2 2 2 3 2 2" xfId="27764"/>
    <cellStyle name="20% - Accent3 3 3 2 2 2 3 2 2 2" xfId="47518"/>
    <cellStyle name="20% - Accent3 3 3 2 2 2 3 2 3" xfId="37874"/>
    <cellStyle name="20% - Accent3 3 3 2 2 2 3 3" xfId="22954"/>
    <cellStyle name="20% - Accent3 3 3 2 2 2 3 3 2" xfId="42709"/>
    <cellStyle name="20% - Accent3 3 3 2 2 2 3 4" xfId="33065"/>
    <cellStyle name="20% - Accent3 3 3 2 2 2 4" xfId="18045"/>
    <cellStyle name="20% - Accent3 3 3 2 2 2 4 2" xfId="27761"/>
    <cellStyle name="20% - Accent3 3 3 2 2 2 4 2 2" xfId="47515"/>
    <cellStyle name="20% - Accent3 3 3 2 2 2 4 3" xfId="37871"/>
    <cellStyle name="20% - Accent3 3 3 2 2 2 5" xfId="22951"/>
    <cellStyle name="20% - Accent3 3 3 2 2 2 5 2" xfId="42706"/>
    <cellStyle name="20% - Accent3 3 3 2 2 2 6" xfId="33062"/>
    <cellStyle name="20% - Accent3 3 3 2 2 3" xfId="2752"/>
    <cellStyle name="20% - Accent3 3 3 2 2 3 2" xfId="2753"/>
    <cellStyle name="20% - Accent3 3 3 2 2 3 2 2" xfId="18050"/>
    <cellStyle name="20% - Accent3 3 3 2 2 3 2 2 2" xfId="27766"/>
    <cellStyle name="20% - Accent3 3 3 2 2 3 2 2 2 2" xfId="47520"/>
    <cellStyle name="20% - Accent3 3 3 2 2 3 2 2 3" xfId="37876"/>
    <cellStyle name="20% - Accent3 3 3 2 2 3 2 3" xfId="22956"/>
    <cellStyle name="20% - Accent3 3 3 2 2 3 2 3 2" xfId="42711"/>
    <cellStyle name="20% - Accent3 3 3 2 2 3 2 4" xfId="33067"/>
    <cellStyle name="20% - Accent3 3 3 2 2 3 3" xfId="18049"/>
    <cellStyle name="20% - Accent3 3 3 2 2 3 3 2" xfId="27765"/>
    <cellStyle name="20% - Accent3 3 3 2 2 3 3 2 2" xfId="47519"/>
    <cellStyle name="20% - Accent3 3 3 2 2 3 3 3" xfId="37875"/>
    <cellStyle name="20% - Accent3 3 3 2 2 3 4" xfId="22955"/>
    <cellStyle name="20% - Accent3 3 3 2 2 3 4 2" xfId="42710"/>
    <cellStyle name="20% - Accent3 3 3 2 2 3 5" xfId="33066"/>
    <cellStyle name="20% - Accent3 3 3 2 2 4" xfId="2754"/>
    <cellStyle name="20% - Accent3 3 3 2 2 4 2" xfId="18051"/>
    <cellStyle name="20% - Accent3 3 3 2 2 4 2 2" xfId="27767"/>
    <cellStyle name="20% - Accent3 3 3 2 2 4 2 2 2" xfId="47521"/>
    <cellStyle name="20% - Accent3 3 3 2 2 4 2 3" xfId="37877"/>
    <cellStyle name="20% - Accent3 3 3 2 2 4 3" xfId="22957"/>
    <cellStyle name="20% - Accent3 3 3 2 2 4 3 2" xfId="42712"/>
    <cellStyle name="20% - Accent3 3 3 2 2 4 4" xfId="33068"/>
    <cellStyle name="20% - Accent3 3 3 2 2 5" xfId="18044"/>
    <cellStyle name="20% - Accent3 3 3 2 2 5 2" xfId="27760"/>
    <cellStyle name="20% - Accent3 3 3 2 2 5 2 2" xfId="47514"/>
    <cellStyle name="20% - Accent3 3 3 2 2 5 3" xfId="37870"/>
    <cellStyle name="20% - Accent3 3 3 2 2 6" xfId="22950"/>
    <cellStyle name="20% - Accent3 3 3 2 2 6 2" xfId="42705"/>
    <cellStyle name="20% - Accent3 3 3 2 2 7" xfId="33061"/>
    <cellStyle name="20% - Accent3 3 3 2 3" xfId="2755"/>
    <cellStyle name="20% - Accent3 3 3 2 3 2" xfId="2756"/>
    <cellStyle name="20% - Accent3 3 3 2 3 2 2" xfId="2757"/>
    <cellStyle name="20% - Accent3 3 3 2 3 2 2 2" xfId="18054"/>
    <cellStyle name="20% - Accent3 3 3 2 3 2 2 2 2" xfId="27770"/>
    <cellStyle name="20% - Accent3 3 3 2 3 2 2 2 2 2" xfId="47524"/>
    <cellStyle name="20% - Accent3 3 3 2 3 2 2 2 3" xfId="37880"/>
    <cellStyle name="20% - Accent3 3 3 2 3 2 2 3" xfId="22960"/>
    <cellStyle name="20% - Accent3 3 3 2 3 2 2 3 2" xfId="42715"/>
    <cellStyle name="20% - Accent3 3 3 2 3 2 2 4" xfId="33071"/>
    <cellStyle name="20% - Accent3 3 3 2 3 2 3" xfId="18053"/>
    <cellStyle name="20% - Accent3 3 3 2 3 2 3 2" xfId="27769"/>
    <cellStyle name="20% - Accent3 3 3 2 3 2 3 2 2" xfId="47523"/>
    <cellStyle name="20% - Accent3 3 3 2 3 2 3 3" xfId="37879"/>
    <cellStyle name="20% - Accent3 3 3 2 3 2 4" xfId="22959"/>
    <cellStyle name="20% - Accent3 3 3 2 3 2 4 2" xfId="42714"/>
    <cellStyle name="20% - Accent3 3 3 2 3 2 5" xfId="33070"/>
    <cellStyle name="20% - Accent3 3 3 2 3 3" xfId="2758"/>
    <cellStyle name="20% - Accent3 3 3 2 3 3 2" xfId="18055"/>
    <cellStyle name="20% - Accent3 3 3 2 3 3 2 2" xfId="27771"/>
    <cellStyle name="20% - Accent3 3 3 2 3 3 2 2 2" xfId="47525"/>
    <cellStyle name="20% - Accent3 3 3 2 3 3 2 3" xfId="37881"/>
    <cellStyle name="20% - Accent3 3 3 2 3 3 3" xfId="22961"/>
    <cellStyle name="20% - Accent3 3 3 2 3 3 3 2" xfId="42716"/>
    <cellStyle name="20% - Accent3 3 3 2 3 3 4" xfId="33072"/>
    <cellStyle name="20% - Accent3 3 3 2 3 4" xfId="18052"/>
    <cellStyle name="20% - Accent3 3 3 2 3 4 2" xfId="27768"/>
    <cellStyle name="20% - Accent3 3 3 2 3 4 2 2" xfId="47522"/>
    <cellStyle name="20% - Accent3 3 3 2 3 4 3" xfId="37878"/>
    <cellStyle name="20% - Accent3 3 3 2 3 5" xfId="22958"/>
    <cellStyle name="20% - Accent3 3 3 2 3 5 2" xfId="42713"/>
    <cellStyle name="20% - Accent3 3 3 2 3 6" xfId="33069"/>
    <cellStyle name="20% - Accent3 3 3 2 4" xfId="2759"/>
    <cellStyle name="20% - Accent3 3 3 2 4 2" xfId="2760"/>
    <cellStyle name="20% - Accent3 3 3 2 4 2 2" xfId="18057"/>
    <cellStyle name="20% - Accent3 3 3 2 4 2 2 2" xfId="27773"/>
    <cellStyle name="20% - Accent3 3 3 2 4 2 2 2 2" xfId="47527"/>
    <cellStyle name="20% - Accent3 3 3 2 4 2 2 3" xfId="37883"/>
    <cellStyle name="20% - Accent3 3 3 2 4 2 3" xfId="22963"/>
    <cellStyle name="20% - Accent3 3 3 2 4 2 3 2" xfId="42718"/>
    <cellStyle name="20% - Accent3 3 3 2 4 2 4" xfId="33074"/>
    <cellStyle name="20% - Accent3 3 3 2 4 3" xfId="18056"/>
    <cellStyle name="20% - Accent3 3 3 2 4 3 2" xfId="27772"/>
    <cellStyle name="20% - Accent3 3 3 2 4 3 2 2" xfId="47526"/>
    <cellStyle name="20% - Accent3 3 3 2 4 3 3" xfId="37882"/>
    <cellStyle name="20% - Accent3 3 3 2 4 4" xfId="22962"/>
    <cellStyle name="20% - Accent3 3 3 2 4 4 2" xfId="42717"/>
    <cellStyle name="20% - Accent3 3 3 2 4 5" xfId="33073"/>
    <cellStyle name="20% - Accent3 3 3 2 5" xfId="2761"/>
    <cellStyle name="20% - Accent3 3 3 2 5 2" xfId="18058"/>
    <cellStyle name="20% - Accent3 3 3 2 5 2 2" xfId="27774"/>
    <cellStyle name="20% - Accent3 3 3 2 5 2 2 2" xfId="47528"/>
    <cellStyle name="20% - Accent3 3 3 2 5 2 3" xfId="37884"/>
    <cellStyle name="20% - Accent3 3 3 2 5 3" xfId="22964"/>
    <cellStyle name="20% - Accent3 3 3 2 5 3 2" xfId="42719"/>
    <cellStyle name="20% - Accent3 3 3 2 5 4" xfId="33075"/>
    <cellStyle name="20% - Accent3 3 3 2 6" xfId="2762"/>
    <cellStyle name="20% - Accent3 3 3 2 6 2" xfId="18059"/>
    <cellStyle name="20% - Accent3 3 3 2 6 2 2" xfId="27775"/>
    <cellStyle name="20% - Accent3 3 3 2 6 2 2 2" xfId="47529"/>
    <cellStyle name="20% - Accent3 3 3 2 6 2 3" xfId="37885"/>
    <cellStyle name="20% - Accent3 3 3 2 6 3" xfId="22965"/>
    <cellStyle name="20% - Accent3 3 3 2 6 3 2" xfId="42720"/>
    <cellStyle name="20% - Accent3 3 3 2 6 4" xfId="33076"/>
    <cellStyle name="20% - Accent3 3 3 2 7" xfId="2763"/>
    <cellStyle name="20% - Accent3 3 3 2 7 2" xfId="18060"/>
    <cellStyle name="20% - Accent3 3 3 2 7 2 2" xfId="27776"/>
    <cellStyle name="20% - Accent3 3 3 2 7 2 2 2" xfId="47530"/>
    <cellStyle name="20% - Accent3 3 3 2 7 2 3" xfId="37886"/>
    <cellStyle name="20% - Accent3 3 3 2 7 3" xfId="22966"/>
    <cellStyle name="20% - Accent3 3 3 2 7 3 2" xfId="42721"/>
    <cellStyle name="20% - Accent3 3 3 2 7 4" xfId="33077"/>
    <cellStyle name="20% - Accent3 3 3 2 8" xfId="18043"/>
    <cellStyle name="20% - Accent3 3 3 2 8 2" xfId="27759"/>
    <cellStyle name="20% - Accent3 3 3 2 8 2 2" xfId="47513"/>
    <cellStyle name="20% - Accent3 3 3 2 8 3" xfId="37869"/>
    <cellStyle name="20% - Accent3 3 3 2 9" xfId="22949"/>
    <cellStyle name="20% - Accent3 3 3 2 9 2" xfId="42704"/>
    <cellStyle name="20% - Accent3 3 3 3" xfId="2764"/>
    <cellStyle name="20% - Accent3 3 3 3 2" xfId="2765"/>
    <cellStyle name="20% - Accent3 3 3 3 2 2" xfId="2766"/>
    <cellStyle name="20% - Accent3 3 3 3 2 2 2" xfId="2767"/>
    <cellStyle name="20% - Accent3 3 3 3 2 2 2 2" xfId="18064"/>
    <cellStyle name="20% - Accent3 3 3 3 2 2 2 2 2" xfId="27780"/>
    <cellStyle name="20% - Accent3 3 3 3 2 2 2 2 2 2" xfId="47534"/>
    <cellStyle name="20% - Accent3 3 3 3 2 2 2 2 3" xfId="37890"/>
    <cellStyle name="20% - Accent3 3 3 3 2 2 2 3" xfId="22970"/>
    <cellStyle name="20% - Accent3 3 3 3 2 2 2 3 2" xfId="42725"/>
    <cellStyle name="20% - Accent3 3 3 3 2 2 2 4" xfId="33081"/>
    <cellStyle name="20% - Accent3 3 3 3 2 2 3" xfId="18063"/>
    <cellStyle name="20% - Accent3 3 3 3 2 2 3 2" xfId="27779"/>
    <cellStyle name="20% - Accent3 3 3 3 2 2 3 2 2" xfId="47533"/>
    <cellStyle name="20% - Accent3 3 3 3 2 2 3 3" xfId="37889"/>
    <cellStyle name="20% - Accent3 3 3 3 2 2 4" xfId="22969"/>
    <cellStyle name="20% - Accent3 3 3 3 2 2 4 2" xfId="42724"/>
    <cellStyle name="20% - Accent3 3 3 3 2 2 5" xfId="33080"/>
    <cellStyle name="20% - Accent3 3 3 3 2 3" xfId="2768"/>
    <cellStyle name="20% - Accent3 3 3 3 2 3 2" xfId="18065"/>
    <cellStyle name="20% - Accent3 3 3 3 2 3 2 2" xfId="27781"/>
    <cellStyle name="20% - Accent3 3 3 3 2 3 2 2 2" xfId="47535"/>
    <cellStyle name="20% - Accent3 3 3 3 2 3 2 3" xfId="37891"/>
    <cellStyle name="20% - Accent3 3 3 3 2 3 3" xfId="22971"/>
    <cellStyle name="20% - Accent3 3 3 3 2 3 3 2" xfId="42726"/>
    <cellStyle name="20% - Accent3 3 3 3 2 3 4" xfId="33082"/>
    <cellStyle name="20% - Accent3 3 3 3 2 4" xfId="18062"/>
    <cellStyle name="20% - Accent3 3 3 3 2 4 2" xfId="27778"/>
    <cellStyle name="20% - Accent3 3 3 3 2 4 2 2" xfId="47532"/>
    <cellStyle name="20% - Accent3 3 3 3 2 4 3" xfId="37888"/>
    <cellStyle name="20% - Accent3 3 3 3 2 5" xfId="22968"/>
    <cellStyle name="20% - Accent3 3 3 3 2 5 2" xfId="42723"/>
    <cellStyle name="20% - Accent3 3 3 3 2 6" xfId="33079"/>
    <cellStyle name="20% - Accent3 3 3 3 3" xfId="2769"/>
    <cellStyle name="20% - Accent3 3 3 3 3 2" xfId="2770"/>
    <cellStyle name="20% - Accent3 3 3 3 3 2 2" xfId="18067"/>
    <cellStyle name="20% - Accent3 3 3 3 3 2 2 2" xfId="27783"/>
    <cellStyle name="20% - Accent3 3 3 3 3 2 2 2 2" xfId="47537"/>
    <cellStyle name="20% - Accent3 3 3 3 3 2 2 3" xfId="37893"/>
    <cellStyle name="20% - Accent3 3 3 3 3 2 3" xfId="22973"/>
    <cellStyle name="20% - Accent3 3 3 3 3 2 3 2" xfId="42728"/>
    <cellStyle name="20% - Accent3 3 3 3 3 2 4" xfId="33084"/>
    <cellStyle name="20% - Accent3 3 3 3 3 3" xfId="18066"/>
    <cellStyle name="20% - Accent3 3 3 3 3 3 2" xfId="27782"/>
    <cellStyle name="20% - Accent3 3 3 3 3 3 2 2" xfId="47536"/>
    <cellStyle name="20% - Accent3 3 3 3 3 3 3" xfId="37892"/>
    <cellStyle name="20% - Accent3 3 3 3 3 4" xfId="22972"/>
    <cellStyle name="20% - Accent3 3 3 3 3 4 2" xfId="42727"/>
    <cellStyle name="20% - Accent3 3 3 3 3 5" xfId="33083"/>
    <cellStyle name="20% - Accent3 3 3 3 4" xfId="2771"/>
    <cellStyle name="20% - Accent3 3 3 3 4 2" xfId="18068"/>
    <cellStyle name="20% - Accent3 3 3 3 4 2 2" xfId="27784"/>
    <cellStyle name="20% - Accent3 3 3 3 4 2 2 2" xfId="47538"/>
    <cellStyle name="20% - Accent3 3 3 3 4 2 3" xfId="37894"/>
    <cellStyle name="20% - Accent3 3 3 3 4 3" xfId="22974"/>
    <cellStyle name="20% - Accent3 3 3 3 4 3 2" xfId="42729"/>
    <cellStyle name="20% - Accent3 3 3 3 4 4" xfId="33085"/>
    <cellStyle name="20% - Accent3 3 3 3 5" xfId="18061"/>
    <cellStyle name="20% - Accent3 3 3 3 5 2" xfId="27777"/>
    <cellStyle name="20% - Accent3 3 3 3 5 2 2" xfId="47531"/>
    <cellStyle name="20% - Accent3 3 3 3 5 3" xfId="37887"/>
    <cellStyle name="20% - Accent3 3 3 3 6" xfId="22967"/>
    <cellStyle name="20% - Accent3 3 3 3 6 2" xfId="42722"/>
    <cellStyle name="20% - Accent3 3 3 3 7" xfId="33078"/>
    <cellStyle name="20% - Accent3 3 3 4" xfId="2772"/>
    <cellStyle name="20% - Accent3 3 3 4 2" xfId="2773"/>
    <cellStyle name="20% - Accent3 3 3 4 2 2" xfId="2774"/>
    <cellStyle name="20% - Accent3 3 3 4 2 2 2" xfId="2775"/>
    <cellStyle name="20% - Accent3 3 3 4 2 2 2 2" xfId="18072"/>
    <cellStyle name="20% - Accent3 3 3 4 2 2 2 2 2" xfId="27788"/>
    <cellStyle name="20% - Accent3 3 3 4 2 2 2 2 2 2" xfId="47542"/>
    <cellStyle name="20% - Accent3 3 3 4 2 2 2 2 3" xfId="37898"/>
    <cellStyle name="20% - Accent3 3 3 4 2 2 2 3" xfId="22978"/>
    <cellStyle name="20% - Accent3 3 3 4 2 2 2 3 2" xfId="42733"/>
    <cellStyle name="20% - Accent3 3 3 4 2 2 2 4" xfId="33089"/>
    <cellStyle name="20% - Accent3 3 3 4 2 2 3" xfId="18071"/>
    <cellStyle name="20% - Accent3 3 3 4 2 2 3 2" xfId="27787"/>
    <cellStyle name="20% - Accent3 3 3 4 2 2 3 2 2" xfId="47541"/>
    <cellStyle name="20% - Accent3 3 3 4 2 2 3 3" xfId="37897"/>
    <cellStyle name="20% - Accent3 3 3 4 2 2 4" xfId="22977"/>
    <cellStyle name="20% - Accent3 3 3 4 2 2 4 2" xfId="42732"/>
    <cellStyle name="20% - Accent3 3 3 4 2 2 5" xfId="33088"/>
    <cellStyle name="20% - Accent3 3 3 4 2 3" xfId="2776"/>
    <cellStyle name="20% - Accent3 3 3 4 2 3 2" xfId="18073"/>
    <cellStyle name="20% - Accent3 3 3 4 2 3 2 2" xfId="27789"/>
    <cellStyle name="20% - Accent3 3 3 4 2 3 2 2 2" xfId="47543"/>
    <cellStyle name="20% - Accent3 3 3 4 2 3 2 3" xfId="37899"/>
    <cellStyle name="20% - Accent3 3 3 4 2 3 3" xfId="22979"/>
    <cellStyle name="20% - Accent3 3 3 4 2 3 3 2" xfId="42734"/>
    <cellStyle name="20% - Accent3 3 3 4 2 3 4" xfId="33090"/>
    <cellStyle name="20% - Accent3 3 3 4 2 4" xfId="18070"/>
    <cellStyle name="20% - Accent3 3 3 4 2 4 2" xfId="27786"/>
    <cellStyle name="20% - Accent3 3 3 4 2 4 2 2" xfId="47540"/>
    <cellStyle name="20% - Accent3 3 3 4 2 4 3" xfId="37896"/>
    <cellStyle name="20% - Accent3 3 3 4 2 5" xfId="22976"/>
    <cellStyle name="20% - Accent3 3 3 4 2 5 2" xfId="42731"/>
    <cellStyle name="20% - Accent3 3 3 4 2 6" xfId="33087"/>
    <cellStyle name="20% - Accent3 3 3 4 3" xfId="2777"/>
    <cellStyle name="20% - Accent3 3 3 4 3 2" xfId="2778"/>
    <cellStyle name="20% - Accent3 3 3 4 3 2 2" xfId="18075"/>
    <cellStyle name="20% - Accent3 3 3 4 3 2 2 2" xfId="27791"/>
    <cellStyle name="20% - Accent3 3 3 4 3 2 2 2 2" xfId="47545"/>
    <cellStyle name="20% - Accent3 3 3 4 3 2 2 3" xfId="37901"/>
    <cellStyle name="20% - Accent3 3 3 4 3 2 3" xfId="22981"/>
    <cellStyle name="20% - Accent3 3 3 4 3 2 3 2" xfId="42736"/>
    <cellStyle name="20% - Accent3 3 3 4 3 2 4" xfId="33092"/>
    <cellStyle name="20% - Accent3 3 3 4 3 3" xfId="18074"/>
    <cellStyle name="20% - Accent3 3 3 4 3 3 2" xfId="27790"/>
    <cellStyle name="20% - Accent3 3 3 4 3 3 2 2" xfId="47544"/>
    <cellStyle name="20% - Accent3 3 3 4 3 3 3" xfId="37900"/>
    <cellStyle name="20% - Accent3 3 3 4 3 4" xfId="22980"/>
    <cellStyle name="20% - Accent3 3 3 4 3 4 2" xfId="42735"/>
    <cellStyle name="20% - Accent3 3 3 4 3 5" xfId="33091"/>
    <cellStyle name="20% - Accent3 3 3 4 4" xfId="2779"/>
    <cellStyle name="20% - Accent3 3 3 4 4 2" xfId="18076"/>
    <cellStyle name="20% - Accent3 3 3 4 4 2 2" xfId="27792"/>
    <cellStyle name="20% - Accent3 3 3 4 4 2 2 2" xfId="47546"/>
    <cellStyle name="20% - Accent3 3 3 4 4 2 3" xfId="37902"/>
    <cellStyle name="20% - Accent3 3 3 4 4 3" xfId="22982"/>
    <cellStyle name="20% - Accent3 3 3 4 4 3 2" xfId="42737"/>
    <cellStyle name="20% - Accent3 3 3 4 4 4" xfId="33093"/>
    <cellStyle name="20% - Accent3 3 3 4 5" xfId="18069"/>
    <cellStyle name="20% - Accent3 3 3 4 5 2" xfId="27785"/>
    <cellStyle name="20% - Accent3 3 3 4 5 2 2" xfId="47539"/>
    <cellStyle name="20% - Accent3 3 3 4 5 3" xfId="37895"/>
    <cellStyle name="20% - Accent3 3 3 4 6" xfId="22975"/>
    <cellStyle name="20% - Accent3 3 3 4 6 2" xfId="42730"/>
    <cellStyle name="20% - Accent3 3 3 4 7" xfId="33086"/>
    <cellStyle name="20% - Accent3 3 3 5" xfId="2780"/>
    <cellStyle name="20% - Accent3 3 3 5 2" xfId="2781"/>
    <cellStyle name="20% - Accent3 3 3 5 2 2" xfId="2782"/>
    <cellStyle name="20% - Accent3 3 3 5 2 2 2" xfId="18079"/>
    <cellStyle name="20% - Accent3 3 3 5 2 2 2 2" xfId="27795"/>
    <cellStyle name="20% - Accent3 3 3 5 2 2 2 2 2" xfId="47549"/>
    <cellStyle name="20% - Accent3 3 3 5 2 2 2 3" xfId="37905"/>
    <cellStyle name="20% - Accent3 3 3 5 2 2 3" xfId="22985"/>
    <cellStyle name="20% - Accent3 3 3 5 2 2 3 2" xfId="42740"/>
    <cellStyle name="20% - Accent3 3 3 5 2 2 4" xfId="33096"/>
    <cellStyle name="20% - Accent3 3 3 5 2 3" xfId="18078"/>
    <cellStyle name="20% - Accent3 3 3 5 2 3 2" xfId="27794"/>
    <cellStyle name="20% - Accent3 3 3 5 2 3 2 2" xfId="47548"/>
    <cellStyle name="20% - Accent3 3 3 5 2 3 3" xfId="37904"/>
    <cellStyle name="20% - Accent3 3 3 5 2 4" xfId="22984"/>
    <cellStyle name="20% - Accent3 3 3 5 2 4 2" xfId="42739"/>
    <cellStyle name="20% - Accent3 3 3 5 2 5" xfId="33095"/>
    <cellStyle name="20% - Accent3 3 3 5 3" xfId="2783"/>
    <cellStyle name="20% - Accent3 3 3 5 3 2" xfId="18080"/>
    <cellStyle name="20% - Accent3 3 3 5 3 2 2" xfId="27796"/>
    <cellStyle name="20% - Accent3 3 3 5 3 2 2 2" xfId="47550"/>
    <cellStyle name="20% - Accent3 3 3 5 3 2 3" xfId="37906"/>
    <cellStyle name="20% - Accent3 3 3 5 3 3" xfId="22986"/>
    <cellStyle name="20% - Accent3 3 3 5 3 3 2" xfId="42741"/>
    <cellStyle name="20% - Accent3 3 3 5 3 4" xfId="33097"/>
    <cellStyle name="20% - Accent3 3 3 5 4" xfId="18077"/>
    <cellStyle name="20% - Accent3 3 3 5 4 2" xfId="27793"/>
    <cellStyle name="20% - Accent3 3 3 5 4 2 2" xfId="47547"/>
    <cellStyle name="20% - Accent3 3 3 5 4 3" xfId="37903"/>
    <cellStyle name="20% - Accent3 3 3 5 5" xfId="22983"/>
    <cellStyle name="20% - Accent3 3 3 5 5 2" xfId="42738"/>
    <cellStyle name="20% - Accent3 3 3 5 6" xfId="33094"/>
    <cellStyle name="20% - Accent3 3 3 6" xfId="2784"/>
    <cellStyle name="20% - Accent3 3 3 6 2" xfId="2785"/>
    <cellStyle name="20% - Accent3 3 3 6 2 2" xfId="18082"/>
    <cellStyle name="20% - Accent3 3 3 6 2 2 2" xfId="27798"/>
    <cellStyle name="20% - Accent3 3 3 6 2 2 2 2" xfId="47552"/>
    <cellStyle name="20% - Accent3 3 3 6 2 2 3" xfId="37908"/>
    <cellStyle name="20% - Accent3 3 3 6 2 3" xfId="22988"/>
    <cellStyle name="20% - Accent3 3 3 6 2 3 2" xfId="42743"/>
    <cellStyle name="20% - Accent3 3 3 6 2 4" xfId="33099"/>
    <cellStyle name="20% - Accent3 3 3 6 3" xfId="18081"/>
    <cellStyle name="20% - Accent3 3 3 6 3 2" xfId="27797"/>
    <cellStyle name="20% - Accent3 3 3 6 3 2 2" xfId="47551"/>
    <cellStyle name="20% - Accent3 3 3 6 3 3" xfId="37907"/>
    <cellStyle name="20% - Accent3 3 3 6 4" xfId="22987"/>
    <cellStyle name="20% - Accent3 3 3 6 4 2" xfId="42742"/>
    <cellStyle name="20% - Accent3 3 3 6 5" xfId="33098"/>
    <cellStyle name="20% - Accent3 3 3 7" xfId="2786"/>
    <cellStyle name="20% - Accent3 3 3 7 2" xfId="2787"/>
    <cellStyle name="20% - Accent3 3 3 7 2 2" xfId="18084"/>
    <cellStyle name="20% - Accent3 3 3 7 2 2 2" xfId="27800"/>
    <cellStyle name="20% - Accent3 3 3 7 2 2 2 2" xfId="47554"/>
    <cellStyle name="20% - Accent3 3 3 7 2 2 3" xfId="37910"/>
    <cellStyle name="20% - Accent3 3 3 7 2 3" xfId="22990"/>
    <cellStyle name="20% - Accent3 3 3 7 2 3 2" xfId="42745"/>
    <cellStyle name="20% - Accent3 3 3 7 2 4" xfId="33101"/>
    <cellStyle name="20% - Accent3 3 3 7 3" xfId="18083"/>
    <cellStyle name="20% - Accent3 3 3 7 3 2" xfId="27799"/>
    <cellStyle name="20% - Accent3 3 3 7 3 2 2" xfId="47553"/>
    <cellStyle name="20% - Accent3 3 3 7 3 3" xfId="37909"/>
    <cellStyle name="20% - Accent3 3 3 7 4" xfId="22989"/>
    <cellStyle name="20% - Accent3 3 3 7 4 2" xfId="42744"/>
    <cellStyle name="20% - Accent3 3 3 7 5" xfId="33100"/>
    <cellStyle name="20% - Accent3 3 3 8" xfId="2788"/>
    <cellStyle name="20% - Accent3 3 3 8 2" xfId="18085"/>
    <cellStyle name="20% - Accent3 3 3 8 2 2" xfId="27801"/>
    <cellStyle name="20% - Accent3 3 3 8 2 2 2" xfId="47555"/>
    <cellStyle name="20% - Accent3 3 3 8 2 3" xfId="37911"/>
    <cellStyle name="20% - Accent3 3 3 8 3" xfId="22991"/>
    <cellStyle name="20% - Accent3 3 3 8 3 2" xfId="42746"/>
    <cellStyle name="20% - Accent3 3 3 8 4" xfId="33102"/>
    <cellStyle name="20% - Accent3 3 3 9" xfId="2789"/>
    <cellStyle name="20% - Accent3 3 3 9 2" xfId="18086"/>
    <cellStyle name="20% - Accent3 3 3 9 2 2" xfId="27802"/>
    <cellStyle name="20% - Accent3 3 3 9 2 2 2" xfId="47556"/>
    <cellStyle name="20% - Accent3 3 3 9 2 3" xfId="37912"/>
    <cellStyle name="20% - Accent3 3 3 9 3" xfId="22992"/>
    <cellStyle name="20% - Accent3 3 3 9 3 2" xfId="42747"/>
    <cellStyle name="20% - Accent3 3 3 9 4" xfId="33103"/>
    <cellStyle name="20% - Accent3 3 4" xfId="2790"/>
    <cellStyle name="20% - Accent3 3 4 10" xfId="33104"/>
    <cellStyle name="20% - Accent3 3 4 2" xfId="2791"/>
    <cellStyle name="20% - Accent3 3 4 2 2" xfId="2792"/>
    <cellStyle name="20% - Accent3 3 4 2 2 2" xfId="2793"/>
    <cellStyle name="20% - Accent3 3 4 2 2 2 2" xfId="2794"/>
    <cellStyle name="20% - Accent3 3 4 2 2 2 2 2" xfId="18091"/>
    <cellStyle name="20% - Accent3 3 4 2 2 2 2 2 2" xfId="27807"/>
    <cellStyle name="20% - Accent3 3 4 2 2 2 2 2 2 2" xfId="47561"/>
    <cellStyle name="20% - Accent3 3 4 2 2 2 2 2 3" xfId="37917"/>
    <cellStyle name="20% - Accent3 3 4 2 2 2 2 3" xfId="22997"/>
    <cellStyle name="20% - Accent3 3 4 2 2 2 2 3 2" xfId="42752"/>
    <cellStyle name="20% - Accent3 3 4 2 2 2 2 4" xfId="33108"/>
    <cellStyle name="20% - Accent3 3 4 2 2 2 3" xfId="18090"/>
    <cellStyle name="20% - Accent3 3 4 2 2 2 3 2" xfId="27806"/>
    <cellStyle name="20% - Accent3 3 4 2 2 2 3 2 2" xfId="47560"/>
    <cellStyle name="20% - Accent3 3 4 2 2 2 3 3" xfId="37916"/>
    <cellStyle name="20% - Accent3 3 4 2 2 2 4" xfId="22996"/>
    <cellStyle name="20% - Accent3 3 4 2 2 2 4 2" xfId="42751"/>
    <cellStyle name="20% - Accent3 3 4 2 2 2 5" xfId="33107"/>
    <cellStyle name="20% - Accent3 3 4 2 2 3" xfId="2795"/>
    <cellStyle name="20% - Accent3 3 4 2 2 3 2" xfId="18092"/>
    <cellStyle name="20% - Accent3 3 4 2 2 3 2 2" xfId="27808"/>
    <cellStyle name="20% - Accent3 3 4 2 2 3 2 2 2" xfId="47562"/>
    <cellStyle name="20% - Accent3 3 4 2 2 3 2 3" xfId="37918"/>
    <cellStyle name="20% - Accent3 3 4 2 2 3 3" xfId="22998"/>
    <cellStyle name="20% - Accent3 3 4 2 2 3 3 2" xfId="42753"/>
    <cellStyle name="20% - Accent3 3 4 2 2 3 4" xfId="33109"/>
    <cellStyle name="20% - Accent3 3 4 2 2 4" xfId="18089"/>
    <cellStyle name="20% - Accent3 3 4 2 2 4 2" xfId="27805"/>
    <cellStyle name="20% - Accent3 3 4 2 2 4 2 2" xfId="47559"/>
    <cellStyle name="20% - Accent3 3 4 2 2 4 3" xfId="37915"/>
    <cellStyle name="20% - Accent3 3 4 2 2 5" xfId="22995"/>
    <cellStyle name="20% - Accent3 3 4 2 2 5 2" xfId="42750"/>
    <cellStyle name="20% - Accent3 3 4 2 2 6" xfId="33106"/>
    <cellStyle name="20% - Accent3 3 4 2 3" xfId="2796"/>
    <cellStyle name="20% - Accent3 3 4 2 3 2" xfId="2797"/>
    <cellStyle name="20% - Accent3 3 4 2 3 2 2" xfId="18094"/>
    <cellStyle name="20% - Accent3 3 4 2 3 2 2 2" xfId="27810"/>
    <cellStyle name="20% - Accent3 3 4 2 3 2 2 2 2" xfId="47564"/>
    <cellStyle name="20% - Accent3 3 4 2 3 2 2 3" xfId="37920"/>
    <cellStyle name="20% - Accent3 3 4 2 3 2 3" xfId="23000"/>
    <cellStyle name="20% - Accent3 3 4 2 3 2 3 2" xfId="42755"/>
    <cellStyle name="20% - Accent3 3 4 2 3 2 4" xfId="33111"/>
    <cellStyle name="20% - Accent3 3 4 2 3 3" xfId="18093"/>
    <cellStyle name="20% - Accent3 3 4 2 3 3 2" xfId="27809"/>
    <cellStyle name="20% - Accent3 3 4 2 3 3 2 2" xfId="47563"/>
    <cellStyle name="20% - Accent3 3 4 2 3 3 3" xfId="37919"/>
    <cellStyle name="20% - Accent3 3 4 2 3 4" xfId="22999"/>
    <cellStyle name="20% - Accent3 3 4 2 3 4 2" xfId="42754"/>
    <cellStyle name="20% - Accent3 3 4 2 3 5" xfId="33110"/>
    <cellStyle name="20% - Accent3 3 4 2 4" xfId="2798"/>
    <cellStyle name="20% - Accent3 3 4 2 4 2" xfId="18095"/>
    <cellStyle name="20% - Accent3 3 4 2 4 2 2" xfId="27811"/>
    <cellStyle name="20% - Accent3 3 4 2 4 2 2 2" xfId="47565"/>
    <cellStyle name="20% - Accent3 3 4 2 4 2 3" xfId="37921"/>
    <cellStyle name="20% - Accent3 3 4 2 4 3" xfId="23001"/>
    <cellStyle name="20% - Accent3 3 4 2 4 3 2" xfId="42756"/>
    <cellStyle name="20% - Accent3 3 4 2 4 4" xfId="33112"/>
    <cellStyle name="20% - Accent3 3 4 2 5" xfId="18088"/>
    <cellStyle name="20% - Accent3 3 4 2 5 2" xfId="27804"/>
    <cellStyle name="20% - Accent3 3 4 2 5 2 2" xfId="47558"/>
    <cellStyle name="20% - Accent3 3 4 2 5 3" xfId="37914"/>
    <cellStyle name="20% - Accent3 3 4 2 6" xfId="22994"/>
    <cellStyle name="20% - Accent3 3 4 2 6 2" xfId="42749"/>
    <cellStyle name="20% - Accent3 3 4 2 7" xfId="33105"/>
    <cellStyle name="20% - Accent3 3 4 3" xfId="2799"/>
    <cellStyle name="20% - Accent3 3 4 3 2" xfId="2800"/>
    <cellStyle name="20% - Accent3 3 4 3 2 2" xfId="2801"/>
    <cellStyle name="20% - Accent3 3 4 3 2 2 2" xfId="18098"/>
    <cellStyle name="20% - Accent3 3 4 3 2 2 2 2" xfId="27814"/>
    <cellStyle name="20% - Accent3 3 4 3 2 2 2 2 2" xfId="47568"/>
    <cellStyle name="20% - Accent3 3 4 3 2 2 2 3" xfId="37924"/>
    <cellStyle name="20% - Accent3 3 4 3 2 2 3" xfId="23004"/>
    <cellStyle name="20% - Accent3 3 4 3 2 2 3 2" xfId="42759"/>
    <cellStyle name="20% - Accent3 3 4 3 2 2 4" xfId="33115"/>
    <cellStyle name="20% - Accent3 3 4 3 2 3" xfId="18097"/>
    <cellStyle name="20% - Accent3 3 4 3 2 3 2" xfId="27813"/>
    <cellStyle name="20% - Accent3 3 4 3 2 3 2 2" xfId="47567"/>
    <cellStyle name="20% - Accent3 3 4 3 2 3 3" xfId="37923"/>
    <cellStyle name="20% - Accent3 3 4 3 2 4" xfId="23003"/>
    <cellStyle name="20% - Accent3 3 4 3 2 4 2" xfId="42758"/>
    <cellStyle name="20% - Accent3 3 4 3 2 5" xfId="33114"/>
    <cellStyle name="20% - Accent3 3 4 3 3" xfId="2802"/>
    <cellStyle name="20% - Accent3 3 4 3 3 2" xfId="18099"/>
    <cellStyle name="20% - Accent3 3 4 3 3 2 2" xfId="27815"/>
    <cellStyle name="20% - Accent3 3 4 3 3 2 2 2" xfId="47569"/>
    <cellStyle name="20% - Accent3 3 4 3 3 2 3" xfId="37925"/>
    <cellStyle name="20% - Accent3 3 4 3 3 3" xfId="23005"/>
    <cellStyle name="20% - Accent3 3 4 3 3 3 2" xfId="42760"/>
    <cellStyle name="20% - Accent3 3 4 3 3 4" xfId="33116"/>
    <cellStyle name="20% - Accent3 3 4 3 4" xfId="18096"/>
    <cellStyle name="20% - Accent3 3 4 3 4 2" xfId="27812"/>
    <cellStyle name="20% - Accent3 3 4 3 4 2 2" xfId="47566"/>
    <cellStyle name="20% - Accent3 3 4 3 4 3" xfId="37922"/>
    <cellStyle name="20% - Accent3 3 4 3 5" xfId="23002"/>
    <cellStyle name="20% - Accent3 3 4 3 5 2" xfId="42757"/>
    <cellStyle name="20% - Accent3 3 4 3 6" xfId="33113"/>
    <cellStyle name="20% - Accent3 3 4 4" xfId="2803"/>
    <cellStyle name="20% - Accent3 3 4 4 2" xfId="2804"/>
    <cellStyle name="20% - Accent3 3 4 4 2 2" xfId="18101"/>
    <cellStyle name="20% - Accent3 3 4 4 2 2 2" xfId="27817"/>
    <cellStyle name="20% - Accent3 3 4 4 2 2 2 2" xfId="47571"/>
    <cellStyle name="20% - Accent3 3 4 4 2 2 3" xfId="37927"/>
    <cellStyle name="20% - Accent3 3 4 4 2 3" xfId="23007"/>
    <cellStyle name="20% - Accent3 3 4 4 2 3 2" xfId="42762"/>
    <cellStyle name="20% - Accent3 3 4 4 2 4" xfId="33118"/>
    <cellStyle name="20% - Accent3 3 4 4 3" xfId="18100"/>
    <cellStyle name="20% - Accent3 3 4 4 3 2" xfId="27816"/>
    <cellStyle name="20% - Accent3 3 4 4 3 2 2" xfId="47570"/>
    <cellStyle name="20% - Accent3 3 4 4 3 3" xfId="37926"/>
    <cellStyle name="20% - Accent3 3 4 4 4" xfId="23006"/>
    <cellStyle name="20% - Accent3 3 4 4 4 2" xfId="42761"/>
    <cellStyle name="20% - Accent3 3 4 4 5" xfId="33117"/>
    <cellStyle name="20% - Accent3 3 4 5" xfId="2805"/>
    <cellStyle name="20% - Accent3 3 4 5 2" xfId="18102"/>
    <cellStyle name="20% - Accent3 3 4 5 2 2" xfId="27818"/>
    <cellStyle name="20% - Accent3 3 4 5 2 2 2" xfId="47572"/>
    <cellStyle name="20% - Accent3 3 4 5 2 3" xfId="37928"/>
    <cellStyle name="20% - Accent3 3 4 5 3" xfId="23008"/>
    <cellStyle name="20% - Accent3 3 4 5 3 2" xfId="42763"/>
    <cellStyle name="20% - Accent3 3 4 5 4" xfId="33119"/>
    <cellStyle name="20% - Accent3 3 4 6" xfId="2806"/>
    <cellStyle name="20% - Accent3 3 4 6 2" xfId="18103"/>
    <cellStyle name="20% - Accent3 3 4 6 2 2" xfId="27819"/>
    <cellStyle name="20% - Accent3 3 4 6 2 2 2" xfId="47573"/>
    <cellStyle name="20% - Accent3 3 4 6 2 3" xfId="37929"/>
    <cellStyle name="20% - Accent3 3 4 6 3" xfId="23009"/>
    <cellStyle name="20% - Accent3 3 4 6 3 2" xfId="42764"/>
    <cellStyle name="20% - Accent3 3 4 6 4" xfId="33120"/>
    <cellStyle name="20% - Accent3 3 4 7" xfId="2807"/>
    <cellStyle name="20% - Accent3 3 4 7 2" xfId="18104"/>
    <cellStyle name="20% - Accent3 3 4 7 2 2" xfId="27820"/>
    <cellStyle name="20% - Accent3 3 4 7 2 2 2" xfId="47574"/>
    <cellStyle name="20% - Accent3 3 4 7 2 3" xfId="37930"/>
    <cellStyle name="20% - Accent3 3 4 7 3" xfId="23010"/>
    <cellStyle name="20% - Accent3 3 4 7 3 2" xfId="42765"/>
    <cellStyle name="20% - Accent3 3 4 7 4" xfId="33121"/>
    <cellStyle name="20% - Accent3 3 4 8" xfId="18087"/>
    <cellStyle name="20% - Accent3 3 4 8 2" xfId="27803"/>
    <cellStyle name="20% - Accent3 3 4 8 2 2" xfId="47557"/>
    <cellStyle name="20% - Accent3 3 4 8 3" xfId="37913"/>
    <cellStyle name="20% - Accent3 3 4 9" xfId="22993"/>
    <cellStyle name="20% - Accent3 3 4 9 2" xfId="42748"/>
    <cellStyle name="20% - Accent3 3 5" xfId="2808"/>
    <cellStyle name="20% - Accent3 3 5 2" xfId="2809"/>
    <cellStyle name="20% - Accent3 3 5 2 2" xfId="2810"/>
    <cellStyle name="20% - Accent3 3 5 2 2 2" xfId="2811"/>
    <cellStyle name="20% - Accent3 3 5 2 2 2 2" xfId="18108"/>
    <cellStyle name="20% - Accent3 3 5 2 2 2 2 2" xfId="27824"/>
    <cellStyle name="20% - Accent3 3 5 2 2 2 2 2 2" xfId="47578"/>
    <cellStyle name="20% - Accent3 3 5 2 2 2 2 3" xfId="37934"/>
    <cellStyle name="20% - Accent3 3 5 2 2 2 3" xfId="23014"/>
    <cellStyle name="20% - Accent3 3 5 2 2 2 3 2" xfId="42769"/>
    <cellStyle name="20% - Accent3 3 5 2 2 2 4" xfId="33125"/>
    <cellStyle name="20% - Accent3 3 5 2 2 3" xfId="18107"/>
    <cellStyle name="20% - Accent3 3 5 2 2 3 2" xfId="27823"/>
    <cellStyle name="20% - Accent3 3 5 2 2 3 2 2" xfId="47577"/>
    <cellStyle name="20% - Accent3 3 5 2 2 3 3" xfId="37933"/>
    <cellStyle name="20% - Accent3 3 5 2 2 4" xfId="23013"/>
    <cellStyle name="20% - Accent3 3 5 2 2 4 2" xfId="42768"/>
    <cellStyle name="20% - Accent3 3 5 2 2 5" xfId="33124"/>
    <cellStyle name="20% - Accent3 3 5 2 3" xfId="2812"/>
    <cellStyle name="20% - Accent3 3 5 2 3 2" xfId="18109"/>
    <cellStyle name="20% - Accent3 3 5 2 3 2 2" xfId="27825"/>
    <cellStyle name="20% - Accent3 3 5 2 3 2 2 2" xfId="47579"/>
    <cellStyle name="20% - Accent3 3 5 2 3 2 3" xfId="37935"/>
    <cellStyle name="20% - Accent3 3 5 2 3 3" xfId="23015"/>
    <cellStyle name="20% - Accent3 3 5 2 3 3 2" xfId="42770"/>
    <cellStyle name="20% - Accent3 3 5 2 3 4" xfId="33126"/>
    <cellStyle name="20% - Accent3 3 5 2 4" xfId="18106"/>
    <cellStyle name="20% - Accent3 3 5 2 4 2" xfId="27822"/>
    <cellStyle name="20% - Accent3 3 5 2 4 2 2" xfId="47576"/>
    <cellStyle name="20% - Accent3 3 5 2 4 3" xfId="37932"/>
    <cellStyle name="20% - Accent3 3 5 2 5" xfId="23012"/>
    <cellStyle name="20% - Accent3 3 5 2 5 2" xfId="42767"/>
    <cellStyle name="20% - Accent3 3 5 2 6" xfId="33123"/>
    <cellStyle name="20% - Accent3 3 5 3" xfId="2813"/>
    <cellStyle name="20% - Accent3 3 5 3 2" xfId="2814"/>
    <cellStyle name="20% - Accent3 3 5 3 2 2" xfId="18111"/>
    <cellStyle name="20% - Accent3 3 5 3 2 2 2" xfId="27827"/>
    <cellStyle name="20% - Accent3 3 5 3 2 2 2 2" xfId="47581"/>
    <cellStyle name="20% - Accent3 3 5 3 2 2 3" xfId="37937"/>
    <cellStyle name="20% - Accent3 3 5 3 2 3" xfId="23017"/>
    <cellStyle name="20% - Accent3 3 5 3 2 3 2" xfId="42772"/>
    <cellStyle name="20% - Accent3 3 5 3 2 4" xfId="33128"/>
    <cellStyle name="20% - Accent3 3 5 3 3" xfId="18110"/>
    <cellStyle name="20% - Accent3 3 5 3 3 2" xfId="27826"/>
    <cellStyle name="20% - Accent3 3 5 3 3 2 2" xfId="47580"/>
    <cellStyle name="20% - Accent3 3 5 3 3 3" xfId="37936"/>
    <cellStyle name="20% - Accent3 3 5 3 4" xfId="23016"/>
    <cellStyle name="20% - Accent3 3 5 3 4 2" xfId="42771"/>
    <cellStyle name="20% - Accent3 3 5 3 5" xfId="33127"/>
    <cellStyle name="20% - Accent3 3 5 4" xfId="2815"/>
    <cellStyle name="20% - Accent3 3 5 4 2" xfId="18112"/>
    <cellStyle name="20% - Accent3 3 5 4 2 2" xfId="27828"/>
    <cellStyle name="20% - Accent3 3 5 4 2 2 2" xfId="47582"/>
    <cellStyle name="20% - Accent3 3 5 4 2 3" xfId="37938"/>
    <cellStyle name="20% - Accent3 3 5 4 3" xfId="23018"/>
    <cellStyle name="20% - Accent3 3 5 4 3 2" xfId="42773"/>
    <cellStyle name="20% - Accent3 3 5 4 4" xfId="33129"/>
    <cellStyle name="20% - Accent3 3 5 5" xfId="18105"/>
    <cellStyle name="20% - Accent3 3 5 5 2" xfId="27821"/>
    <cellStyle name="20% - Accent3 3 5 5 2 2" xfId="47575"/>
    <cellStyle name="20% - Accent3 3 5 5 3" xfId="37931"/>
    <cellStyle name="20% - Accent3 3 5 6" xfId="23011"/>
    <cellStyle name="20% - Accent3 3 5 6 2" xfId="42766"/>
    <cellStyle name="20% - Accent3 3 5 7" xfId="33122"/>
    <cellStyle name="20% - Accent3 3 6" xfId="2816"/>
    <cellStyle name="20% - Accent3 3 6 2" xfId="2817"/>
    <cellStyle name="20% - Accent3 3 6 2 2" xfId="2818"/>
    <cellStyle name="20% - Accent3 3 6 2 2 2" xfId="2819"/>
    <cellStyle name="20% - Accent3 3 6 2 2 2 2" xfId="18116"/>
    <cellStyle name="20% - Accent3 3 6 2 2 2 2 2" xfId="27832"/>
    <cellStyle name="20% - Accent3 3 6 2 2 2 2 2 2" xfId="47586"/>
    <cellStyle name="20% - Accent3 3 6 2 2 2 2 3" xfId="37942"/>
    <cellStyle name="20% - Accent3 3 6 2 2 2 3" xfId="23022"/>
    <cellStyle name="20% - Accent3 3 6 2 2 2 3 2" xfId="42777"/>
    <cellStyle name="20% - Accent3 3 6 2 2 2 4" xfId="33133"/>
    <cellStyle name="20% - Accent3 3 6 2 2 3" xfId="18115"/>
    <cellStyle name="20% - Accent3 3 6 2 2 3 2" xfId="27831"/>
    <cellStyle name="20% - Accent3 3 6 2 2 3 2 2" xfId="47585"/>
    <cellStyle name="20% - Accent3 3 6 2 2 3 3" xfId="37941"/>
    <cellStyle name="20% - Accent3 3 6 2 2 4" xfId="23021"/>
    <cellStyle name="20% - Accent3 3 6 2 2 4 2" xfId="42776"/>
    <cellStyle name="20% - Accent3 3 6 2 2 5" xfId="33132"/>
    <cellStyle name="20% - Accent3 3 6 2 3" xfId="2820"/>
    <cellStyle name="20% - Accent3 3 6 2 3 2" xfId="18117"/>
    <cellStyle name="20% - Accent3 3 6 2 3 2 2" xfId="27833"/>
    <cellStyle name="20% - Accent3 3 6 2 3 2 2 2" xfId="47587"/>
    <cellStyle name="20% - Accent3 3 6 2 3 2 3" xfId="37943"/>
    <cellStyle name="20% - Accent3 3 6 2 3 3" xfId="23023"/>
    <cellStyle name="20% - Accent3 3 6 2 3 3 2" xfId="42778"/>
    <cellStyle name="20% - Accent3 3 6 2 3 4" xfId="33134"/>
    <cellStyle name="20% - Accent3 3 6 2 4" xfId="18114"/>
    <cellStyle name="20% - Accent3 3 6 2 4 2" xfId="27830"/>
    <cellStyle name="20% - Accent3 3 6 2 4 2 2" xfId="47584"/>
    <cellStyle name="20% - Accent3 3 6 2 4 3" xfId="37940"/>
    <cellStyle name="20% - Accent3 3 6 2 5" xfId="23020"/>
    <cellStyle name="20% - Accent3 3 6 2 5 2" xfId="42775"/>
    <cellStyle name="20% - Accent3 3 6 2 6" xfId="33131"/>
    <cellStyle name="20% - Accent3 3 6 3" xfId="2821"/>
    <cellStyle name="20% - Accent3 3 6 3 2" xfId="2822"/>
    <cellStyle name="20% - Accent3 3 6 3 2 2" xfId="18119"/>
    <cellStyle name="20% - Accent3 3 6 3 2 2 2" xfId="27835"/>
    <cellStyle name="20% - Accent3 3 6 3 2 2 2 2" xfId="47589"/>
    <cellStyle name="20% - Accent3 3 6 3 2 2 3" xfId="37945"/>
    <cellStyle name="20% - Accent3 3 6 3 2 3" xfId="23025"/>
    <cellStyle name="20% - Accent3 3 6 3 2 3 2" xfId="42780"/>
    <cellStyle name="20% - Accent3 3 6 3 2 4" xfId="33136"/>
    <cellStyle name="20% - Accent3 3 6 3 3" xfId="18118"/>
    <cellStyle name="20% - Accent3 3 6 3 3 2" xfId="27834"/>
    <cellStyle name="20% - Accent3 3 6 3 3 2 2" xfId="47588"/>
    <cellStyle name="20% - Accent3 3 6 3 3 3" xfId="37944"/>
    <cellStyle name="20% - Accent3 3 6 3 4" xfId="23024"/>
    <cellStyle name="20% - Accent3 3 6 3 4 2" xfId="42779"/>
    <cellStyle name="20% - Accent3 3 6 3 5" xfId="33135"/>
    <cellStyle name="20% - Accent3 3 6 4" xfId="2823"/>
    <cellStyle name="20% - Accent3 3 6 4 2" xfId="18120"/>
    <cellStyle name="20% - Accent3 3 6 4 2 2" xfId="27836"/>
    <cellStyle name="20% - Accent3 3 6 4 2 2 2" xfId="47590"/>
    <cellStyle name="20% - Accent3 3 6 4 2 3" xfId="37946"/>
    <cellStyle name="20% - Accent3 3 6 4 3" xfId="23026"/>
    <cellStyle name="20% - Accent3 3 6 4 3 2" xfId="42781"/>
    <cellStyle name="20% - Accent3 3 6 4 4" xfId="33137"/>
    <cellStyle name="20% - Accent3 3 6 5" xfId="18113"/>
    <cellStyle name="20% - Accent3 3 6 5 2" xfId="27829"/>
    <cellStyle name="20% - Accent3 3 6 5 2 2" xfId="47583"/>
    <cellStyle name="20% - Accent3 3 6 5 3" xfId="37939"/>
    <cellStyle name="20% - Accent3 3 6 6" xfId="23019"/>
    <cellStyle name="20% - Accent3 3 6 6 2" xfId="42774"/>
    <cellStyle name="20% - Accent3 3 6 7" xfId="33130"/>
    <cellStyle name="20% - Accent3 3 7" xfId="2824"/>
    <cellStyle name="20% - Accent3 3 8" xfId="2825"/>
    <cellStyle name="20% - Accent3 3 8 2" xfId="2826"/>
    <cellStyle name="20% - Accent3 3 8 2 2" xfId="2827"/>
    <cellStyle name="20% - Accent3 3 8 2 2 2" xfId="18123"/>
    <cellStyle name="20% - Accent3 3 8 2 2 2 2" xfId="27839"/>
    <cellStyle name="20% - Accent3 3 8 2 2 2 2 2" xfId="47593"/>
    <cellStyle name="20% - Accent3 3 8 2 2 2 3" xfId="37949"/>
    <cellStyle name="20% - Accent3 3 8 2 2 3" xfId="23029"/>
    <cellStyle name="20% - Accent3 3 8 2 2 3 2" xfId="42784"/>
    <cellStyle name="20% - Accent3 3 8 2 2 4" xfId="33140"/>
    <cellStyle name="20% - Accent3 3 8 2 3" xfId="18122"/>
    <cellStyle name="20% - Accent3 3 8 2 3 2" xfId="27838"/>
    <cellStyle name="20% - Accent3 3 8 2 3 2 2" xfId="47592"/>
    <cellStyle name="20% - Accent3 3 8 2 3 3" xfId="37948"/>
    <cellStyle name="20% - Accent3 3 8 2 4" xfId="23028"/>
    <cellStyle name="20% - Accent3 3 8 2 4 2" xfId="42783"/>
    <cellStyle name="20% - Accent3 3 8 2 5" xfId="33139"/>
    <cellStyle name="20% - Accent3 3 8 3" xfId="2828"/>
    <cellStyle name="20% - Accent3 3 8 3 2" xfId="18124"/>
    <cellStyle name="20% - Accent3 3 8 3 2 2" xfId="27840"/>
    <cellStyle name="20% - Accent3 3 8 3 2 2 2" xfId="47594"/>
    <cellStyle name="20% - Accent3 3 8 3 2 3" xfId="37950"/>
    <cellStyle name="20% - Accent3 3 8 3 3" xfId="23030"/>
    <cellStyle name="20% - Accent3 3 8 3 3 2" xfId="42785"/>
    <cellStyle name="20% - Accent3 3 8 3 4" xfId="33141"/>
    <cellStyle name="20% - Accent3 3 8 4" xfId="18121"/>
    <cellStyle name="20% - Accent3 3 8 4 2" xfId="27837"/>
    <cellStyle name="20% - Accent3 3 8 4 2 2" xfId="47591"/>
    <cellStyle name="20% - Accent3 3 8 4 3" xfId="37947"/>
    <cellStyle name="20% - Accent3 3 8 5" xfId="23027"/>
    <cellStyle name="20% - Accent3 3 8 5 2" xfId="42782"/>
    <cellStyle name="20% - Accent3 3 8 6" xfId="33138"/>
    <cellStyle name="20% - Accent3 3 9" xfId="2829"/>
    <cellStyle name="20% - Accent3 3 9 2" xfId="2830"/>
    <cellStyle name="20% - Accent3 3 9 2 2" xfId="18126"/>
    <cellStyle name="20% - Accent3 3 9 2 2 2" xfId="27842"/>
    <cellStyle name="20% - Accent3 3 9 2 2 2 2" xfId="47596"/>
    <cellStyle name="20% - Accent3 3 9 2 2 3" xfId="37952"/>
    <cellStyle name="20% - Accent3 3 9 2 3" xfId="23032"/>
    <cellStyle name="20% - Accent3 3 9 2 3 2" xfId="42787"/>
    <cellStyle name="20% - Accent3 3 9 2 4" xfId="33143"/>
    <cellStyle name="20% - Accent3 3 9 3" xfId="18125"/>
    <cellStyle name="20% - Accent3 3 9 3 2" xfId="27841"/>
    <cellStyle name="20% - Accent3 3 9 3 2 2" xfId="47595"/>
    <cellStyle name="20% - Accent3 3 9 3 3" xfId="37951"/>
    <cellStyle name="20% - Accent3 3 9 4" xfId="23031"/>
    <cellStyle name="20% - Accent3 3 9 4 2" xfId="42786"/>
    <cellStyle name="20% - Accent3 3 9 5" xfId="33142"/>
    <cellStyle name="20% - Accent3 4" xfId="48"/>
    <cellStyle name="20% - Accent3 4 10" xfId="2831"/>
    <cellStyle name="20% - Accent3 4 10 2" xfId="18127"/>
    <cellStyle name="20% - Accent3 4 10 2 2" xfId="27843"/>
    <cellStyle name="20% - Accent3 4 10 2 2 2" xfId="47597"/>
    <cellStyle name="20% - Accent3 4 10 2 3" xfId="37953"/>
    <cellStyle name="20% - Accent3 4 10 3" xfId="23033"/>
    <cellStyle name="20% - Accent3 4 10 3 2" xfId="42788"/>
    <cellStyle name="20% - Accent3 4 10 4" xfId="33144"/>
    <cellStyle name="20% - Accent3 4 11" xfId="2832"/>
    <cellStyle name="20% - Accent3 4 11 2" xfId="18128"/>
    <cellStyle name="20% - Accent3 4 11 2 2" xfId="27844"/>
    <cellStyle name="20% - Accent3 4 11 2 2 2" xfId="47598"/>
    <cellStyle name="20% - Accent3 4 11 2 3" xfId="37954"/>
    <cellStyle name="20% - Accent3 4 11 3" xfId="23034"/>
    <cellStyle name="20% - Accent3 4 11 3 2" xfId="42789"/>
    <cellStyle name="20% - Accent3 4 11 4" xfId="33145"/>
    <cellStyle name="20% - Accent3 4 12" xfId="2833"/>
    <cellStyle name="20% - Accent3 4 12 2" xfId="18129"/>
    <cellStyle name="20% - Accent3 4 12 2 2" xfId="27845"/>
    <cellStyle name="20% - Accent3 4 12 2 2 2" xfId="47599"/>
    <cellStyle name="20% - Accent3 4 12 2 3" xfId="37955"/>
    <cellStyle name="20% - Accent3 4 12 3" xfId="23035"/>
    <cellStyle name="20% - Accent3 4 12 3 2" xfId="42790"/>
    <cellStyle name="20% - Accent3 4 12 4" xfId="33146"/>
    <cellStyle name="20% - Accent3 4 13" xfId="15415"/>
    <cellStyle name="20% - Accent3 4 13 2" xfId="20287"/>
    <cellStyle name="20% - Accent3 4 13 2 2" xfId="30001"/>
    <cellStyle name="20% - Accent3 4 13 2 2 2" xfId="49754"/>
    <cellStyle name="20% - Accent3 4 13 2 3" xfId="40110"/>
    <cellStyle name="20% - Accent3 4 13 3" xfId="25189"/>
    <cellStyle name="20% - Accent3 4 13 3 2" xfId="44943"/>
    <cellStyle name="20% - Accent3 4 13 4" xfId="35299"/>
    <cellStyle name="20% - Accent3 4 14" xfId="15847"/>
    <cellStyle name="20% - Accent3 4 14 2" xfId="25563"/>
    <cellStyle name="20% - Accent3 4 14 2 2" xfId="45317"/>
    <cellStyle name="20% - Accent3 4 14 3" xfId="35673"/>
    <cellStyle name="20% - Accent3 4 15" xfId="20721"/>
    <cellStyle name="20% - Accent3 4 15 2" xfId="40501"/>
    <cellStyle name="20% - Accent3 4 16" xfId="30431"/>
    <cellStyle name="20% - Accent3 4 16 2" xfId="50179"/>
    <cellStyle name="20% - Accent3 4 17" xfId="30832"/>
    <cellStyle name="20% - Accent3 4 2" xfId="49"/>
    <cellStyle name="20% - Accent3 4 2 10" xfId="2834"/>
    <cellStyle name="20% - Accent3 4 2 10 2" xfId="18130"/>
    <cellStyle name="20% - Accent3 4 2 10 2 2" xfId="27846"/>
    <cellStyle name="20% - Accent3 4 2 10 2 2 2" xfId="47600"/>
    <cellStyle name="20% - Accent3 4 2 10 2 3" xfId="37956"/>
    <cellStyle name="20% - Accent3 4 2 10 3" xfId="23036"/>
    <cellStyle name="20% - Accent3 4 2 10 3 2" xfId="42791"/>
    <cellStyle name="20% - Accent3 4 2 10 4" xfId="33147"/>
    <cellStyle name="20% - Accent3 4 2 11" xfId="2835"/>
    <cellStyle name="20% - Accent3 4 2 11 2" xfId="18131"/>
    <cellStyle name="20% - Accent3 4 2 11 2 2" xfId="27847"/>
    <cellStyle name="20% - Accent3 4 2 11 2 2 2" xfId="47601"/>
    <cellStyle name="20% - Accent3 4 2 11 2 3" xfId="37957"/>
    <cellStyle name="20% - Accent3 4 2 11 3" xfId="23037"/>
    <cellStyle name="20% - Accent3 4 2 11 3 2" xfId="42792"/>
    <cellStyle name="20% - Accent3 4 2 11 4" xfId="33148"/>
    <cellStyle name="20% - Accent3 4 2 12" xfId="15416"/>
    <cellStyle name="20% - Accent3 4 2 12 2" xfId="20288"/>
    <cellStyle name="20% - Accent3 4 2 12 2 2" xfId="30002"/>
    <cellStyle name="20% - Accent3 4 2 12 2 2 2" xfId="49755"/>
    <cellStyle name="20% - Accent3 4 2 12 2 3" xfId="40111"/>
    <cellStyle name="20% - Accent3 4 2 12 3" xfId="25190"/>
    <cellStyle name="20% - Accent3 4 2 12 3 2" xfId="44944"/>
    <cellStyle name="20% - Accent3 4 2 12 4" xfId="35300"/>
    <cellStyle name="20% - Accent3 4 2 13" xfId="15848"/>
    <cellStyle name="20% - Accent3 4 2 13 2" xfId="25564"/>
    <cellStyle name="20% - Accent3 4 2 13 2 2" xfId="45318"/>
    <cellStyle name="20% - Accent3 4 2 13 3" xfId="35674"/>
    <cellStyle name="20% - Accent3 4 2 14" xfId="20722"/>
    <cellStyle name="20% - Accent3 4 2 14 2" xfId="40502"/>
    <cellStyle name="20% - Accent3 4 2 15" xfId="30432"/>
    <cellStyle name="20% - Accent3 4 2 15 2" xfId="50180"/>
    <cellStyle name="20% - Accent3 4 2 16" xfId="30833"/>
    <cellStyle name="20% - Accent3 4 2 2" xfId="50"/>
    <cellStyle name="20% - Accent3 4 2 2 10" xfId="15417"/>
    <cellStyle name="20% - Accent3 4 2 2 10 2" xfId="20289"/>
    <cellStyle name="20% - Accent3 4 2 2 10 2 2" xfId="30003"/>
    <cellStyle name="20% - Accent3 4 2 2 10 2 2 2" xfId="49756"/>
    <cellStyle name="20% - Accent3 4 2 2 10 2 3" xfId="40112"/>
    <cellStyle name="20% - Accent3 4 2 2 10 3" xfId="25191"/>
    <cellStyle name="20% - Accent3 4 2 2 10 3 2" xfId="44945"/>
    <cellStyle name="20% - Accent3 4 2 2 10 4" xfId="35301"/>
    <cellStyle name="20% - Accent3 4 2 2 11" xfId="15849"/>
    <cellStyle name="20% - Accent3 4 2 2 11 2" xfId="25565"/>
    <cellStyle name="20% - Accent3 4 2 2 11 2 2" xfId="45319"/>
    <cellStyle name="20% - Accent3 4 2 2 11 3" xfId="35675"/>
    <cellStyle name="20% - Accent3 4 2 2 12" xfId="20723"/>
    <cellStyle name="20% - Accent3 4 2 2 12 2" xfId="40503"/>
    <cellStyle name="20% - Accent3 4 2 2 13" xfId="30433"/>
    <cellStyle name="20% - Accent3 4 2 2 13 2" xfId="50181"/>
    <cellStyle name="20% - Accent3 4 2 2 14" xfId="30834"/>
    <cellStyle name="20% - Accent3 4 2 2 2" xfId="745"/>
    <cellStyle name="20% - Accent3 4 2 2 2 2" xfId="2836"/>
    <cellStyle name="20% - Accent3 4 2 2 2 2 2" xfId="2837"/>
    <cellStyle name="20% - Accent3 4 2 2 2 2 2 2" xfId="2838"/>
    <cellStyle name="20% - Accent3 4 2 2 2 2 2 2 2" xfId="18134"/>
    <cellStyle name="20% - Accent3 4 2 2 2 2 2 2 2 2" xfId="27850"/>
    <cellStyle name="20% - Accent3 4 2 2 2 2 2 2 2 2 2" xfId="47604"/>
    <cellStyle name="20% - Accent3 4 2 2 2 2 2 2 2 3" xfId="37960"/>
    <cellStyle name="20% - Accent3 4 2 2 2 2 2 2 3" xfId="23040"/>
    <cellStyle name="20% - Accent3 4 2 2 2 2 2 2 3 2" xfId="42795"/>
    <cellStyle name="20% - Accent3 4 2 2 2 2 2 2 4" xfId="33151"/>
    <cellStyle name="20% - Accent3 4 2 2 2 2 2 3" xfId="18133"/>
    <cellStyle name="20% - Accent3 4 2 2 2 2 2 3 2" xfId="27849"/>
    <cellStyle name="20% - Accent3 4 2 2 2 2 2 3 2 2" xfId="47603"/>
    <cellStyle name="20% - Accent3 4 2 2 2 2 2 3 3" xfId="37959"/>
    <cellStyle name="20% - Accent3 4 2 2 2 2 2 4" xfId="23039"/>
    <cellStyle name="20% - Accent3 4 2 2 2 2 2 4 2" xfId="42794"/>
    <cellStyle name="20% - Accent3 4 2 2 2 2 2 5" xfId="33150"/>
    <cellStyle name="20% - Accent3 4 2 2 2 2 3" xfId="2839"/>
    <cellStyle name="20% - Accent3 4 2 2 2 2 3 2" xfId="18135"/>
    <cellStyle name="20% - Accent3 4 2 2 2 2 3 2 2" xfId="27851"/>
    <cellStyle name="20% - Accent3 4 2 2 2 2 3 2 2 2" xfId="47605"/>
    <cellStyle name="20% - Accent3 4 2 2 2 2 3 2 3" xfId="37961"/>
    <cellStyle name="20% - Accent3 4 2 2 2 2 3 3" xfId="23041"/>
    <cellStyle name="20% - Accent3 4 2 2 2 2 3 3 2" xfId="42796"/>
    <cellStyle name="20% - Accent3 4 2 2 2 2 3 4" xfId="33152"/>
    <cellStyle name="20% - Accent3 4 2 2 2 2 4" xfId="18132"/>
    <cellStyle name="20% - Accent3 4 2 2 2 2 4 2" xfId="27848"/>
    <cellStyle name="20% - Accent3 4 2 2 2 2 4 2 2" xfId="47602"/>
    <cellStyle name="20% - Accent3 4 2 2 2 2 4 3" xfId="37958"/>
    <cellStyle name="20% - Accent3 4 2 2 2 2 5" xfId="23038"/>
    <cellStyle name="20% - Accent3 4 2 2 2 2 5 2" xfId="42793"/>
    <cellStyle name="20% - Accent3 4 2 2 2 2 6" xfId="33149"/>
    <cellStyle name="20% - Accent3 4 2 2 2 3" xfId="2840"/>
    <cellStyle name="20% - Accent3 4 2 2 2 3 2" xfId="2841"/>
    <cellStyle name="20% - Accent3 4 2 2 2 3 2 2" xfId="18137"/>
    <cellStyle name="20% - Accent3 4 2 2 2 3 2 2 2" xfId="27853"/>
    <cellStyle name="20% - Accent3 4 2 2 2 3 2 2 2 2" xfId="47607"/>
    <cellStyle name="20% - Accent3 4 2 2 2 3 2 2 3" xfId="37963"/>
    <cellStyle name="20% - Accent3 4 2 2 2 3 2 3" xfId="23043"/>
    <cellStyle name="20% - Accent3 4 2 2 2 3 2 3 2" xfId="42798"/>
    <cellStyle name="20% - Accent3 4 2 2 2 3 2 4" xfId="33154"/>
    <cellStyle name="20% - Accent3 4 2 2 2 3 3" xfId="18136"/>
    <cellStyle name="20% - Accent3 4 2 2 2 3 3 2" xfId="27852"/>
    <cellStyle name="20% - Accent3 4 2 2 2 3 3 2 2" xfId="47606"/>
    <cellStyle name="20% - Accent3 4 2 2 2 3 3 3" xfId="37962"/>
    <cellStyle name="20% - Accent3 4 2 2 2 3 4" xfId="23042"/>
    <cellStyle name="20% - Accent3 4 2 2 2 3 4 2" xfId="42797"/>
    <cellStyle name="20% - Accent3 4 2 2 2 3 5" xfId="33153"/>
    <cellStyle name="20% - Accent3 4 2 2 2 4" xfId="2842"/>
    <cellStyle name="20% - Accent3 4 2 2 2 4 2" xfId="18138"/>
    <cellStyle name="20% - Accent3 4 2 2 2 4 2 2" xfId="27854"/>
    <cellStyle name="20% - Accent3 4 2 2 2 4 2 2 2" xfId="47608"/>
    <cellStyle name="20% - Accent3 4 2 2 2 4 2 3" xfId="37964"/>
    <cellStyle name="20% - Accent3 4 2 2 2 4 3" xfId="23044"/>
    <cellStyle name="20% - Accent3 4 2 2 2 4 3 2" xfId="42799"/>
    <cellStyle name="20% - Accent3 4 2 2 2 4 4" xfId="33155"/>
    <cellStyle name="20% - Accent3 4 2 2 2 5" xfId="15418"/>
    <cellStyle name="20% - Accent3 4 2 2 2 5 2" xfId="20290"/>
    <cellStyle name="20% - Accent3 4 2 2 2 5 2 2" xfId="30004"/>
    <cellStyle name="20% - Accent3 4 2 2 2 5 2 2 2" xfId="49757"/>
    <cellStyle name="20% - Accent3 4 2 2 2 5 2 3" xfId="40113"/>
    <cellStyle name="20% - Accent3 4 2 2 2 5 3" xfId="25192"/>
    <cellStyle name="20% - Accent3 4 2 2 2 5 3 2" xfId="44946"/>
    <cellStyle name="20% - Accent3 4 2 2 2 5 4" xfId="35302"/>
    <cellStyle name="20% - Accent3 4 2 2 2 6" xfId="16092"/>
    <cellStyle name="20% - Accent3 4 2 2 2 6 2" xfId="25808"/>
    <cellStyle name="20% - Accent3 4 2 2 2 6 2 2" xfId="45562"/>
    <cellStyle name="20% - Accent3 4 2 2 2 6 3" xfId="35918"/>
    <cellStyle name="20% - Accent3 4 2 2 2 7" xfId="20998"/>
    <cellStyle name="20% - Accent3 4 2 2 2 7 2" xfId="40753"/>
    <cellStyle name="20% - Accent3 4 2 2 2 8" xfId="30434"/>
    <cellStyle name="20% - Accent3 4 2 2 2 8 2" xfId="50182"/>
    <cellStyle name="20% - Accent3 4 2 2 2 9" xfId="31109"/>
    <cellStyle name="20% - Accent3 4 2 2 3" xfId="746"/>
    <cellStyle name="20% - Accent3 4 2 2 3 2" xfId="2843"/>
    <cellStyle name="20% - Accent3 4 2 2 3 2 2" xfId="2844"/>
    <cellStyle name="20% - Accent3 4 2 2 3 2 2 2" xfId="2845"/>
    <cellStyle name="20% - Accent3 4 2 2 3 2 2 2 2" xfId="18141"/>
    <cellStyle name="20% - Accent3 4 2 2 3 2 2 2 2 2" xfId="27857"/>
    <cellStyle name="20% - Accent3 4 2 2 3 2 2 2 2 2 2" xfId="47611"/>
    <cellStyle name="20% - Accent3 4 2 2 3 2 2 2 2 3" xfId="37967"/>
    <cellStyle name="20% - Accent3 4 2 2 3 2 2 2 3" xfId="23047"/>
    <cellStyle name="20% - Accent3 4 2 2 3 2 2 2 3 2" xfId="42802"/>
    <cellStyle name="20% - Accent3 4 2 2 3 2 2 2 4" xfId="33158"/>
    <cellStyle name="20% - Accent3 4 2 2 3 2 2 3" xfId="18140"/>
    <cellStyle name="20% - Accent3 4 2 2 3 2 2 3 2" xfId="27856"/>
    <cellStyle name="20% - Accent3 4 2 2 3 2 2 3 2 2" xfId="47610"/>
    <cellStyle name="20% - Accent3 4 2 2 3 2 2 3 3" xfId="37966"/>
    <cellStyle name="20% - Accent3 4 2 2 3 2 2 4" xfId="23046"/>
    <cellStyle name="20% - Accent3 4 2 2 3 2 2 4 2" xfId="42801"/>
    <cellStyle name="20% - Accent3 4 2 2 3 2 2 5" xfId="33157"/>
    <cellStyle name="20% - Accent3 4 2 2 3 2 3" xfId="2846"/>
    <cellStyle name="20% - Accent3 4 2 2 3 2 3 2" xfId="18142"/>
    <cellStyle name="20% - Accent3 4 2 2 3 2 3 2 2" xfId="27858"/>
    <cellStyle name="20% - Accent3 4 2 2 3 2 3 2 2 2" xfId="47612"/>
    <cellStyle name="20% - Accent3 4 2 2 3 2 3 2 3" xfId="37968"/>
    <cellStyle name="20% - Accent3 4 2 2 3 2 3 3" xfId="23048"/>
    <cellStyle name="20% - Accent3 4 2 2 3 2 3 3 2" xfId="42803"/>
    <cellStyle name="20% - Accent3 4 2 2 3 2 3 4" xfId="33159"/>
    <cellStyle name="20% - Accent3 4 2 2 3 2 4" xfId="18139"/>
    <cellStyle name="20% - Accent3 4 2 2 3 2 4 2" xfId="27855"/>
    <cellStyle name="20% - Accent3 4 2 2 3 2 4 2 2" xfId="47609"/>
    <cellStyle name="20% - Accent3 4 2 2 3 2 4 3" xfId="37965"/>
    <cellStyle name="20% - Accent3 4 2 2 3 2 5" xfId="23045"/>
    <cellStyle name="20% - Accent3 4 2 2 3 2 5 2" xfId="42800"/>
    <cellStyle name="20% - Accent3 4 2 2 3 2 6" xfId="33156"/>
    <cellStyle name="20% - Accent3 4 2 2 3 3" xfId="2847"/>
    <cellStyle name="20% - Accent3 4 2 2 3 3 2" xfId="2848"/>
    <cellStyle name="20% - Accent3 4 2 2 3 3 2 2" xfId="18144"/>
    <cellStyle name="20% - Accent3 4 2 2 3 3 2 2 2" xfId="27860"/>
    <cellStyle name="20% - Accent3 4 2 2 3 3 2 2 2 2" xfId="47614"/>
    <cellStyle name="20% - Accent3 4 2 2 3 3 2 2 3" xfId="37970"/>
    <cellStyle name="20% - Accent3 4 2 2 3 3 2 3" xfId="23050"/>
    <cellStyle name="20% - Accent3 4 2 2 3 3 2 3 2" xfId="42805"/>
    <cellStyle name="20% - Accent3 4 2 2 3 3 2 4" xfId="33161"/>
    <cellStyle name="20% - Accent3 4 2 2 3 3 3" xfId="18143"/>
    <cellStyle name="20% - Accent3 4 2 2 3 3 3 2" xfId="27859"/>
    <cellStyle name="20% - Accent3 4 2 2 3 3 3 2 2" xfId="47613"/>
    <cellStyle name="20% - Accent3 4 2 2 3 3 3 3" xfId="37969"/>
    <cellStyle name="20% - Accent3 4 2 2 3 3 4" xfId="23049"/>
    <cellStyle name="20% - Accent3 4 2 2 3 3 4 2" xfId="42804"/>
    <cellStyle name="20% - Accent3 4 2 2 3 3 5" xfId="33160"/>
    <cellStyle name="20% - Accent3 4 2 2 3 4" xfId="2849"/>
    <cellStyle name="20% - Accent3 4 2 2 3 4 2" xfId="18145"/>
    <cellStyle name="20% - Accent3 4 2 2 3 4 2 2" xfId="27861"/>
    <cellStyle name="20% - Accent3 4 2 2 3 4 2 2 2" xfId="47615"/>
    <cellStyle name="20% - Accent3 4 2 2 3 4 2 3" xfId="37971"/>
    <cellStyle name="20% - Accent3 4 2 2 3 4 3" xfId="23051"/>
    <cellStyle name="20% - Accent3 4 2 2 3 4 3 2" xfId="42806"/>
    <cellStyle name="20% - Accent3 4 2 2 3 4 4" xfId="33162"/>
    <cellStyle name="20% - Accent3 4 2 2 3 5" xfId="16093"/>
    <cellStyle name="20% - Accent3 4 2 2 3 5 2" xfId="25809"/>
    <cellStyle name="20% - Accent3 4 2 2 3 5 2 2" xfId="45563"/>
    <cellStyle name="20% - Accent3 4 2 2 3 5 3" xfId="35919"/>
    <cellStyle name="20% - Accent3 4 2 2 3 6" xfId="20999"/>
    <cellStyle name="20% - Accent3 4 2 2 3 6 2" xfId="40754"/>
    <cellStyle name="20% - Accent3 4 2 2 3 7" xfId="31110"/>
    <cellStyle name="20% - Accent3 4 2 2 4" xfId="2850"/>
    <cellStyle name="20% - Accent3 4 2 2 4 2" xfId="2851"/>
    <cellStyle name="20% - Accent3 4 2 2 4 2 2" xfId="2852"/>
    <cellStyle name="20% - Accent3 4 2 2 4 2 2 2" xfId="2853"/>
    <cellStyle name="20% - Accent3 4 2 2 4 2 2 2 2" xfId="18149"/>
    <cellStyle name="20% - Accent3 4 2 2 4 2 2 2 2 2" xfId="27865"/>
    <cellStyle name="20% - Accent3 4 2 2 4 2 2 2 2 2 2" xfId="47619"/>
    <cellStyle name="20% - Accent3 4 2 2 4 2 2 2 2 3" xfId="37975"/>
    <cellStyle name="20% - Accent3 4 2 2 4 2 2 2 3" xfId="23055"/>
    <cellStyle name="20% - Accent3 4 2 2 4 2 2 2 3 2" xfId="42810"/>
    <cellStyle name="20% - Accent3 4 2 2 4 2 2 2 4" xfId="33166"/>
    <cellStyle name="20% - Accent3 4 2 2 4 2 2 3" xfId="18148"/>
    <cellStyle name="20% - Accent3 4 2 2 4 2 2 3 2" xfId="27864"/>
    <cellStyle name="20% - Accent3 4 2 2 4 2 2 3 2 2" xfId="47618"/>
    <cellStyle name="20% - Accent3 4 2 2 4 2 2 3 3" xfId="37974"/>
    <cellStyle name="20% - Accent3 4 2 2 4 2 2 4" xfId="23054"/>
    <cellStyle name="20% - Accent3 4 2 2 4 2 2 4 2" xfId="42809"/>
    <cellStyle name="20% - Accent3 4 2 2 4 2 2 5" xfId="33165"/>
    <cellStyle name="20% - Accent3 4 2 2 4 2 3" xfId="2854"/>
    <cellStyle name="20% - Accent3 4 2 2 4 2 3 2" xfId="18150"/>
    <cellStyle name="20% - Accent3 4 2 2 4 2 3 2 2" xfId="27866"/>
    <cellStyle name="20% - Accent3 4 2 2 4 2 3 2 2 2" xfId="47620"/>
    <cellStyle name="20% - Accent3 4 2 2 4 2 3 2 3" xfId="37976"/>
    <cellStyle name="20% - Accent3 4 2 2 4 2 3 3" xfId="23056"/>
    <cellStyle name="20% - Accent3 4 2 2 4 2 3 3 2" xfId="42811"/>
    <cellStyle name="20% - Accent3 4 2 2 4 2 3 4" xfId="33167"/>
    <cellStyle name="20% - Accent3 4 2 2 4 2 4" xfId="18147"/>
    <cellStyle name="20% - Accent3 4 2 2 4 2 4 2" xfId="27863"/>
    <cellStyle name="20% - Accent3 4 2 2 4 2 4 2 2" xfId="47617"/>
    <cellStyle name="20% - Accent3 4 2 2 4 2 4 3" xfId="37973"/>
    <cellStyle name="20% - Accent3 4 2 2 4 2 5" xfId="23053"/>
    <cellStyle name="20% - Accent3 4 2 2 4 2 5 2" xfId="42808"/>
    <cellStyle name="20% - Accent3 4 2 2 4 2 6" xfId="33164"/>
    <cellStyle name="20% - Accent3 4 2 2 4 3" xfId="2855"/>
    <cellStyle name="20% - Accent3 4 2 2 4 3 2" xfId="2856"/>
    <cellStyle name="20% - Accent3 4 2 2 4 3 2 2" xfId="18152"/>
    <cellStyle name="20% - Accent3 4 2 2 4 3 2 2 2" xfId="27868"/>
    <cellStyle name="20% - Accent3 4 2 2 4 3 2 2 2 2" xfId="47622"/>
    <cellStyle name="20% - Accent3 4 2 2 4 3 2 2 3" xfId="37978"/>
    <cellStyle name="20% - Accent3 4 2 2 4 3 2 3" xfId="23058"/>
    <cellStyle name="20% - Accent3 4 2 2 4 3 2 3 2" xfId="42813"/>
    <cellStyle name="20% - Accent3 4 2 2 4 3 2 4" xfId="33169"/>
    <cellStyle name="20% - Accent3 4 2 2 4 3 3" xfId="18151"/>
    <cellStyle name="20% - Accent3 4 2 2 4 3 3 2" xfId="27867"/>
    <cellStyle name="20% - Accent3 4 2 2 4 3 3 2 2" xfId="47621"/>
    <cellStyle name="20% - Accent3 4 2 2 4 3 3 3" xfId="37977"/>
    <cellStyle name="20% - Accent3 4 2 2 4 3 4" xfId="23057"/>
    <cellStyle name="20% - Accent3 4 2 2 4 3 4 2" xfId="42812"/>
    <cellStyle name="20% - Accent3 4 2 2 4 3 5" xfId="33168"/>
    <cellStyle name="20% - Accent3 4 2 2 4 4" xfId="2857"/>
    <cellStyle name="20% - Accent3 4 2 2 4 4 2" xfId="18153"/>
    <cellStyle name="20% - Accent3 4 2 2 4 4 2 2" xfId="27869"/>
    <cellStyle name="20% - Accent3 4 2 2 4 4 2 2 2" xfId="47623"/>
    <cellStyle name="20% - Accent3 4 2 2 4 4 2 3" xfId="37979"/>
    <cellStyle name="20% - Accent3 4 2 2 4 4 3" xfId="23059"/>
    <cellStyle name="20% - Accent3 4 2 2 4 4 3 2" xfId="42814"/>
    <cellStyle name="20% - Accent3 4 2 2 4 4 4" xfId="33170"/>
    <cellStyle name="20% - Accent3 4 2 2 4 5" xfId="18146"/>
    <cellStyle name="20% - Accent3 4 2 2 4 5 2" xfId="27862"/>
    <cellStyle name="20% - Accent3 4 2 2 4 5 2 2" xfId="47616"/>
    <cellStyle name="20% - Accent3 4 2 2 4 5 3" xfId="37972"/>
    <cellStyle name="20% - Accent3 4 2 2 4 6" xfId="23052"/>
    <cellStyle name="20% - Accent3 4 2 2 4 6 2" xfId="42807"/>
    <cellStyle name="20% - Accent3 4 2 2 4 7" xfId="33163"/>
    <cellStyle name="20% - Accent3 4 2 2 5" xfId="2858"/>
    <cellStyle name="20% - Accent3 4 2 2 5 2" xfId="2859"/>
    <cellStyle name="20% - Accent3 4 2 2 5 2 2" xfId="2860"/>
    <cellStyle name="20% - Accent3 4 2 2 5 2 2 2" xfId="18156"/>
    <cellStyle name="20% - Accent3 4 2 2 5 2 2 2 2" xfId="27872"/>
    <cellStyle name="20% - Accent3 4 2 2 5 2 2 2 2 2" xfId="47626"/>
    <cellStyle name="20% - Accent3 4 2 2 5 2 2 2 3" xfId="37982"/>
    <cellStyle name="20% - Accent3 4 2 2 5 2 2 3" xfId="23062"/>
    <cellStyle name="20% - Accent3 4 2 2 5 2 2 3 2" xfId="42817"/>
    <cellStyle name="20% - Accent3 4 2 2 5 2 2 4" xfId="33173"/>
    <cellStyle name="20% - Accent3 4 2 2 5 2 3" xfId="18155"/>
    <cellStyle name="20% - Accent3 4 2 2 5 2 3 2" xfId="27871"/>
    <cellStyle name="20% - Accent3 4 2 2 5 2 3 2 2" xfId="47625"/>
    <cellStyle name="20% - Accent3 4 2 2 5 2 3 3" xfId="37981"/>
    <cellStyle name="20% - Accent3 4 2 2 5 2 4" xfId="23061"/>
    <cellStyle name="20% - Accent3 4 2 2 5 2 4 2" xfId="42816"/>
    <cellStyle name="20% - Accent3 4 2 2 5 2 5" xfId="33172"/>
    <cellStyle name="20% - Accent3 4 2 2 5 3" xfId="2861"/>
    <cellStyle name="20% - Accent3 4 2 2 5 3 2" xfId="18157"/>
    <cellStyle name="20% - Accent3 4 2 2 5 3 2 2" xfId="27873"/>
    <cellStyle name="20% - Accent3 4 2 2 5 3 2 2 2" xfId="47627"/>
    <cellStyle name="20% - Accent3 4 2 2 5 3 2 3" xfId="37983"/>
    <cellStyle name="20% - Accent3 4 2 2 5 3 3" xfId="23063"/>
    <cellStyle name="20% - Accent3 4 2 2 5 3 3 2" xfId="42818"/>
    <cellStyle name="20% - Accent3 4 2 2 5 3 4" xfId="33174"/>
    <cellStyle name="20% - Accent3 4 2 2 5 4" xfId="18154"/>
    <cellStyle name="20% - Accent3 4 2 2 5 4 2" xfId="27870"/>
    <cellStyle name="20% - Accent3 4 2 2 5 4 2 2" xfId="47624"/>
    <cellStyle name="20% - Accent3 4 2 2 5 4 3" xfId="37980"/>
    <cellStyle name="20% - Accent3 4 2 2 5 5" xfId="23060"/>
    <cellStyle name="20% - Accent3 4 2 2 5 5 2" xfId="42815"/>
    <cellStyle name="20% - Accent3 4 2 2 5 6" xfId="33171"/>
    <cellStyle name="20% - Accent3 4 2 2 6" xfId="2862"/>
    <cellStyle name="20% - Accent3 4 2 2 6 2" xfId="2863"/>
    <cellStyle name="20% - Accent3 4 2 2 6 2 2" xfId="18159"/>
    <cellStyle name="20% - Accent3 4 2 2 6 2 2 2" xfId="27875"/>
    <cellStyle name="20% - Accent3 4 2 2 6 2 2 2 2" xfId="47629"/>
    <cellStyle name="20% - Accent3 4 2 2 6 2 2 3" xfId="37985"/>
    <cellStyle name="20% - Accent3 4 2 2 6 2 3" xfId="23065"/>
    <cellStyle name="20% - Accent3 4 2 2 6 2 3 2" xfId="42820"/>
    <cellStyle name="20% - Accent3 4 2 2 6 2 4" xfId="33176"/>
    <cellStyle name="20% - Accent3 4 2 2 6 3" xfId="18158"/>
    <cellStyle name="20% - Accent3 4 2 2 6 3 2" xfId="27874"/>
    <cellStyle name="20% - Accent3 4 2 2 6 3 2 2" xfId="47628"/>
    <cellStyle name="20% - Accent3 4 2 2 6 3 3" xfId="37984"/>
    <cellStyle name="20% - Accent3 4 2 2 6 4" xfId="23064"/>
    <cellStyle name="20% - Accent3 4 2 2 6 4 2" xfId="42819"/>
    <cellStyle name="20% - Accent3 4 2 2 6 5" xfId="33175"/>
    <cellStyle name="20% - Accent3 4 2 2 7" xfId="2864"/>
    <cellStyle name="20% - Accent3 4 2 2 7 2" xfId="18160"/>
    <cellStyle name="20% - Accent3 4 2 2 7 2 2" xfId="27876"/>
    <cellStyle name="20% - Accent3 4 2 2 7 2 2 2" xfId="47630"/>
    <cellStyle name="20% - Accent3 4 2 2 7 2 3" xfId="37986"/>
    <cellStyle name="20% - Accent3 4 2 2 7 3" xfId="23066"/>
    <cellStyle name="20% - Accent3 4 2 2 7 3 2" xfId="42821"/>
    <cellStyle name="20% - Accent3 4 2 2 7 4" xfId="33177"/>
    <cellStyle name="20% - Accent3 4 2 2 8" xfId="2865"/>
    <cellStyle name="20% - Accent3 4 2 2 8 2" xfId="18161"/>
    <cellStyle name="20% - Accent3 4 2 2 8 2 2" xfId="27877"/>
    <cellStyle name="20% - Accent3 4 2 2 8 2 2 2" xfId="47631"/>
    <cellStyle name="20% - Accent3 4 2 2 8 2 3" xfId="37987"/>
    <cellStyle name="20% - Accent3 4 2 2 8 3" xfId="23067"/>
    <cellStyle name="20% - Accent3 4 2 2 8 3 2" xfId="42822"/>
    <cellStyle name="20% - Accent3 4 2 2 8 4" xfId="33178"/>
    <cellStyle name="20% - Accent3 4 2 2 9" xfId="2866"/>
    <cellStyle name="20% - Accent3 4 2 2 9 2" xfId="18162"/>
    <cellStyle name="20% - Accent3 4 2 2 9 2 2" xfId="27878"/>
    <cellStyle name="20% - Accent3 4 2 2 9 2 2 2" xfId="47632"/>
    <cellStyle name="20% - Accent3 4 2 2 9 2 3" xfId="37988"/>
    <cellStyle name="20% - Accent3 4 2 2 9 3" xfId="23068"/>
    <cellStyle name="20% - Accent3 4 2 2 9 3 2" xfId="42823"/>
    <cellStyle name="20% - Accent3 4 2 2 9 4" xfId="33179"/>
    <cellStyle name="20% - Accent3 4 2 3" xfId="747"/>
    <cellStyle name="20% - Accent3 4 2 3 2" xfId="2867"/>
    <cellStyle name="20% - Accent3 4 2 3 2 2" xfId="2868"/>
    <cellStyle name="20% - Accent3 4 2 3 2 2 2" xfId="2869"/>
    <cellStyle name="20% - Accent3 4 2 3 2 2 2 2" xfId="18165"/>
    <cellStyle name="20% - Accent3 4 2 3 2 2 2 2 2" xfId="27881"/>
    <cellStyle name="20% - Accent3 4 2 3 2 2 2 2 2 2" xfId="47635"/>
    <cellStyle name="20% - Accent3 4 2 3 2 2 2 2 3" xfId="37991"/>
    <cellStyle name="20% - Accent3 4 2 3 2 2 2 3" xfId="23071"/>
    <cellStyle name="20% - Accent3 4 2 3 2 2 2 3 2" xfId="42826"/>
    <cellStyle name="20% - Accent3 4 2 3 2 2 2 4" xfId="33182"/>
    <cellStyle name="20% - Accent3 4 2 3 2 2 3" xfId="18164"/>
    <cellStyle name="20% - Accent3 4 2 3 2 2 3 2" xfId="27880"/>
    <cellStyle name="20% - Accent3 4 2 3 2 2 3 2 2" xfId="47634"/>
    <cellStyle name="20% - Accent3 4 2 3 2 2 3 3" xfId="37990"/>
    <cellStyle name="20% - Accent3 4 2 3 2 2 4" xfId="23070"/>
    <cellStyle name="20% - Accent3 4 2 3 2 2 4 2" xfId="42825"/>
    <cellStyle name="20% - Accent3 4 2 3 2 2 5" xfId="33181"/>
    <cellStyle name="20% - Accent3 4 2 3 2 3" xfId="2870"/>
    <cellStyle name="20% - Accent3 4 2 3 2 3 2" xfId="18166"/>
    <cellStyle name="20% - Accent3 4 2 3 2 3 2 2" xfId="27882"/>
    <cellStyle name="20% - Accent3 4 2 3 2 3 2 2 2" xfId="47636"/>
    <cellStyle name="20% - Accent3 4 2 3 2 3 2 3" xfId="37992"/>
    <cellStyle name="20% - Accent3 4 2 3 2 3 3" xfId="23072"/>
    <cellStyle name="20% - Accent3 4 2 3 2 3 3 2" xfId="42827"/>
    <cellStyle name="20% - Accent3 4 2 3 2 3 4" xfId="33183"/>
    <cellStyle name="20% - Accent3 4 2 3 2 4" xfId="18163"/>
    <cellStyle name="20% - Accent3 4 2 3 2 4 2" xfId="27879"/>
    <cellStyle name="20% - Accent3 4 2 3 2 4 2 2" xfId="47633"/>
    <cellStyle name="20% - Accent3 4 2 3 2 4 3" xfId="37989"/>
    <cellStyle name="20% - Accent3 4 2 3 2 5" xfId="23069"/>
    <cellStyle name="20% - Accent3 4 2 3 2 5 2" xfId="42824"/>
    <cellStyle name="20% - Accent3 4 2 3 2 6" xfId="33180"/>
    <cellStyle name="20% - Accent3 4 2 3 3" xfId="2871"/>
    <cellStyle name="20% - Accent3 4 2 3 3 2" xfId="2872"/>
    <cellStyle name="20% - Accent3 4 2 3 3 2 2" xfId="18168"/>
    <cellStyle name="20% - Accent3 4 2 3 3 2 2 2" xfId="27884"/>
    <cellStyle name="20% - Accent3 4 2 3 3 2 2 2 2" xfId="47638"/>
    <cellStyle name="20% - Accent3 4 2 3 3 2 2 3" xfId="37994"/>
    <cellStyle name="20% - Accent3 4 2 3 3 2 3" xfId="23074"/>
    <cellStyle name="20% - Accent3 4 2 3 3 2 3 2" xfId="42829"/>
    <cellStyle name="20% - Accent3 4 2 3 3 2 4" xfId="33185"/>
    <cellStyle name="20% - Accent3 4 2 3 3 3" xfId="18167"/>
    <cellStyle name="20% - Accent3 4 2 3 3 3 2" xfId="27883"/>
    <cellStyle name="20% - Accent3 4 2 3 3 3 2 2" xfId="47637"/>
    <cellStyle name="20% - Accent3 4 2 3 3 3 3" xfId="37993"/>
    <cellStyle name="20% - Accent3 4 2 3 3 4" xfId="23073"/>
    <cellStyle name="20% - Accent3 4 2 3 3 4 2" xfId="42828"/>
    <cellStyle name="20% - Accent3 4 2 3 3 5" xfId="33184"/>
    <cellStyle name="20% - Accent3 4 2 3 4" xfId="2873"/>
    <cellStyle name="20% - Accent3 4 2 3 4 2" xfId="18169"/>
    <cellStyle name="20% - Accent3 4 2 3 4 2 2" xfId="27885"/>
    <cellStyle name="20% - Accent3 4 2 3 4 2 2 2" xfId="47639"/>
    <cellStyle name="20% - Accent3 4 2 3 4 2 3" xfId="37995"/>
    <cellStyle name="20% - Accent3 4 2 3 4 3" xfId="23075"/>
    <cellStyle name="20% - Accent3 4 2 3 4 3 2" xfId="42830"/>
    <cellStyle name="20% - Accent3 4 2 3 4 4" xfId="33186"/>
    <cellStyle name="20% - Accent3 4 2 3 5" xfId="15419"/>
    <cellStyle name="20% - Accent3 4 2 3 5 2" xfId="20291"/>
    <cellStyle name="20% - Accent3 4 2 3 5 2 2" xfId="30005"/>
    <cellStyle name="20% - Accent3 4 2 3 5 2 2 2" xfId="49758"/>
    <cellStyle name="20% - Accent3 4 2 3 5 2 3" xfId="40114"/>
    <cellStyle name="20% - Accent3 4 2 3 5 3" xfId="25193"/>
    <cellStyle name="20% - Accent3 4 2 3 5 3 2" xfId="44947"/>
    <cellStyle name="20% - Accent3 4 2 3 5 4" xfId="35303"/>
    <cellStyle name="20% - Accent3 4 2 3 6" xfId="16094"/>
    <cellStyle name="20% - Accent3 4 2 3 6 2" xfId="25810"/>
    <cellStyle name="20% - Accent3 4 2 3 6 2 2" xfId="45564"/>
    <cellStyle name="20% - Accent3 4 2 3 6 3" xfId="35920"/>
    <cellStyle name="20% - Accent3 4 2 3 7" xfId="21000"/>
    <cellStyle name="20% - Accent3 4 2 3 7 2" xfId="40755"/>
    <cellStyle name="20% - Accent3 4 2 3 8" xfId="30435"/>
    <cellStyle name="20% - Accent3 4 2 3 8 2" xfId="50183"/>
    <cellStyle name="20% - Accent3 4 2 3 9" xfId="31111"/>
    <cellStyle name="20% - Accent3 4 2 4" xfId="748"/>
    <cellStyle name="20% - Accent3 4 2 4 2" xfId="2874"/>
    <cellStyle name="20% - Accent3 4 2 4 2 2" xfId="2875"/>
    <cellStyle name="20% - Accent3 4 2 4 2 2 2" xfId="2876"/>
    <cellStyle name="20% - Accent3 4 2 4 2 2 2 2" xfId="18172"/>
    <cellStyle name="20% - Accent3 4 2 4 2 2 2 2 2" xfId="27888"/>
    <cellStyle name="20% - Accent3 4 2 4 2 2 2 2 2 2" xfId="47642"/>
    <cellStyle name="20% - Accent3 4 2 4 2 2 2 2 3" xfId="37998"/>
    <cellStyle name="20% - Accent3 4 2 4 2 2 2 3" xfId="23078"/>
    <cellStyle name="20% - Accent3 4 2 4 2 2 2 3 2" xfId="42833"/>
    <cellStyle name="20% - Accent3 4 2 4 2 2 2 4" xfId="33189"/>
    <cellStyle name="20% - Accent3 4 2 4 2 2 3" xfId="18171"/>
    <cellStyle name="20% - Accent3 4 2 4 2 2 3 2" xfId="27887"/>
    <cellStyle name="20% - Accent3 4 2 4 2 2 3 2 2" xfId="47641"/>
    <cellStyle name="20% - Accent3 4 2 4 2 2 3 3" xfId="37997"/>
    <cellStyle name="20% - Accent3 4 2 4 2 2 4" xfId="23077"/>
    <cellStyle name="20% - Accent3 4 2 4 2 2 4 2" xfId="42832"/>
    <cellStyle name="20% - Accent3 4 2 4 2 2 5" xfId="33188"/>
    <cellStyle name="20% - Accent3 4 2 4 2 3" xfId="2877"/>
    <cellStyle name="20% - Accent3 4 2 4 2 3 2" xfId="18173"/>
    <cellStyle name="20% - Accent3 4 2 4 2 3 2 2" xfId="27889"/>
    <cellStyle name="20% - Accent3 4 2 4 2 3 2 2 2" xfId="47643"/>
    <cellStyle name="20% - Accent3 4 2 4 2 3 2 3" xfId="37999"/>
    <cellStyle name="20% - Accent3 4 2 4 2 3 3" xfId="23079"/>
    <cellStyle name="20% - Accent3 4 2 4 2 3 3 2" xfId="42834"/>
    <cellStyle name="20% - Accent3 4 2 4 2 3 4" xfId="33190"/>
    <cellStyle name="20% - Accent3 4 2 4 2 4" xfId="18170"/>
    <cellStyle name="20% - Accent3 4 2 4 2 4 2" xfId="27886"/>
    <cellStyle name="20% - Accent3 4 2 4 2 4 2 2" xfId="47640"/>
    <cellStyle name="20% - Accent3 4 2 4 2 4 3" xfId="37996"/>
    <cellStyle name="20% - Accent3 4 2 4 2 5" xfId="23076"/>
    <cellStyle name="20% - Accent3 4 2 4 2 5 2" xfId="42831"/>
    <cellStyle name="20% - Accent3 4 2 4 2 6" xfId="33187"/>
    <cellStyle name="20% - Accent3 4 2 4 3" xfId="2878"/>
    <cellStyle name="20% - Accent3 4 2 4 3 2" xfId="2879"/>
    <cellStyle name="20% - Accent3 4 2 4 3 2 2" xfId="18175"/>
    <cellStyle name="20% - Accent3 4 2 4 3 2 2 2" xfId="27891"/>
    <cellStyle name="20% - Accent3 4 2 4 3 2 2 2 2" xfId="47645"/>
    <cellStyle name="20% - Accent3 4 2 4 3 2 2 3" xfId="38001"/>
    <cellStyle name="20% - Accent3 4 2 4 3 2 3" xfId="23081"/>
    <cellStyle name="20% - Accent3 4 2 4 3 2 3 2" xfId="42836"/>
    <cellStyle name="20% - Accent3 4 2 4 3 2 4" xfId="33192"/>
    <cellStyle name="20% - Accent3 4 2 4 3 3" xfId="18174"/>
    <cellStyle name="20% - Accent3 4 2 4 3 3 2" xfId="27890"/>
    <cellStyle name="20% - Accent3 4 2 4 3 3 2 2" xfId="47644"/>
    <cellStyle name="20% - Accent3 4 2 4 3 3 3" xfId="38000"/>
    <cellStyle name="20% - Accent3 4 2 4 3 4" xfId="23080"/>
    <cellStyle name="20% - Accent3 4 2 4 3 4 2" xfId="42835"/>
    <cellStyle name="20% - Accent3 4 2 4 3 5" xfId="33191"/>
    <cellStyle name="20% - Accent3 4 2 4 4" xfId="2880"/>
    <cellStyle name="20% - Accent3 4 2 4 4 2" xfId="18176"/>
    <cellStyle name="20% - Accent3 4 2 4 4 2 2" xfId="27892"/>
    <cellStyle name="20% - Accent3 4 2 4 4 2 2 2" xfId="47646"/>
    <cellStyle name="20% - Accent3 4 2 4 4 2 3" xfId="38002"/>
    <cellStyle name="20% - Accent3 4 2 4 4 3" xfId="23082"/>
    <cellStyle name="20% - Accent3 4 2 4 4 3 2" xfId="42837"/>
    <cellStyle name="20% - Accent3 4 2 4 4 4" xfId="33193"/>
    <cellStyle name="20% - Accent3 4 2 4 5" xfId="16095"/>
    <cellStyle name="20% - Accent3 4 2 4 5 2" xfId="25811"/>
    <cellStyle name="20% - Accent3 4 2 4 5 2 2" xfId="45565"/>
    <cellStyle name="20% - Accent3 4 2 4 5 3" xfId="35921"/>
    <cellStyle name="20% - Accent3 4 2 4 6" xfId="21001"/>
    <cellStyle name="20% - Accent3 4 2 4 6 2" xfId="40756"/>
    <cellStyle name="20% - Accent3 4 2 4 7" xfId="31112"/>
    <cellStyle name="20% - Accent3 4 2 5" xfId="2881"/>
    <cellStyle name="20% - Accent3 4 2 5 2" xfId="2882"/>
    <cellStyle name="20% - Accent3 4 2 5 2 2" xfId="2883"/>
    <cellStyle name="20% - Accent3 4 2 5 2 2 2" xfId="2884"/>
    <cellStyle name="20% - Accent3 4 2 5 2 2 2 2" xfId="18180"/>
    <cellStyle name="20% - Accent3 4 2 5 2 2 2 2 2" xfId="27896"/>
    <cellStyle name="20% - Accent3 4 2 5 2 2 2 2 2 2" xfId="47650"/>
    <cellStyle name="20% - Accent3 4 2 5 2 2 2 2 3" xfId="38006"/>
    <cellStyle name="20% - Accent3 4 2 5 2 2 2 3" xfId="23086"/>
    <cellStyle name="20% - Accent3 4 2 5 2 2 2 3 2" xfId="42841"/>
    <cellStyle name="20% - Accent3 4 2 5 2 2 2 4" xfId="33197"/>
    <cellStyle name="20% - Accent3 4 2 5 2 2 3" xfId="18179"/>
    <cellStyle name="20% - Accent3 4 2 5 2 2 3 2" xfId="27895"/>
    <cellStyle name="20% - Accent3 4 2 5 2 2 3 2 2" xfId="47649"/>
    <cellStyle name="20% - Accent3 4 2 5 2 2 3 3" xfId="38005"/>
    <cellStyle name="20% - Accent3 4 2 5 2 2 4" xfId="23085"/>
    <cellStyle name="20% - Accent3 4 2 5 2 2 4 2" xfId="42840"/>
    <cellStyle name="20% - Accent3 4 2 5 2 2 5" xfId="33196"/>
    <cellStyle name="20% - Accent3 4 2 5 2 3" xfId="2885"/>
    <cellStyle name="20% - Accent3 4 2 5 2 3 2" xfId="18181"/>
    <cellStyle name="20% - Accent3 4 2 5 2 3 2 2" xfId="27897"/>
    <cellStyle name="20% - Accent3 4 2 5 2 3 2 2 2" xfId="47651"/>
    <cellStyle name="20% - Accent3 4 2 5 2 3 2 3" xfId="38007"/>
    <cellStyle name="20% - Accent3 4 2 5 2 3 3" xfId="23087"/>
    <cellStyle name="20% - Accent3 4 2 5 2 3 3 2" xfId="42842"/>
    <cellStyle name="20% - Accent3 4 2 5 2 3 4" xfId="33198"/>
    <cellStyle name="20% - Accent3 4 2 5 2 4" xfId="18178"/>
    <cellStyle name="20% - Accent3 4 2 5 2 4 2" xfId="27894"/>
    <cellStyle name="20% - Accent3 4 2 5 2 4 2 2" xfId="47648"/>
    <cellStyle name="20% - Accent3 4 2 5 2 4 3" xfId="38004"/>
    <cellStyle name="20% - Accent3 4 2 5 2 5" xfId="23084"/>
    <cellStyle name="20% - Accent3 4 2 5 2 5 2" xfId="42839"/>
    <cellStyle name="20% - Accent3 4 2 5 2 6" xfId="33195"/>
    <cellStyle name="20% - Accent3 4 2 5 3" xfId="2886"/>
    <cellStyle name="20% - Accent3 4 2 5 3 2" xfId="2887"/>
    <cellStyle name="20% - Accent3 4 2 5 3 2 2" xfId="18183"/>
    <cellStyle name="20% - Accent3 4 2 5 3 2 2 2" xfId="27899"/>
    <cellStyle name="20% - Accent3 4 2 5 3 2 2 2 2" xfId="47653"/>
    <cellStyle name="20% - Accent3 4 2 5 3 2 2 3" xfId="38009"/>
    <cellStyle name="20% - Accent3 4 2 5 3 2 3" xfId="23089"/>
    <cellStyle name="20% - Accent3 4 2 5 3 2 3 2" xfId="42844"/>
    <cellStyle name="20% - Accent3 4 2 5 3 2 4" xfId="33200"/>
    <cellStyle name="20% - Accent3 4 2 5 3 3" xfId="18182"/>
    <cellStyle name="20% - Accent3 4 2 5 3 3 2" xfId="27898"/>
    <cellStyle name="20% - Accent3 4 2 5 3 3 2 2" xfId="47652"/>
    <cellStyle name="20% - Accent3 4 2 5 3 3 3" xfId="38008"/>
    <cellStyle name="20% - Accent3 4 2 5 3 4" xfId="23088"/>
    <cellStyle name="20% - Accent3 4 2 5 3 4 2" xfId="42843"/>
    <cellStyle name="20% - Accent3 4 2 5 3 5" xfId="33199"/>
    <cellStyle name="20% - Accent3 4 2 5 4" xfId="2888"/>
    <cellStyle name="20% - Accent3 4 2 5 4 2" xfId="18184"/>
    <cellStyle name="20% - Accent3 4 2 5 4 2 2" xfId="27900"/>
    <cellStyle name="20% - Accent3 4 2 5 4 2 2 2" xfId="47654"/>
    <cellStyle name="20% - Accent3 4 2 5 4 2 3" xfId="38010"/>
    <cellStyle name="20% - Accent3 4 2 5 4 3" xfId="23090"/>
    <cellStyle name="20% - Accent3 4 2 5 4 3 2" xfId="42845"/>
    <cellStyle name="20% - Accent3 4 2 5 4 4" xfId="33201"/>
    <cellStyle name="20% - Accent3 4 2 5 5" xfId="18177"/>
    <cellStyle name="20% - Accent3 4 2 5 5 2" xfId="27893"/>
    <cellStyle name="20% - Accent3 4 2 5 5 2 2" xfId="47647"/>
    <cellStyle name="20% - Accent3 4 2 5 5 3" xfId="38003"/>
    <cellStyle name="20% - Accent3 4 2 5 6" xfId="23083"/>
    <cellStyle name="20% - Accent3 4 2 5 6 2" xfId="42838"/>
    <cellStyle name="20% - Accent3 4 2 5 7" xfId="33194"/>
    <cellStyle name="20% - Accent3 4 2 6" xfId="2889"/>
    <cellStyle name="20% - Accent3 4 2 6 2" xfId="2890"/>
    <cellStyle name="20% - Accent3 4 2 6 2 2" xfId="2891"/>
    <cellStyle name="20% - Accent3 4 2 6 2 2 2" xfId="18187"/>
    <cellStyle name="20% - Accent3 4 2 6 2 2 2 2" xfId="27903"/>
    <cellStyle name="20% - Accent3 4 2 6 2 2 2 2 2" xfId="47657"/>
    <cellStyle name="20% - Accent3 4 2 6 2 2 2 3" xfId="38013"/>
    <cellStyle name="20% - Accent3 4 2 6 2 2 3" xfId="23093"/>
    <cellStyle name="20% - Accent3 4 2 6 2 2 3 2" xfId="42848"/>
    <cellStyle name="20% - Accent3 4 2 6 2 2 4" xfId="33204"/>
    <cellStyle name="20% - Accent3 4 2 6 2 3" xfId="18186"/>
    <cellStyle name="20% - Accent3 4 2 6 2 3 2" xfId="27902"/>
    <cellStyle name="20% - Accent3 4 2 6 2 3 2 2" xfId="47656"/>
    <cellStyle name="20% - Accent3 4 2 6 2 3 3" xfId="38012"/>
    <cellStyle name="20% - Accent3 4 2 6 2 4" xfId="23092"/>
    <cellStyle name="20% - Accent3 4 2 6 2 4 2" xfId="42847"/>
    <cellStyle name="20% - Accent3 4 2 6 2 5" xfId="33203"/>
    <cellStyle name="20% - Accent3 4 2 6 3" xfId="2892"/>
    <cellStyle name="20% - Accent3 4 2 6 3 2" xfId="18188"/>
    <cellStyle name="20% - Accent3 4 2 6 3 2 2" xfId="27904"/>
    <cellStyle name="20% - Accent3 4 2 6 3 2 2 2" xfId="47658"/>
    <cellStyle name="20% - Accent3 4 2 6 3 2 3" xfId="38014"/>
    <cellStyle name="20% - Accent3 4 2 6 3 3" xfId="23094"/>
    <cellStyle name="20% - Accent3 4 2 6 3 3 2" xfId="42849"/>
    <cellStyle name="20% - Accent3 4 2 6 3 4" xfId="33205"/>
    <cellStyle name="20% - Accent3 4 2 6 4" xfId="18185"/>
    <cellStyle name="20% - Accent3 4 2 6 4 2" xfId="27901"/>
    <cellStyle name="20% - Accent3 4 2 6 4 2 2" xfId="47655"/>
    <cellStyle name="20% - Accent3 4 2 6 4 3" xfId="38011"/>
    <cellStyle name="20% - Accent3 4 2 6 5" xfId="23091"/>
    <cellStyle name="20% - Accent3 4 2 6 5 2" xfId="42846"/>
    <cellStyle name="20% - Accent3 4 2 6 6" xfId="33202"/>
    <cellStyle name="20% - Accent3 4 2 7" xfId="2893"/>
    <cellStyle name="20% - Accent3 4 2 7 2" xfId="2894"/>
    <cellStyle name="20% - Accent3 4 2 7 2 2" xfId="18190"/>
    <cellStyle name="20% - Accent3 4 2 7 2 2 2" xfId="27906"/>
    <cellStyle name="20% - Accent3 4 2 7 2 2 2 2" xfId="47660"/>
    <cellStyle name="20% - Accent3 4 2 7 2 2 3" xfId="38016"/>
    <cellStyle name="20% - Accent3 4 2 7 2 3" xfId="23096"/>
    <cellStyle name="20% - Accent3 4 2 7 2 3 2" xfId="42851"/>
    <cellStyle name="20% - Accent3 4 2 7 2 4" xfId="33207"/>
    <cellStyle name="20% - Accent3 4 2 7 3" xfId="18189"/>
    <cellStyle name="20% - Accent3 4 2 7 3 2" xfId="27905"/>
    <cellStyle name="20% - Accent3 4 2 7 3 2 2" xfId="47659"/>
    <cellStyle name="20% - Accent3 4 2 7 3 3" xfId="38015"/>
    <cellStyle name="20% - Accent3 4 2 7 4" xfId="23095"/>
    <cellStyle name="20% - Accent3 4 2 7 4 2" xfId="42850"/>
    <cellStyle name="20% - Accent3 4 2 7 5" xfId="33206"/>
    <cellStyle name="20% - Accent3 4 2 8" xfId="2895"/>
    <cellStyle name="20% - Accent3 4 2 8 2" xfId="2896"/>
    <cellStyle name="20% - Accent3 4 2 8 2 2" xfId="18192"/>
    <cellStyle name="20% - Accent3 4 2 8 2 2 2" xfId="27908"/>
    <cellStyle name="20% - Accent3 4 2 8 2 2 2 2" xfId="47662"/>
    <cellStyle name="20% - Accent3 4 2 8 2 2 3" xfId="38018"/>
    <cellStyle name="20% - Accent3 4 2 8 2 3" xfId="23098"/>
    <cellStyle name="20% - Accent3 4 2 8 2 3 2" xfId="42853"/>
    <cellStyle name="20% - Accent3 4 2 8 2 4" xfId="33209"/>
    <cellStyle name="20% - Accent3 4 2 8 3" xfId="18191"/>
    <cellStyle name="20% - Accent3 4 2 8 3 2" xfId="27907"/>
    <cellStyle name="20% - Accent3 4 2 8 3 2 2" xfId="47661"/>
    <cellStyle name="20% - Accent3 4 2 8 3 3" xfId="38017"/>
    <cellStyle name="20% - Accent3 4 2 8 4" xfId="23097"/>
    <cellStyle name="20% - Accent3 4 2 8 4 2" xfId="42852"/>
    <cellStyle name="20% - Accent3 4 2 8 5" xfId="33208"/>
    <cellStyle name="20% - Accent3 4 2 9" xfId="2897"/>
    <cellStyle name="20% - Accent3 4 2 9 2" xfId="18193"/>
    <cellStyle name="20% - Accent3 4 2 9 2 2" xfId="27909"/>
    <cellStyle name="20% - Accent3 4 2 9 2 2 2" xfId="47663"/>
    <cellStyle name="20% - Accent3 4 2 9 2 3" xfId="38019"/>
    <cellStyle name="20% - Accent3 4 2 9 3" xfId="23099"/>
    <cellStyle name="20% - Accent3 4 2 9 3 2" xfId="42854"/>
    <cellStyle name="20% - Accent3 4 2 9 4" xfId="33210"/>
    <cellStyle name="20% - Accent3 4 3" xfId="51"/>
    <cellStyle name="20% - Accent3 4 3 10" xfId="15420"/>
    <cellStyle name="20% - Accent3 4 3 10 2" xfId="20292"/>
    <cellStyle name="20% - Accent3 4 3 10 2 2" xfId="30006"/>
    <cellStyle name="20% - Accent3 4 3 10 2 2 2" xfId="49759"/>
    <cellStyle name="20% - Accent3 4 3 10 2 3" xfId="40115"/>
    <cellStyle name="20% - Accent3 4 3 10 3" xfId="25194"/>
    <cellStyle name="20% - Accent3 4 3 10 3 2" xfId="44948"/>
    <cellStyle name="20% - Accent3 4 3 10 4" xfId="35304"/>
    <cellStyle name="20% - Accent3 4 3 11" xfId="15850"/>
    <cellStyle name="20% - Accent3 4 3 11 2" xfId="25566"/>
    <cellStyle name="20% - Accent3 4 3 11 2 2" xfId="45320"/>
    <cellStyle name="20% - Accent3 4 3 11 3" xfId="35676"/>
    <cellStyle name="20% - Accent3 4 3 12" xfId="20724"/>
    <cellStyle name="20% - Accent3 4 3 12 2" xfId="40504"/>
    <cellStyle name="20% - Accent3 4 3 13" xfId="30436"/>
    <cellStyle name="20% - Accent3 4 3 13 2" xfId="50184"/>
    <cellStyle name="20% - Accent3 4 3 14" xfId="30835"/>
    <cellStyle name="20% - Accent3 4 3 2" xfId="749"/>
    <cellStyle name="20% - Accent3 4 3 2 2" xfId="2898"/>
    <cellStyle name="20% - Accent3 4 3 2 2 2" xfId="2899"/>
    <cellStyle name="20% - Accent3 4 3 2 2 2 2" xfId="2900"/>
    <cellStyle name="20% - Accent3 4 3 2 2 2 2 2" xfId="18196"/>
    <cellStyle name="20% - Accent3 4 3 2 2 2 2 2 2" xfId="27912"/>
    <cellStyle name="20% - Accent3 4 3 2 2 2 2 2 2 2" xfId="47666"/>
    <cellStyle name="20% - Accent3 4 3 2 2 2 2 2 3" xfId="38022"/>
    <cellStyle name="20% - Accent3 4 3 2 2 2 2 3" xfId="23102"/>
    <cellStyle name="20% - Accent3 4 3 2 2 2 2 3 2" xfId="42857"/>
    <cellStyle name="20% - Accent3 4 3 2 2 2 2 4" xfId="33213"/>
    <cellStyle name="20% - Accent3 4 3 2 2 2 3" xfId="18195"/>
    <cellStyle name="20% - Accent3 4 3 2 2 2 3 2" xfId="27911"/>
    <cellStyle name="20% - Accent3 4 3 2 2 2 3 2 2" xfId="47665"/>
    <cellStyle name="20% - Accent3 4 3 2 2 2 3 3" xfId="38021"/>
    <cellStyle name="20% - Accent3 4 3 2 2 2 4" xfId="23101"/>
    <cellStyle name="20% - Accent3 4 3 2 2 2 4 2" xfId="42856"/>
    <cellStyle name="20% - Accent3 4 3 2 2 2 5" xfId="33212"/>
    <cellStyle name="20% - Accent3 4 3 2 2 3" xfId="2901"/>
    <cellStyle name="20% - Accent3 4 3 2 2 3 2" xfId="18197"/>
    <cellStyle name="20% - Accent3 4 3 2 2 3 2 2" xfId="27913"/>
    <cellStyle name="20% - Accent3 4 3 2 2 3 2 2 2" xfId="47667"/>
    <cellStyle name="20% - Accent3 4 3 2 2 3 2 3" xfId="38023"/>
    <cellStyle name="20% - Accent3 4 3 2 2 3 3" xfId="23103"/>
    <cellStyle name="20% - Accent3 4 3 2 2 3 3 2" xfId="42858"/>
    <cellStyle name="20% - Accent3 4 3 2 2 3 4" xfId="33214"/>
    <cellStyle name="20% - Accent3 4 3 2 2 4" xfId="18194"/>
    <cellStyle name="20% - Accent3 4 3 2 2 4 2" xfId="27910"/>
    <cellStyle name="20% - Accent3 4 3 2 2 4 2 2" xfId="47664"/>
    <cellStyle name="20% - Accent3 4 3 2 2 4 3" xfId="38020"/>
    <cellStyle name="20% - Accent3 4 3 2 2 5" xfId="23100"/>
    <cellStyle name="20% - Accent3 4 3 2 2 5 2" xfId="42855"/>
    <cellStyle name="20% - Accent3 4 3 2 2 6" xfId="33211"/>
    <cellStyle name="20% - Accent3 4 3 2 3" xfId="2902"/>
    <cellStyle name="20% - Accent3 4 3 2 3 2" xfId="2903"/>
    <cellStyle name="20% - Accent3 4 3 2 3 2 2" xfId="18199"/>
    <cellStyle name="20% - Accent3 4 3 2 3 2 2 2" xfId="27915"/>
    <cellStyle name="20% - Accent3 4 3 2 3 2 2 2 2" xfId="47669"/>
    <cellStyle name="20% - Accent3 4 3 2 3 2 2 3" xfId="38025"/>
    <cellStyle name="20% - Accent3 4 3 2 3 2 3" xfId="23105"/>
    <cellStyle name="20% - Accent3 4 3 2 3 2 3 2" xfId="42860"/>
    <cellStyle name="20% - Accent3 4 3 2 3 2 4" xfId="33216"/>
    <cellStyle name="20% - Accent3 4 3 2 3 3" xfId="18198"/>
    <cellStyle name="20% - Accent3 4 3 2 3 3 2" xfId="27914"/>
    <cellStyle name="20% - Accent3 4 3 2 3 3 2 2" xfId="47668"/>
    <cellStyle name="20% - Accent3 4 3 2 3 3 3" xfId="38024"/>
    <cellStyle name="20% - Accent3 4 3 2 3 4" xfId="23104"/>
    <cellStyle name="20% - Accent3 4 3 2 3 4 2" xfId="42859"/>
    <cellStyle name="20% - Accent3 4 3 2 3 5" xfId="33215"/>
    <cellStyle name="20% - Accent3 4 3 2 4" xfId="2904"/>
    <cellStyle name="20% - Accent3 4 3 2 4 2" xfId="18200"/>
    <cellStyle name="20% - Accent3 4 3 2 4 2 2" xfId="27916"/>
    <cellStyle name="20% - Accent3 4 3 2 4 2 2 2" xfId="47670"/>
    <cellStyle name="20% - Accent3 4 3 2 4 2 3" xfId="38026"/>
    <cellStyle name="20% - Accent3 4 3 2 4 3" xfId="23106"/>
    <cellStyle name="20% - Accent3 4 3 2 4 3 2" xfId="42861"/>
    <cellStyle name="20% - Accent3 4 3 2 4 4" xfId="33217"/>
    <cellStyle name="20% - Accent3 4 3 2 5" xfId="15421"/>
    <cellStyle name="20% - Accent3 4 3 2 5 2" xfId="20293"/>
    <cellStyle name="20% - Accent3 4 3 2 5 2 2" xfId="30007"/>
    <cellStyle name="20% - Accent3 4 3 2 5 2 2 2" xfId="49760"/>
    <cellStyle name="20% - Accent3 4 3 2 5 2 3" xfId="40116"/>
    <cellStyle name="20% - Accent3 4 3 2 5 3" xfId="25195"/>
    <cellStyle name="20% - Accent3 4 3 2 5 3 2" xfId="44949"/>
    <cellStyle name="20% - Accent3 4 3 2 5 4" xfId="35305"/>
    <cellStyle name="20% - Accent3 4 3 2 6" xfId="16096"/>
    <cellStyle name="20% - Accent3 4 3 2 6 2" xfId="25812"/>
    <cellStyle name="20% - Accent3 4 3 2 6 2 2" xfId="45566"/>
    <cellStyle name="20% - Accent3 4 3 2 6 3" xfId="35922"/>
    <cellStyle name="20% - Accent3 4 3 2 7" xfId="21002"/>
    <cellStyle name="20% - Accent3 4 3 2 7 2" xfId="40757"/>
    <cellStyle name="20% - Accent3 4 3 2 8" xfId="30437"/>
    <cellStyle name="20% - Accent3 4 3 2 8 2" xfId="50185"/>
    <cellStyle name="20% - Accent3 4 3 2 9" xfId="31113"/>
    <cellStyle name="20% - Accent3 4 3 3" xfId="750"/>
    <cellStyle name="20% - Accent3 4 3 3 2" xfId="2905"/>
    <cellStyle name="20% - Accent3 4 3 3 2 2" xfId="2906"/>
    <cellStyle name="20% - Accent3 4 3 3 2 2 2" xfId="2907"/>
    <cellStyle name="20% - Accent3 4 3 3 2 2 2 2" xfId="18203"/>
    <cellStyle name="20% - Accent3 4 3 3 2 2 2 2 2" xfId="27919"/>
    <cellStyle name="20% - Accent3 4 3 3 2 2 2 2 2 2" xfId="47673"/>
    <cellStyle name="20% - Accent3 4 3 3 2 2 2 2 3" xfId="38029"/>
    <cellStyle name="20% - Accent3 4 3 3 2 2 2 3" xfId="23109"/>
    <cellStyle name="20% - Accent3 4 3 3 2 2 2 3 2" xfId="42864"/>
    <cellStyle name="20% - Accent3 4 3 3 2 2 2 4" xfId="33220"/>
    <cellStyle name="20% - Accent3 4 3 3 2 2 3" xfId="18202"/>
    <cellStyle name="20% - Accent3 4 3 3 2 2 3 2" xfId="27918"/>
    <cellStyle name="20% - Accent3 4 3 3 2 2 3 2 2" xfId="47672"/>
    <cellStyle name="20% - Accent3 4 3 3 2 2 3 3" xfId="38028"/>
    <cellStyle name="20% - Accent3 4 3 3 2 2 4" xfId="23108"/>
    <cellStyle name="20% - Accent3 4 3 3 2 2 4 2" xfId="42863"/>
    <cellStyle name="20% - Accent3 4 3 3 2 2 5" xfId="33219"/>
    <cellStyle name="20% - Accent3 4 3 3 2 3" xfId="2908"/>
    <cellStyle name="20% - Accent3 4 3 3 2 3 2" xfId="18204"/>
    <cellStyle name="20% - Accent3 4 3 3 2 3 2 2" xfId="27920"/>
    <cellStyle name="20% - Accent3 4 3 3 2 3 2 2 2" xfId="47674"/>
    <cellStyle name="20% - Accent3 4 3 3 2 3 2 3" xfId="38030"/>
    <cellStyle name="20% - Accent3 4 3 3 2 3 3" xfId="23110"/>
    <cellStyle name="20% - Accent3 4 3 3 2 3 3 2" xfId="42865"/>
    <cellStyle name="20% - Accent3 4 3 3 2 3 4" xfId="33221"/>
    <cellStyle name="20% - Accent3 4 3 3 2 4" xfId="18201"/>
    <cellStyle name="20% - Accent3 4 3 3 2 4 2" xfId="27917"/>
    <cellStyle name="20% - Accent3 4 3 3 2 4 2 2" xfId="47671"/>
    <cellStyle name="20% - Accent3 4 3 3 2 4 3" xfId="38027"/>
    <cellStyle name="20% - Accent3 4 3 3 2 5" xfId="23107"/>
    <cellStyle name="20% - Accent3 4 3 3 2 5 2" xfId="42862"/>
    <cellStyle name="20% - Accent3 4 3 3 2 6" xfId="33218"/>
    <cellStyle name="20% - Accent3 4 3 3 3" xfId="2909"/>
    <cellStyle name="20% - Accent3 4 3 3 3 2" xfId="2910"/>
    <cellStyle name="20% - Accent3 4 3 3 3 2 2" xfId="18206"/>
    <cellStyle name="20% - Accent3 4 3 3 3 2 2 2" xfId="27922"/>
    <cellStyle name="20% - Accent3 4 3 3 3 2 2 2 2" xfId="47676"/>
    <cellStyle name="20% - Accent3 4 3 3 3 2 2 3" xfId="38032"/>
    <cellStyle name="20% - Accent3 4 3 3 3 2 3" xfId="23112"/>
    <cellStyle name="20% - Accent3 4 3 3 3 2 3 2" xfId="42867"/>
    <cellStyle name="20% - Accent3 4 3 3 3 2 4" xfId="33223"/>
    <cellStyle name="20% - Accent3 4 3 3 3 3" xfId="18205"/>
    <cellStyle name="20% - Accent3 4 3 3 3 3 2" xfId="27921"/>
    <cellStyle name="20% - Accent3 4 3 3 3 3 2 2" xfId="47675"/>
    <cellStyle name="20% - Accent3 4 3 3 3 3 3" xfId="38031"/>
    <cellStyle name="20% - Accent3 4 3 3 3 4" xfId="23111"/>
    <cellStyle name="20% - Accent3 4 3 3 3 4 2" xfId="42866"/>
    <cellStyle name="20% - Accent3 4 3 3 3 5" xfId="33222"/>
    <cellStyle name="20% - Accent3 4 3 3 4" xfId="2911"/>
    <cellStyle name="20% - Accent3 4 3 3 4 2" xfId="18207"/>
    <cellStyle name="20% - Accent3 4 3 3 4 2 2" xfId="27923"/>
    <cellStyle name="20% - Accent3 4 3 3 4 2 2 2" xfId="47677"/>
    <cellStyle name="20% - Accent3 4 3 3 4 2 3" xfId="38033"/>
    <cellStyle name="20% - Accent3 4 3 3 4 3" xfId="23113"/>
    <cellStyle name="20% - Accent3 4 3 3 4 3 2" xfId="42868"/>
    <cellStyle name="20% - Accent3 4 3 3 4 4" xfId="33224"/>
    <cellStyle name="20% - Accent3 4 3 3 5" xfId="16097"/>
    <cellStyle name="20% - Accent3 4 3 3 5 2" xfId="25813"/>
    <cellStyle name="20% - Accent3 4 3 3 5 2 2" xfId="45567"/>
    <cellStyle name="20% - Accent3 4 3 3 5 3" xfId="35923"/>
    <cellStyle name="20% - Accent3 4 3 3 6" xfId="21003"/>
    <cellStyle name="20% - Accent3 4 3 3 6 2" xfId="40758"/>
    <cellStyle name="20% - Accent3 4 3 3 7" xfId="31114"/>
    <cellStyle name="20% - Accent3 4 3 4" xfId="2912"/>
    <cellStyle name="20% - Accent3 4 3 4 2" xfId="2913"/>
    <cellStyle name="20% - Accent3 4 3 4 2 2" xfId="2914"/>
    <cellStyle name="20% - Accent3 4 3 4 2 2 2" xfId="2915"/>
    <cellStyle name="20% - Accent3 4 3 4 2 2 2 2" xfId="18211"/>
    <cellStyle name="20% - Accent3 4 3 4 2 2 2 2 2" xfId="27927"/>
    <cellStyle name="20% - Accent3 4 3 4 2 2 2 2 2 2" xfId="47681"/>
    <cellStyle name="20% - Accent3 4 3 4 2 2 2 2 3" xfId="38037"/>
    <cellStyle name="20% - Accent3 4 3 4 2 2 2 3" xfId="23117"/>
    <cellStyle name="20% - Accent3 4 3 4 2 2 2 3 2" xfId="42872"/>
    <cellStyle name="20% - Accent3 4 3 4 2 2 2 4" xfId="33228"/>
    <cellStyle name="20% - Accent3 4 3 4 2 2 3" xfId="18210"/>
    <cellStyle name="20% - Accent3 4 3 4 2 2 3 2" xfId="27926"/>
    <cellStyle name="20% - Accent3 4 3 4 2 2 3 2 2" xfId="47680"/>
    <cellStyle name="20% - Accent3 4 3 4 2 2 3 3" xfId="38036"/>
    <cellStyle name="20% - Accent3 4 3 4 2 2 4" xfId="23116"/>
    <cellStyle name="20% - Accent3 4 3 4 2 2 4 2" xfId="42871"/>
    <cellStyle name="20% - Accent3 4 3 4 2 2 5" xfId="33227"/>
    <cellStyle name="20% - Accent3 4 3 4 2 3" xfId="2916"/>
    <cellStyle name="20% - Accent3 4 3 4 2 3 2" xfId="18212"/>
    <cellStyle name="20% - Accent3 4 3 4 2 3 2 2" xfId="27928"/>
    <cellStyle name="20% - Accent3 4 3 4 2 3 2 2 2" xfId="47682"/>
    <cellStyle name="20% - Accent3 4 3 4 2 3 2 3" xfId="38038"/>
    <cellStyle name="20% - Accent3 4 3 4 2 3 3" xfId="23118"/>
    <cellStyle name="20% - Accent3 4 3 4 2 3 3 2" xfId="42873"/>
    <cellStyle name="20% - Accent3 4 3 4 2 3 4" xfId="33229"/>
    <cellStyle name="20% - Accent3 4 3 4 2 4" xfId="18209"/>
    <cellStyle name="20% - Accent3 4 3 4 2 4 2" xfId="27925"/>
    <cellStyle name="20% - Accent3 4 3 4 2 4 2 2" xfId="47679"/>
    <cellStyle name="20% - Accent3 4 3 4 2 4 3" xfId="38035"/>
    <cellStyle name="20% - Accent3 4 3 4 2 5" xfId="23115"/>
    <cellStyle name="20% - Accent3 4 3 4 2 5 2" xfId="42870"/>
    <cellStyle name="20% - Accent3 4 3 4 2 6" xfId="33226"/>
    <cellStyle name="20% - Accent3 4 3 4 3" xfId="2917"/>
    <cellStyle name="20% - Accent3 4 3 4 3 2" xfId="2918"/>
    <cellStyle name="20% - Accent3 4 3 4 3 2 2" xfId="18214"/>
    <cellStyle name="20% - Accent3 4 3 4 3 2 2 2" xfId="27930"/>
    <cellStyle name="20% - Accent3 4 3 4 3 2 2 2 2" xfId="47684"/>
    <cellStyle name="20% - Accent3 4 3 4 3 2 2 3" xfId="38040"/>
    <cellStyle name="20% - Accent3 4 3 4 3 2 3" xfId="23120"/>
    <cellStyle name="20% - Accent3 4 3 4 3 2 3 2" xfId="42875"/>
    <cellStyle name="20% - Accent3 4 3 4 3 2 4" xfId="33231"/>
    <cellStyle name="20% - Accent3 4 3 4 3 3" xfId="18213"/>
    <cellStyle name="20% - Accent3 4 3 4 3 3 2" xfId="27929"/>
    <cellStyle name="20% - Accent3 4 3 4 3 3 2 2" xfId="47683"/>
    <cellStyle name="20% - Accent3 4 3 4 3 3 3" xfId="38039"/>
    <cellStyle name="20% - Accent3 4 3 4 3 4" xfId="23119"/>
    <cellStyle name="20% - Accent3 4 3 4 3 4 2" xfId="42874"/>
    <cellStyle name="20% - Accent3 4 3 4 3 5" xfId="33230"/>
    <cellStyle name="20% - Accent3 4 3 4 4" xfId="2919"/>
    <cellStyle name="20% - Accent3 4 3 4 4 2" xfId="18215"/>
    <cellStyle name="20% - Accent3 4 3 4 4 2 2" xfId="27931"/>
    <cellStyle name="20% - Accent3 4 3 4 4 2 2 2" xfId="47685"/>
    <cellStyle name="20% - Accent3 4 3 4 4 2 3" xfId="38041"/>
    <cellStyle name="20% - Accent3 4 3 4 4 3" xfId="23121"/>
    <cellStyle name="20% - Accent3 4 3 4 4 3 2" xfId="42876"/>
    <cellStyle name="20% - Accent3 4 3 4 4 4" xfId="33232"/>
    <cellStyle name="20% - Accent3 4 3 4 5" xfId="18208"/>
    <cellStyle name="20% - Accent3 4 3 4 5 2" xfId="27924"/>
    <cellStyle name="20% - Accent3 4 3 4 5 2 2" xfId="47678"/>
    <cellStyle name="20% - Accent3 4 3 4 5 3" xfId="38034"/>
    <cellStyle name="20% - Accent3 4 3 4 6" xfId="23114"/>
    <cellStyle name="20% - Accent3 4 3 4 6 2" xfId="42869"/>
    <cellStyle name="20% - Accent3 4 3 4 7" xfId="33225"/>
    <cellStyle name="20% - Accent3 4 3 5" xfId="2920"/>
    <cellStyle name="20% - Accent3 4 3 5 2" xfId="2921"/>
    <cellStyle name="20% - Accent3 4 3 5 2 2" xfId="2922"/>
    <cellStyle name="20% - Accent3 4 3 5 2 2 2" xfId="18218"/>
    <cellStyle name="20% - Accent3 4 3 5 2 2 2 2" xfId="27934"/>
    <cellStyle name="20% - Accent3 4 3 5 2 2 2 2 2" xfId="47688"/>
    <cellStyle name="20% - Accent3 4 3 5 2 2 2 3" xfId="38044"/>
    <cellStyle name="20% - Accent3 4 3 5 2 2 3" xfId="23124"/>
    <cellStyle name="20% - Accent3 4 3 5 2 2 3 2" xfId="42879"/>
    <cellStyle name="20% - Accent3 4 3 5 2 2 4" xfId="33235"/>
    <cellStyle name="20% - Accent3 4 3 5 2 3" xfId="18217"/>
    <cellStyle name="20% - Accent3 4 3 5 2 3 2" xfId="27933"/>
    <cellStyle name="20% - Accent3 4 3 5 2 3 2 2" xfId="47687"/>
    <cellStyle name="20% - Accent3 4 3 5 2 3 3" xfId="38043"/>
    <cellStyle name="20% - Accent3 4 3 5 2 4" xfId="23123"/>
    <cellStyle name="20% - Accent3 4 3 5 2 4 2" xfId="42878"/>
    <cellStyle name="20% - Accent3 4 3 5 2 5" xfId="33234"/>
    <cellStyle name="20% - Accent3 4 3 5 3" xfId="2923"/>
    <cellStyle name="20% - Accent3 4 3 5 3 2" xfId="18219"/>
    <cellStyle name="20% - Accent3 4 3 5 3 2 2" xfId="27935"/>
    <cellStyle name="20% - Accent3 4 3 5 3 2 2 2" xfId="47689"/>
    <cellStyle name="20% - Accent3 4 3 5 3 2 3" xfId="38045"/>
    <cellStyle name="20% - Accent3 4 3 5 3 3" xfId="23125"/>
    <cellStyle name="20% - Accent3 4 3 5 3 3 2" xfId="42880"/>
    <cellStyle name="20% - Accent3 4 3 5 3 4" xfId="33236"/>
    <cellStyle name="20% - Accent3 4 3 5 4" xfId="18216"/>
    <cellStyle name="20% - Accent3 4 3 5 4 2" xfId="27932"/>
    <cellStyle name="20% - Accent3 4 3 5 4 2 2" xfId="47686"/>
    <cellStyle name="20% - Accent3 4 3 5 4 3" xfId="38042"/>
    <cellStyle name="20% - Accent3 4 3 5 5" xfId="23122"/>
    <cellStyle name="20% - Accent3 4 3 5 5 2" xfId="42877"/>
    <cellStyle name="20% - Accent3 4 3 5 6" xfId="33233"/>
    <cellStyle name="20% - Accent3 4 3 6" xfId="2924"/>
    <cellStyle name="20% - Accent3 4 3 6 2" xfId="2925"/>
    <cellStyle name="20% - Accent3 4 3 6 2 2" xfId="18221"/>
    <cellStyle name="20% - Accent3 4 3 6 2 2 2" xfId="27937"/>
    <cellStyle name="20% - Accent3 4 3 6 2 2 2 2" xfId="47691"/>
    <cellStyle name="20% - Accent3 4 3 6 2 2 3" xfId="38047"/>
    <cellStyle name="20% - Accent3 4 3 6 2 3" xfId="23127"/>
    <cellStyle name="20% - Accent3 4 3 6 2 3 2" xfId="42882"/>
    <cellStyle name="20% - Accent3 4 3 6 2 4" xfId="33238"/>
    <cellStyle name="20% - Accent3 4 3 6 3" xfId="18220"/>
    <cellStyle name="20% - Accent3 4 3 6 3 2" xfId="27936"/>
    <cellStyle name="20% - Accent3 4 3 6 3 2 2" xfId="47690"/>
    <cellStyle name="20% - Accent3 4 3 6 3 3" xfId="38046"/>
    <cellStyle name="20% - Accent3 4 3 6 4" xfId="23126"/>
    <cellStyle name="20% - Accent3 4 3 6 4 2" xfId="42881"/>
    <cellStyle name="20% - Accent3 4 3 6 5" xfId="33237"/>
    <cellStyle name="20% - Accent3 4 3 7" xfId="2926"/>
    <cellStyle name="20% - Accent3 4 3 7 2" xfId="18222"/>
    <cellStyle name="20% - Accent3 4 3 7 2 2" xfId="27938"/>
    <cellStyle name="20% - Accent3 4 3 7 2 2 2" xfId="47692"/>
    <cellStyle name="20% - Accent3 4 3 7 2 3" xfId="38048"/>
    <cellStyle name="20% - Accent3 4 3 7 3" xfId="23128"/>
    <cellStyle name="20% - Accent3 4 3 7 3 2" xfId="42883"/>
    <cellStyle name="20% - Accent3 4 3 7 4" xfId="33239"/>
    <cellStyle name="20% - Accent3 4 3 8" xfId="2927"/>
    <cellStyle name="20% - Accent3 4 3 8 2" xfId="18223"/>
    <cellStyle name="20% - Accent3 4 3 8 2 2" xfId="27939"/>
    <cellStyle name="20% - Accent3 4 3 8 2 2 2" xfId="47693"/>
    <cellStyle name="20% - Accent3 4 3 8 2 3" xfId="38049"/>
    <cellStyle name="20% - Accent3 4 3 8 3" xfId="23129"/>
    <cellStyle name="20% - Accent3 4 3 8 3 2" xfId="42884"/>
    <cellStyle name="20% - Accent3 4 3 8 4" xfId="33240"/>
    <cellStyle name="20% - Accent3 4 3 9" xfId="2928"/>
    <cellStyle name="20% - Accent3 4 3 9 2" xfId="18224"/>
    <cellStyle name="20% - Accent3 4 3 9 2 2" xfId="27940"/>
    <cellStyle name="20% - Accent3 4 3 9 2 2 2" xfId="47694"/>
    <cellStyle name="20% - Accent3 4 3 9 2 3" xfId="38050"/>
    <cellStyle name="20% - Accent3 4 3 9 3" xfId="23130"/>
    <cellStyle name="20% - Accent3 4 3 9 3 2" xfId="42885"/>
    <cellStyle name="20% - Accent3 4 3 9 4" xfId="33241"/>
    <cellStyle name="20% - Accent3 4 4" xfId="751"/>
    <cellStyle name="20% - Accent3 4 4 2" xfId="2929"/>
    <cellStyle name="20% - Accent3 4 4 2 2" xfId="2930"/>
    <cellStyle name="20% - Accent3 4 4 2 2 2" xfId="2931"/>
    <cellStyle name="20% - Accent3 4 4 2 2 2 2" xfId="18227"/>
    <cellStyle name="20% - Accent3 4 4 2 2 2 2 2" xfId="27943"/>
    <cellStyle name="20% - Accent3 4 4 2 2 2 2 2 2" xfId="47697"/>
    <cellStyle name="20% - Accent3 4 4 2 2 2 2 3" xfId="38053"/>
    <cellStyle name="20% - Accent3 4 4 2 2 2 3" xfId="23133"/>
    <cellStyle name="20% - Accent3 4 4 2 2 2 3 2" xfId="42888"/>
    <cellStyle name="20% - Accent3 4 4 2 2 2 4" xfId="33244"/>
    <cellStyle name="20% - Accent3 4 4 2 2 3" xfId="18226"/>
    <cellStyle name="20% - Accent3 4 4 2 2 3 2" xfId="27942"/>
    <cellStyle name="20% - Accent3 4 4 2 2 3 2 2" xfId="47696"/>
    <cellStyle name="20% - Accent3 4 4 2 2 3 3" xfId="38052"/>
    <cellStyle name="20% - Accent3 4 4 2 2 4" xfId="23132"/>
    <cellStyle name="20% - Accent3 4 4 2 2 4 2" xfId="42887"/>
    <cellStyle name="20% - Accent3 4 4 2 2 5" xfId="33243"/>
    <cellStyle name="20% - Accent3 4 4 2 3" xfId="2932"/>
    <cellStyle name="20% - Accent3 4 4 2 3 2" xfId="18228"/>
    <cellStyle name="20% - Accent3 4 4 2 3 2 2" xfId="27944"/>
    <cellStyle name="20% - Accent3 4 4 2 3 2 2 2" xfId="47698"/>
    <cellStyle name="20% - Accent3 4 4 2 3 2 3" xfId="38054"/>
    <cellStyle name="20% - Accent3 4 4 2 3 3" xfId="23134"/>
    <cellStyle name="20% - Accent3 4 4 2 3 3 2" xfId="42889"/>
    <cellStyle name="20% - Accent3 4 4 2 3 4" xfId="33245"/>
    <cellStyle name="20% - Accent3 4 4 2 4" xfId="18225"/>
    <cellStyle name="20% - Accent3 4 4 2 4 2" xfId="27941"/>
    <cellStyle name="20% - Accent3 4 4 2 4 2 2" xfId="47695"/>
    <cellStyle name="20% - Accent3 4 4 2 4 3" xfId="38051"/>
    <cellStyle name="20% - Accent3 4 4 2 5" xfId="23131"/>
    <cellStyle name="20% - Accent3 4 4 2 5 2" xfId="42886"/>
    <cellStyle name="20% - Accent3 4 4 2 6" xfId="33242"/>
    <cellStyle name="20% - Accent3 4 4 3" xfId="2933"/>
    <cellStyle name="20% - Accent3 4 4 3 2" xfId="2934"/>
    <cellStyle name="20% - Accent3 4 4 3 2 2" xfId="18230"/>
    <cellStyle name="20% - Accent3 4 4 3 2 2 2" xfId="27946"/>
    <cellStyle name="20% - Accent3 4 4 3 2 2 2 2" xfId="47700"/>
    <cellStyle name="20% - Accent3 4 4 3 2 2 3" xfId="38056"/>
    <cellStyle name="20% - Accent3 4 4 3 2 3" xfId="23136"/>
    <cellStyle name="20% - Accent3 4 4 3 2 3 2" xfId="42891"/>
    <cellStyle name="20% - Accent3 4 4 3 2 4" xfId="33247"/>
    <cellStyle name="20% - Accent3 4 4 3 3" xfId="18229"/>
    <cellStyle name="20% - Accent3 4 4 3 3 2" xfId="27945"/>
    <cellStyle name="20% - Accent3 4 4 3 3 2 2" xfId="47699"/>
    <cellStyle name="20% - Accent3 4 4 3 3 3" xfId="38055"/>
    <cellStyle name="20% - Accent3 4 4 3 4" xfId="23135"/>
    <cellStyle name="20% - Accent3 4 4 3 4 2" xfId="42890"/>
    <cellStyle name="20% - Accent3 4 4 3 5" xfId="33246"/>
    <cellStyle name="20% - Accent3 4 4 4" xfId="2935"/>
    <cellStyle name="20% - Accent3 4 4 4 2" xfId="18231"/>
    <cellStyle name="20% - Accent3 4 4 4 2 2" xfId="27947"/>
    <cellStyle name="20% - Accent3 4 4 4 2 2 2" xfId="47701"/>
    <cellStyle name="20% - Accent3 4 4 4 2 3" xfId="38057"/>
    <cellStyle name="20% - Accent3 4 4 4 3" xfId="23137"/>
    <cellStyle name="20% - Accent3 4 4 4 3 2" xfId="42892"/>
    <cellStyle name="20% - Accent3 4 4 4 4" xfId="33248"/>
    <cellStyle name="20% - Accent3 4 4 5" xfId="15422"/>
    <cellStyle name="20% - Accent3 4 4 5 2" xfId="20294"/>
    <cellStyle name="20% - Accent3 4 4 5 2 2" xfId="30008"/>
    <cellStyle name="20% - Accent3 4 4 5 2 2 2" xfId="49761"/>
    <cellStyle name="20% - Accent3 4 4 5 2 3" xfId="40117"/>
    <cellStyle name="20% - Accent3 4 4 5 3" xfId="25196"/>
    <cellStyle name="20% - Accent3 4 4 5 3 2" xfId="44950"/>
    <cellStyle name="20% - Accent3 4 4 5 4" xfId="35306"/>
    <cellStyle name="20% - Accent3 4 4 6" xfId="16098"/>
    <cellStyle name="20% - Accent3 4 4 6 2" xfId="25814"/>
    <cellStyle name="20% - Accent3 4 4 6 2 2" xfId="45568"/>
    <cellStyle name="20% - Accent3 4 4 6 3" xfId="35924"/>
    <cellStyle name="20% - Accent3 4 4 7" xfId="21004"/>
    <cellStyle name="20% - Accent3 4 4 7 2" xfId="40759"/>
    <cellStyle name="20% - Accent3 4 4 8" xfId="30438"/>
    <cellStyle name="20% - Accent3 4 4 8 2" xfId="50186"/>
    <cellStyle name="20% - Accent3 4 4 9" xfId="31115"/>
    <cellStyle name="20% - Accent3 4 5" xfId="752"/>
    <cellStyle name="20% - Accent3 4 5 2" xfId="2936"/>
    <cellStyle name="20% - Accent3 4 5 2 2" xfId="2937"/>
    <cellStyle name="20% - Accent3 4 5 2 2 2" xfId="2938"/>
    <cellStyle name="20% - Accent3 4 5 2 2 2 2" xfId="18234"/>
    <cellStyle name="20% - Accent3 4 5 2 2 2 2 2" xfId="27950"/>
    <cellStyle name="20% - Accent3 4 5 2 2 2 2 2 2" xfId="47704"/>
    <cellStyle name="20% - Accent3 4 5 2 2 2 2 3" xfId="38060"/>
    <cellStyle name="20% - Accent3 4 5 2 2 2 3" xfId="23140"/>
    <cellStyle name="20% - Accent3 4 5 2 2 2 3 2" xfId="42895"/>
    <cellStyle name="20% - Accent3 4 5 2 2 2 4" xfId="33251"/>
    <cellStyle name="20% - Accent3 4 5 2 2 3" xfId="18233"/>
    <cellStyle name="20% - Accent3 4 5 2 2 3 2" xfId="27949"/>
    <cellStyle name="20% - Accent3 4 5 2 2 3 2 2" xfId="47703"/>
    <cellStyle name="20% - Accent3 4 5 2 2 3 3" xfId="38059"/>
    <cellStyle name="20% - Accent3 4 5 2 2 4" xfId="23139"/>
    <cellStyle name="20% - Accent3 4 5 2 2 4 2" xfId="42894"/>
    <cellStyle name="20% - Accent3 4 5 2 2 5" xfId="33250"/>
    <cellStyle name="20% - Accent3 4 5 2 3" xfId="2939"/>
    <cellStyle name="20% - Accent3 4 5 2 3 2" xfId="18235"/>
    <cellStyle name="20% - Accent3 4 5 2 3 2 2" xfId="27951"/>
    <cellStyle name="20% - Accent3 4 5 2 3 2 2 2" xfId="47705"/>
    <cellStyle name="20% - Accent3 4 5 2 3 2 3" xfId="38061"/>
    <cellStyle name="20% - Accent3 4 5 2 3 3" xfId="23141"/>
    <cellStyle name="20% - Accent3 4 5 2 3 3 2" xfId="42896"/>
    <cellStyle name="20% - Accent3 4 5 2 3 4" xfId="33252"/>
    <cellStyle name="20% - Accent3 4 5 2 4" xfId="18232"/>
    <cellStyle name="20% - Accent3 4 5 2 4 2" xfId="27948"/>
    <cellStyle name="20% - Accent3 4 5 2 4 2 2" xfId="47702"/>
    <cellStyle name="20% - Accent3 4 5 2 4 3" xfId="38058"/>
    <cellStyle name="20% - Accent3 4 5 2 5" xfId="23138"/>
    <cellStyle name="20% - Accent3 4 5 2 5 2" xfId="42893"/>
    <cellStyle name="20% - Accent3 4 5 2 6" xfId="33249"/>
    <cellStyle name="20% - Accent3 4 5 3" xfId="2940"/>
    <cellStyle name="20% - Accent3 4 5 3 2" xfId="2941"/>
    <cellStyle name="20% - Accent3 4 5 3 2 2" xfId="18237"/>
    <cellStyle name="20% - Accent3 4 5 3 2 2 2" xfId="27953"/>
    <cellStyle name="20% - Accent3 4 5 3 2 2 2 2" xfId="47707"/>
    <cellStyle name="20% - Accent3 4 5 3 2 2 3" xfId="38063"/>
    <cellStyle name="20% - Accent3 4 5 3 2 3" xfId="23143"/>
    <cellStyle name="20% - Accent3 4 5 3 2 3 2" xfId="42898"/>
    <cellStyle name="20% - Accent3 4 5 3 2 4" xfId="33254"/>
    <cellStyle name="20% - Accent3 4 5 3 3" xfId="18236"/>
    <cellStyle name="20% - Accent3 4 5 3 3 2" xfId="27952"/>
    <cellStyle name="20% - Accent3 4 5 3 3 2 2" xfId="47706"/>
    <cellStyle name="20% - Accent3 4 5 3 3 3" xfId="38062"/>
    <cellStyle name="20% - Accent3 4 5 3 4" xfId="23142"/>
    <cellStyle name="20% - Accent3 4 5 3 4 2" xfId="42897"/>
    <cellStyle name="20% - Accent3 4 5 3 5" xfId="33253"/>
    <cellStyle name="20% - Accent3 4 5 4" xfId="2942"/>
    <cellStyle name="20% - Accent3 4 5 4 2" xfId="18238"/>
    <cellStyle name="20% - Accent3 4 5 4 2 2" xfId="27954"/>
    <cellStyle name="20% - Accent3 4 5 4 2 2 2" xfId="47708"/>
    <cellStyle name="20% - Accent3 4 5 4 2 3" xfId="38064"/>
    <cellStyle name="20% - Accent3 4 5 4 3" xfId="23144"/>
    <cellStyle name="20% - Accent3 4 5 4 3 2" xfId="42899"/>
    <cellStyle name="20% - Accent3 4 5 4 4" xfId="33255"/>
    <cellStyle name="20% - Accent3 4 5 5" xfId="16099"/>
    <cellStyle name="20% - Accent3 4 5 5 2" xfId="25815"/>
    <cellStyle name="20% - Accent3 4 5 5 2 2" xfId="45569"/>
    <cellStyle name="20% - Accent3 4 5 5 3" xfId="35925"/>
    <cellStyle name="20% - Accent3 4 5 6" xfId="21005"/>
    <cellStyle name="20% - Accent3 4 5 6 2" xfId="40760"/>
    <cellStyle name="20% - Accent3 4 5 7" xfId="31116"/>
    <cellStyle name="20% - Accent3 4 6" xfId="2943"/>
    <cellStyle name="20% - Accent3 4 6 2" xfId="2944"/>
    <cellStyle name="20% - Accent3 4 6 2 2" xfId="2945"/>
    <cellStyle name="20% - Accent3 4 6 2 2 2" xfId="2946"/>
    <cellStyle name="20% - Accent3 4 6 2 2 2 2" xfId="18242"/>
    <cellStyle name="20% - Accent3 4 6 2 2 2 2 2" xfId="27958"/>
    <cellStyle name="20% - Accent3 4 6 2 2 2 2 2 2" xfId="47712"/>
    <cellStyle name="20% - Accent3 4 6 2 2 2 2 3" xfId="38068"/>
    <cellStyle name="20% - Accent3 4 6 2 2 2 3" xfId="23148"/>
    <cellStyle name="20% - Accent3 4 6 2 2 2 3 2" xfId="42903"/>
    <cellStyle name="20% - Accent3 4 6 2 2 2 4" xfId="33259"/>
    <cellStyle name="20% - Accent3 4 6 2 2 3" xfId="18241"/>
    <cellStyle name="20% - Accent3 4 6 2 2 3 2" xfId="27957"/>
    <cellStyle name="20% - Accent3 4 6 2 2 3 2 2" xfId="47711"/>
    <cellStyle name="20% - Accent3 4 6 2 2 3 3" xfId="38067"/>
    <cellStyle name="20% - Accent3 4 6 2 2 4" xfId="23147"/>
    <cellStyle name="20% - Accent3 4 6 2 2 4 2" xfId="42902"/>
    <cellStyle name="20% - Accent3 4 6 2 2 5" xfId="33258"/>
    <cellStyle name="20% - Accent3 4 6 2 3" xfId="2947"/>
    <cellStyle name="20% - Accent3 4 6 2 3 2" xfId="18243"/>
    <cellStyle name="20% - Accent3 4 6 2 3 2 2" xfId="27959"/>
    <cellStyle name="20% - Accent3 4 6 2 3 2 2 2" xfId="47713"/>
    <cellStyle name="20% - Accent3 4 6 2 3 2 3" xfId="38069"/>
    <cellStyle name="20% - Accent3 4 6 2 3 3" xfId="23149"/>
    <cellStyle name="20% - Accent3 4 6 2 3 3 2" xfId="42904"/>
    <cellStyle name="20% - Accent3 4 6 2 3 4" xfId="33260"/>
    <cellStyle name="20% - Accent3 4 6 2 4" xfId="18240"/>
    <cellStyle name="20% - Accent3 4 6 2 4 2" xfId="27956"/>
    <cellStyle name="20% - Accent3 4 6 2 4 2 2" xfId="47710"/>
    <cellStyle name="20% - Accent3 4 6 2 4 3" xfId="38066"/>
    <cellStyle name="20% - Accent3 4 6 2 5" xfId="23146"/>
    <cellStyle name="20% - Accent3 4 6 2 5 2" xfId="42901"/>
    <cellStyle name="20% - Accent3 4 6 2 6" xfId="33257"/>
    <cellStyle name="20% - Accent3 4 6 3" xfId="2948"/>
    <cellStyle name="20% - Accent3 4 6 3 2" xfId="2949"/>
    <cellStyle name="20% - Accent3 4 6 3 2 2" xfId="18245"/>
    <cellStyle name="20% - Accent3 4 6 3 2 2 2" xfId="27961"/>
    <cellStyle name="20% - Accent3 4 6 3 2 2 2 2" xfId="47715"/>
    <cellStyle name="20% - Accent3 4 6 3 2 2 3" xfId="38071"/>
    <cellStyle name="20% - Accent3 4 6 3 2 3" xfId="23151"/>
    <cellStyle name="20% - Accent3 4 6 3 2 3 2" xfId="42906"/>
    <cellStyle name="20% - Accent3 4 6 3 2 4" xfId="33262"/>
    <cellStyle name="20% - Accent3 4 6 3 3" xfId="18244"/>
    <cellStyle name="20% - Accent3 4 6 3 3 2" xfId="27960"/>
    <cellStyle name="20% - Accent3 4 6 3 3 2 2" xfId="47714"/>
    <cellStyle name="20% - Accent3 4 6 3 3 3" xfId="38070"/>
    <cellStyle name="20% - Accent3 4 6 3 4" xfId="23150"/>
    <cellStyle name="20% - Accent3 4 6 3 4 2" xfId="42905"/>
    <cellStyle name="20% - Accent3 4 6 3 5" xfId="33261"/>
    <cellStyle name="20% - Accent3 4 6 4" xfId="2950"/>
    <cellStyle name="20% - Accent3 4 6 4 2" xfId="18246"/>
    <cellStyle name="20% - Accent3 4 6 4 2 2" xfId="27962"/>
    <cellStyle name="20% - Accent3 4 6 4 2 2 2" xfId="47716"/>
    <cellStyle name="20% - Accent3 4 6 4 2 3" xfId="38072"/>
    <cellStyle name="20% - Accent3 4 6 4 3" xfId="23152"/>
    <cellStyle name="20% - Accent3 4 6 4 3 2" xfId="42907"/>
    <cellStyle name="20% - Accent3 4 6 4 4" xfId="33263"/>
    <cellStyle name="20% - Accent3 4 6 5" xfId="18239"/>
    <cellStyle name="20% - Accent3 4 6 5 2" xfId="27955"/>
    <cellStyle name="20% - Accent3 4 6 5 2 2" xfId="47709"/>
    <cellStyle name="20% - Accent3 4 6 5 3" xfId="38065"/>
    <cellStyle name="20% - Accent3 4 6 6" xfId="23145"/>
    <cellStyle name="20% - Accent3 4 6 6 2" xfId="42900"/>
    <cellStyle name="20% - Accent3 4 6 7" xfId="33256"/>
    <cellStyle name="20% - Accent3 4 7" xfId="2951"/>
    <cellStyle name="20% - Accent3 4 7 2" xfId="2952"/>
    <cellStyle name="20% - Accent3 4 7 2 2" xfId="2953"/>
    <cellStyle name="20% - Accent3 4 7 2 2 2" xfId="18249"/>
    <cellStyle name="20% - Accent3 4 7 2 2 2 2" xfId="27965"/>
    <cellStyle name="20% - Accent3 4 7 2 2 2 2 2" xfId="47719"/>
    <cellStyle name="20% - Accent3 4 7 2 2 2 3" xfId="38075"/>
    <cellStyle name="20% - Accent3 4 7 2 2 3" xfId="23155"/>
    <cellStyle name="20% - Accent3 4 7 2 2 3 2" xfId="42910"/>
    <cellStyle name="20% - Accent3 4 7 2 2 4" xfId="33266"/>
    <cellStyle name="20% - Accent3 4 7 2 3" xfId="18248"/>
    <cellStyle name="20% - Accent3 4 7 2 3 2" xfId="27964"/>
    <cellStyle name="20% - Accent3 4 7 2 3 2 2" xfId="47718"/>
    <cellStyle name="20% - Accent3 4 7 2 3 3" xfId="38074"/>
    <cellStyle name="20% - Accent3 4 7 2 4" xfId="23154"/>
    <cellStyle name="20% - Accent3 4 7 2 4 2" xfId="42909"/>
    <cellStyle name="20% - Accent3 4 7 2 5" xfId="33265"/>
    <cellStyle name="20% - Accent3 4 7 3" xfId="2954"/>
    <cellStyle name="20% - Accent3 4 7 3 2" xfId="18250"/>
    <cellStyle name="20% - Accent3 4 7 3 2 2" xfId="27966"/>
    <cellStyle name="20% - Accent3 4 7 3 2 2 2" xfId="47720"/>
    <cellStyle name="20% - Accent3 4 7 3 2 3" xfId="38076"/>
    <cellStyle name="20% - Accent3 4 7 3 3" xfId="23156"/>
    <cellStyle name="20% - Accent3 4 7 3 3 2" xfId="42911"/>
    <cellStyle name="20% - Accent3 4 7 3 4" xfId="33267"/>
    <cellStyle name="20% - Accent3 4 7 4" xfId="18247"/>
    <cellStyle name="20% - Accent3 4 7 4 2" xfId="27963"/>
    <cellStyle name="20% - Accent3 4 7 4 2 2" xfId="47717"/>
    <cellStyle name="20% - Accent3 4 7 4 3" xfId="38073"/>
    <cellStyle name="20% - Accent3 4 7 5" xfId="23153"/>
    <cellStyle name="20% - Accent3 4 7 5 2" xfId="42908"/>
    <cellStyle name="20% - Accent3 4 7 6" xfId="33264"/>
    <cellStyle name="20% - Accent3 4 8" xfId="2955"/>
    <cellStyle name="20% - Accent3 4 8 2" xfId="2956"/>
    <cellStyle name="20% - Accent3 4 8 2 2" xfId="18252"/>
    <cellStyle name="20% - Accent3 4 8 2 2 2" xfId="27968"/>
    <cellStyle name="20% - Accent3 4 8 2 2 2 2" xfId="47722"/>
    <cellStyle name="20% - Accent3 4 8 2 2 3" xfId="38078"/>
    <cellStyle name="20% - Accent3 4 8 2 3" xfId="23158"/>
    <cellStyle name="20% - Accent3 4 8 2 3 2" xfId="42913"/>
    <cellStyle name="20% - Accent3 4 8 2 4" xfId="33269"/>
    <cellStyle name="20% - Accent3 4 8 3" xfId="18251"/>
    <cellStyle name="20% - Accent3 4 8 3 2" xfId="27967"/>
    <cellStyle name="20% - Accent3 4 8 3 2 2" xfId="47721"/>
    <cellStyle name="20% - Accent3 4 8 3 3" xfId="38077"/>
    <cellStyle name="20% - Accent3 4 8 4" xfId="23157"/>
    <cellStyle name="20% - Accent3 4 8 4 2" xfId="42912"/>
    <cellStyle name="20% - Accent3 4 8 5" xfId="33268"/>
    <cellStyle name="20% - Accent3 4 9" xfId="2957"/>
    <cellStyle name="20% - Accent3 4 9 2" xfId="2958"/>
    <cellStyle name="20% - Accent3 4 9 2 2" xfId="18254"/>
    <cellStyle name="20% - Accent3 4 9 2 2 2" xfId="27970"/>
    <cellStyle name="20% - Accent3 4 9 2 2 2 2" xfId="47724"/>
    <cellStyle name="20% - Accent3 4 9 2 2 3" xfId="38080"/>
    <cellStyle name="20% - Accent3 4 9 2 3" xfId="23160"/>
    <cellStyle name="20% - Accent3 4 9 2 3 2" xfId="42915"/>
    <cellStyle name="20% - Accent3 4 9 2 4" xfId="33271"/>
    <cellStyle name="20% - Accent3 4 9 3" xfId="18253"/>
    <cellStyle name="20% - Accent3 4 9 3 2" xfId="27969"/>
    <cellStyle name="20% - Accent3 4 9 3 2 2" xfId="47723"/>
    <cellStyle name="20% - Accent3 4 9 3 3" xfId="38079"/>
    <cellStyle name="20% - Accent3 4 9 4" xfId="23159"/>
    <cellStyle name="20% - Accent3 4 9 4 2" xfId="42914"/>
    <cellStyle name="20% - Accent3 4 9 5" xfId="33270"/>
    <cellStyle name="20% - Accent3 5" xfId="52"/>
    <cellStyle name="20% - Accent3 5 10" xfId="2959"/>
    <cellStyle name="20% - Accent3 5 10 2" xfId="18255"/>
    <cellStyle name="20% - Accent3 5 10 2 2" xfId="27971"/>
    <cellStyle name="20% - Accent3 5 10 2 2 2" xfId="47725"/>
    <cellStyle name="20% - Accent3 5 10 2 3" xfId="38081"/>
    <cellStyle name="20% - Accent3 5 10 3" xfId="23161"/>
    <cellStyle name="20% - Accent3 5 10 3 2" xfId="42916"/>
    <cellStyle name="20% - Accent3 5 10 4" xfId="33272"/>
    <cellStyle name="20% - Accent3 5 11" xfId="2960"/>
    <cellStyle name="20% - Accent3 5 11 2" xfId="18256"/>
    <cellStyle name="20% - Accent3 5 11 2 2" xfId="27972"/>
    <cellStyle name="20% - Accent3 5 11 2 2 2" xfId="47726"/>
    <cellStyle name="20% - Accent3 5 11 2 3" xfId="38082"/>
    <cellStyle name="20% - Accent3 5 11 3" xfId="23162"/>
    <cellStyle name="20% - Accent3 5 11 3 2" xfId="42917"/>
    <cellStyle name="20% - Accent3 5 11 4" xfId="33273"/>
    <cellStyle name="20% - Accent3 5 12" xfId="15423"/>
    <cellStyle name="20% - Accent3 5 12 2" xfId="20295"/>
    <cellStyle name="20% - Accent3 5 12 2 2" xfId="30009"/>
    <cellStyle name="20% - Accent3 5 12 2 2 2" xfId="49762"/>
    <cellStyle name="20% - Accent3 5 12 2 3" xfId="40118"/>
    <cellStyle name="20% - Accent3 5 12 3" xfId="25197"/>
    <cellStyle name="20% - Accent3 5 12 3 2" xfId="44951"/>
    <cellStyle name="20% - Accent3 5 12 4" xfId="35307"/>
    <cellStyle name="20% - Accent3 5 13" xfId="15851"/>
    <cellStyle name="20% - Accent3 5 13 2" xfId="25567"/>
    <cellStyle name="20% - Accent3 5 13 2 2" xfId="45321"/>
    <cellStyle name="20% - Accent3 5 13 3" xfId="35677"/>
    <cellStyle name="20% - Accent3 5 14" xfId="20725"/>
    <cellStyle name="20% - Accent3 5 14 2" xfId="40505"/>
    <cellStyle name="20% - Accent3 5 15" xfId="30439"/>
    <cellStyle name="20% - Accent3 5 15 2" xfId="50187"/>
    <cellStyle name="20% - Accent3 5 16" xfId="30836"/>
    <cellStyle name="20% - Accent3 5 2" xfId="53"/>
    <cellStyle name="20% - Accent3 5 2 10" xfId="15424"/>
    <cellStyle name="20% - Accent3 5 2 10 2" xfId="20296"/>
    <cellStyle name="20% - Accent3 5 2 10 2 2" xfId="30010"/>
    <cellStyle name="20% - Accent3 5 2 10 2 2 2" xfId="49763"/>
    <cellStyle name="20% - Accent3 5 2 10 2 3" xfId="40119"/>
    <cellStyle name="20% - Accent3 5 2 10 3" xfId="25198"/>
    <cellStyle name="20% - Accent3 5 2 10 3 2" xfId="44952"/>
    <cellStyle name="20% - Accent3 5 2 10 4" xfId="35308"/>
    <cellStyle name="20% - Accent3 5 2 11" xfId="15852"/>
    <cellStyle name="20% - Accent3 5 2 11 2" xfId="25568"/>
    <cellStyle name="20% - Accent3 5 2 11 2 2" xfId="45322"/>
    <cellStyle name="20% - Accent3 5 2 11 3" xfId="35678"/>
    <cellStyle name="20% - Accent3 5 2 12" xfId="20726"/>
    <cellStyle name="20% - Accent3 5 2 12 2" xfId="40506"/>
    <cellStyle name="20% - Accent3 5 2 13" xfId="30440"/>
    <cellStyle name="20% - Accent3 5 2 13 2" xfId="50188"/>
    <cellStyle name="20% - Accent3 5 2 14" xfId="30837"/>
    <cellStyle name="20% - Accent3 5 2 2" xfId="753"/>
    <cellStyle name="20% - Accent3 5 2 2 2" xfId="2961"/>
    <cellStyle name="20% - Accent3 5 2 2 2 2" xfId="2962"/>
    <cellStyle name="20% - Accent3 5 2 2 2 2 2" xfId="2963"/>
    <cellStyle name="20% - Accent3 5 2 2 2 2 2 2" xfId="18259"/>
    <cellStyle name="20% - Accent3 5 2 2 2 2 2 2 2" xfId="27975"/>
    <cellStyle name="20% - Accent3 5 2 2 2 2 2 2 2 2" xfId="47729"/>
    <cellStyle name="20% - Accent3 5 2 2 2 2 2 2 3" xfId="38085"/>
    <cellStyle name="20% - Accent3 5 2 2 2 2 2 3" xfId="23165"/>
    <cellStyle name="20% - Accent3 5 2 2 2 2 2 3 2" xfId="42920"/>
    <cellStyle name="20% - Accent3 5 2 2 2 2 2 4" xfId="33276"/>
    <cellStyle name="20% - Accent3 5 2 2 2 2 3" xfId="18258"/>
    <cellStyle name="20% - Accent3 5 2 2 2 2 3 2" xfId="27974"/>
    <cellStyle name="20% - Accent3 5 2 2 2 2 3 2 2" xfId="47728"/>
    <cellStyle name="20% - Accent3 5 2 2 2 2 3 3" xfId="38084"/>
    <cellStyle name="20% - Accent3 5 2 2 2 2 4" xfId="23164"/>
    <cellStyle name="20% - Accent3 5 2 2 2 2 4 2" xfId="42919"/>
    <cellStyle name="20% - Accent3 5 2 2 2 2 5" xfId="33275"/>
    <cellStyle name="20% - Accent3 5 2 2 2 3" xfId="2964"/>
    <cellStyle name="20% - Accent3 5 2 2 2 3 2" xfId="18260"/>
    <cellStyle name="20% - Accent3 5 2 2 2 3 2 2" xfId="27976"/>
    <cellStyle name="20% - Accent3 5 2 2 2 3 2 2 2" xfId="47730"/>
    <cellStyle name="20% - Accent3 5 2 2 2 3 2 3" xfId="38086"/>
    <cellStyle name="20% - Accent3 5 2 2 2 3 3" xfId="23166"/>
    <cellStyle name="20% - Accent3 5 2 2 2 3 3 2" xfId="42921"/>
    <cellStyle name="20% - Accent3 5 2 2 2 3 4" xfId="33277"/>
    <cellStyle name="20% - Accent3 5 2 2 2 4" xfId="18257"/>
    <cellStyle name="20% - Accent3 5 2 2 2 4 2" xfId="27973"/>
    <cellStyle name="20% - Accent3 5 2 2 2 4 2 2" xfId="47727"/>
    <cellStyle name="20% - Accent3 5 2 2 2 4 3" xfId="38083"/>
    <cellStyle name="20% - Accent3 5 2 2 2 5" xfId="23163"/>
    <cellStyle name="20% - Accent3 5 2 2 2 5 2" xfId="42918"/>
    <cellStyle name="20% - Accent3 5 2 2 2 6" xfId="33274"/>
    <cellStyle name="20% - Accent3 5 2 2 3" xfId="2965"/>
    <cellStyle name="20% - Accent3 5 2 2 3 2" xfId="2966"/>
    <cellStyle name="20% - Accent3 5 2 2 3 2 2" xfId="18262"/>
    <cellStyle name="20% - Accent3 5 2 2 3 2 2 2" xfId="27978"/>
    <cellStyle name="20% - Accent3 5 2 2 3 2 2 2 2" xfId="47732"/>
    <cellStyle name="20% - Accent3 5 2 2 3 2 2 3" xfId="38088"/>
    <cellStyle name="20% - Accent3 5 2 2 3 2 3" xfId="23168"/>
    <cellStyle name="20% - Accent3 5 2 2 3 2 3 2" xfId="42923"/>
    <cellStyle name="20% - Accent3 5 2 2 3 2 4" xfId="33279"/>
    <cellStyle name="20% - Accent3 5 2 2 3 3" xfId="18261"/>
    <cellStyle name="20% - Accent3 5 2 2 3 3 2" xfId="27977"/>
    <cellStyle name="20% - Accent3 5 2 2 3 3 2 2" xfId="47731"/>
    <cellStyle name="20% - Accent3 5 2 2 3 3 3" xfId="38087"/>
    <cellStyle name="20% - Accent3 5 2 2 3 4" xfId="23167"/>
    <cellStyle name="20% - Accent3 5 2 2 3 4 2" xfId="42922"/>
    <cellStyle name="20% - Accent3 5 2 2 3 5" xfId="33278"/>
    <cellStyle name="20% - Accent3 5 2 2 4" xfId="2967"/>
    <cellStyle name="20% - Accent3 5 2 2 4 2" xfId="18263"/>
    <cellStyle name="20% - Accent3 5 2 2 4 2 2" xfId="27979"/>
    <cellStyle name="20% - Accent3 5 2 2 4 2 2 2" xfId="47733"/>
    <cellStyle name="20% - Accent3 5 2 2 4 2 3" xfId="38089"/>
    <cellStyle name="20% - Accent3 5 2 2 4 3" xfId="23169"/>
    <cellStyle name="20% - Accent3 5 2 2 4 3 2" xfId="42924"/>
    <cellStyle name="20% - Accent3 5 2 2 4 4" xfId="33280"/>
    <cellStyle name="20% - Accent3 5 2 2 5" xfId="15425"/>
    <cellStyle name="20% - Accent3 5 2 2 5 2" xfId="20297"/>
    <cellStyle name="20% - Accent3 5 2 2 5 2 2" xfId="30011"/>
    <cellStyle name="20% - Accent3 5 2 2 5 2 2 2" xfId="49764"/>
    <cellStyle name="20% - Accent3 5 2 2 5 2 3" xfId="40120"/>
    <cellStyle name="20% - Accent3 5 2 2 5 3" xfId="25199"/>
    <cellStyle name="20% - Accent3 5 2 2 5 3 2" xfId="44953"/>
    <cellStyle name="20% - Accent3 5 2 2 5 4" xfId="35309"/>
    <cellStyle name="20% - Accent3 5 2 2 6" xfId="16100"/>
    <cellStyle name="20% - Accent3 5 2 2 6 2" xfId="25816"/>
    <cellStyle name="20% - Accent3 5 2 2 6 2 2" xfId="45570"/>
    <cellStyle name="20% - Accent3 5 2 2 6 3" xfId="35926"/>
    <cellStyle name="20% - Accent3 5 2 2 7" xfId="21006"/>
    <cellStyle name="20% - Accent3 5 2 2 7 2" xfId="40761"/>
    <cellStyle name="20% - Accent3 5 2 2 8" xfId="30441"/>
    <cellStyle name="20% - Accent3 5 2 2 8 2" xfId="50189"/>
    <cellStyle name="20% - Accent3 5 2 2 9" xfId="31117"/>
    <cellStyle name="20% - Accent3 5 2 3" xfId="754"/>
    <cellStyle name="20% - Accent3 5 2 3 2" xfId="2968"/>
    <cellStyle name="20% - Accent3 5 2 3 2 2" xfId="2969"/>
    <cellStyle name="20% - Accent3 5 2 3 2 2 2" xfId="2970"/>
    <cellStyle name="20% - Accent3 5 2 3 2 2 2 2" xfId="18266"/>
    <cellStyle name="20% - Accent3 5 2 3 2 2 2 2 2" xfId="27982"/>
    <cellStyle name="20% - Accent3 5 2 3 2 2 2 2 2 2" xfId="47736"/>
    <cellStyle name="20% - Accent3 5 2 3 2 2 2 2 3" xfId="38092"/>
    <cellStyle name="20% - Accent3 5 2 3 2 2 2 3" xfId="23172"/>
    <cellStyle name="20% - Accent3 5 2 3 2 2 2 3 2" xfId="42927"/>
    <cellStyle name="20% - Accent3 5 2 3 2 2 2 4" xfId="33283"/>
    <cellStyle name="20% - Accent3 5 2 3 2 2 3" xfId="18265"/>
    <cellStyle name="20% - Accent3 5 2 3 2 2 3 2" xfId="27981"/>
    <cellStyle name="20% - Accent3 5 2 3 2 2 3 2 2" xfId="47735"/>
    <cellStyle name="20% - Accent3 5 2 3 2 2 3 3" xfId="38091"/>
    <cellStyle name="20% - Accent3 5 2 3 2 2 4" xfId="23171"/>
    <cellStyle name="20% - Accent3 5 2 3 2 2 4 2" xfId="42926"/>
    <cellStyle name="20% - Accent3 5 2 3 2 2 5" xfId="33282"/>
    <cellStyle name="20% - Accent3 5 2 3 2 3" xfId="2971"/>
    <cellStyle name="20% - Accent3 5 2 3 2 3 2" xfId="18267"/>
    <cellStyle name="20% - Accent3 5 2 3 2 3 2 2" xfId="27983"/>
    <cellStyle name="20% - Accent3 5 2 3 2 3 2 2 2" xfId="47737"/>
    <cellStyle name="20% - Accent3 5 2 3 2 3 2 3" xfId="38093"/>
    <cellStyle name="20% - Accent3 5 2 3 2 3 3" xfId="23173"/>
    <cellStyle name="20% - Accent3 5 2 3 2 3 3 2" xfId="42928"/>
    <cellStyle name="20% - Accent3 5 2 3 2 3 4" xfId="33284"/>
    <cellStyle name="20% - Accent3 5 2 3 2 4" xfId="18264"/>
    <cellStyle name="20% - Accent3 5 2 3 2 4 2" xfId="27980"/>
    <cellStyle name="20% - Accent3 5 2 3 2 4 2 2" xfId="47734"/>
    <cellStyle name="20% - Accent3 5 2 3 2 4 3" xfId="38090"/>
    <cellStyle name="20% - Accent3 5 2 3 2 5" xfId="23170"/>
    <cellStyle name="20% - Accent3 5 2 3 2 5 2" xfId="42925"/>
    <cellStyle name="20% - Accent3 5 2 3 2 6" xfId="33281"/>
    <cellStyle name="20% - Accent3 5 2 3 3" xfId="2972"/>
    <cellStyle name="20% - Accent3 5 2 3 3 2" xfId="2973"/>
    <cellStyle name="20% - Accent3 5 2 3 3 2 2" xfId="18269"/>
    <cellStyle name="20% - Accent3 5 2 3 3 2 2 2" xfId="27985"/>
    <cellStyle name="20% - Accent3 5 2 3 3 2 2 2 2" xfId="47739"/>
    <cellStyle name="20% - Accent3 5 2 3 3 2 2 3" xfId="38095"/>
    <cellStyle name="20% - Accent3 5 2 3 3 2 3" xfId="23175"/>
    <cellStyle name="20% - Accent3 5 2 3 3 2 3 2" xfId="42930"/>
    <cellStyle name="20% - Accent3 5 2 3 3 2 4" xfId="33286"/>
    <cellStyle name="20% - Accent3 5 2 3 3 3" xfId="18268"/>
    <cellStyle name="20% - Accent3 5 2 3 3 3 2" xfId="27984"/>
    <cellStyle name="20% - Accent3 5 2 3 3 3 2 2" xfId="47738"/>
    <cellStyle name="20% - Accent3 5 2 3 3 3 3" xfId="38094"/>
    <cellStyle name="20% - Accent3 5 2 3 3 4" xfId="23174"/>
    <cellStyle name="20% - Accent3 5 2 3 3 4 2" xfId="42929"/>
    <cellStyle name="20% - Accent3 5 2 3 3 5" xfId="33285"/>
    <cellStyle name="20% - Accent3 5 2 3 4" xfId="2974"/>
    <cellStyle name="20% - Accent3 5 2 3 4 2" xfId="18270"/>
    <cellStyle name="20% - Accent3 5 2 3 4 2 2" xfId="27986"/>
    <cellStyle name="20% - Accent3 5 2 3 4 2 2 2" xfId="47740"/>
    <cellStyle name="20% - Accent3 5 2 3 4 2 3" xfId="38096"/>
    <cellStyle name="20% - Accent3 5 2 3 4 3" xfId="23176"/>
    <cellStyle name="20% - Accent3 5 2 3 4 3 2" xfId="42931"/>
    <cellStyle name="20% - Accent3 5 2 3 4 4" xfId="33287"/>
    <cellStyle name="20% - Accent3 5 2 3 5" xfId="16101"/>
    <cellStyle name="20% - Accent3 5 2 3 5 2" xfId="25817"/>
    <cellStyle name="20% - Accent3 5 2 3 5 2 2" xfId="45571"/>
    <cellStyle name="20% - Accent3 5 2 3 5 3" xfId="35927"/>
    <cellStyle name="20% - Accent3 5 2 3 6" xfId="21007"/>
    <cellStyle name="20% - Accent3 5 2 3 6 2" xfId="40762"/>
    <cellStyle name="20% - Accent3 5 2 3 7" xfId="31118"/>
    <cellStyle name="20% - Accent3 5 2 4" xfId="2975"/>
    <cellStyle name="20% - Accent3 5 2 4 2" xfId="2976"/>
    <cellStyle name="20% - Accent3 5 2 4 2 2" xfId="2977"/>
    <cellStyle name="20% - Accent3 5 2 4 2 2 2" xfId="2978"/>
    <cellStyle name="20% - Accent3 5 2 4 2 2 2 2" xfId="18274"/>
    <cellStyle name="20% - Accent3 5 2 4 2 2 2 2 2" xfId="27990"/>
    <cellStyle name="20% - Accent3 5 2 4 2 2 2 2 2 2" xfId="47744"/>
    <cellStyle name="20% - Accent3 5 2 4 2 2 2 2 3" xfId="38100"/>
    <cellStyle name="20% - Accent3 5 2 4 2 2 2 3" xfId="23180"/>
    <cellStyle name="20% - Accent3 5 2 4 2 2 2 3 2" xfId="42935"/>
    <cellStyle name="20% - Accent3 5 2 4 2 2 2 4" xfId="33291"/>
    <cellStyle name="20% - Accent3 5 2 4 2 2 3" xfId="18273"/>
    <cellStyle name="20% - Accent3 5 2 4 2 2 3 2" xfId="27989"/>
    <cellStyle name="20% - Accent3 5 2 4 2 2 3 2 2" xfId="47743"/>
    <cellStyle name="20% - Accent3 5 2 4 2 2 3 3" xfId="38099"/>
    <cellStyle name="20% - Accent3 5 2 4 2 2 4" xfId="23179"/>
    <cellStyle name="20% - Accent3 5 2 4 2 2 4 2" xfId="42934"/>
    <cellStyle name="20% - Accent3 5 2 4 2 2 5" xfId="33290"/>
    <cellStyle name="20% - Accent3 5 2 4 2 3" xfId="2979"/>
    <cellStyle name="20% - Accent3 5 2 4 2 3 2" xfId="18275"/>
    <cellStyle name="20% - Accent3 5 2 4 2 3 2 2" xfId="27991"/>
    <cellStyle name="20% - Accent3 5 2 4 2 3 2 2 2" xfId="47745"/>
    <cellStyle name="20% - Accent3 5 2 4 2 3 2 3" xfId="38101"/>
    <cellStyle name="20% - Accent3 5 2 4 2 3 3" xfId="23181"/>
    <cellStyle name="20% - Accent3 5 2 4 2 3 3 2" xfId="42936"/>
    <cellStyle name="20% - Accent3 5 2 4 2 3 4" xfId="33292"/>
    <cellStyle name="20% - Accent3 5 2 4 2 4" xfId="18272"/>
    <cellStyle name="20% - Accent3 5 2 4 2 4 2" xfId="27988"/>
    <cellStyle name="20% - Accent3 5 2 4 2 4 2 2" xfId="47742"/>
    <cellStyle name="20% - Accent3 5 2 4 2 4 3" xfId="38098"/>
    <cellStyle name="20% - Accent3 5 2 4 2 5" xfId="23178"/>
    <cellStyle name="20% - Accent3 5 2 4 2 5 2" xfId="42933"/>
    <cellStyle name="20% - Accent3 5 2 4 2 6" xfId="33289"/>
    <cellStyle name="20% - Accent3 5 2 4 3" xfId="2980"/>
    <cellStyle name="20% - Accent3 5 2 4 3 2" xfId="2981"/>
    <cellStyle name="20% - Accent3 5 2 4 3 2 2" xfId="18277"/>
    <cellStyle name="20% - Accent3 5 2 4 3 2 2 2" xfId="27993"/>
    <cellStyle name="20% - Accent3 5 2 4 3 2 2 2 2" xfId="47747"/>
    <cellStyle name="20% - Accent3 5 2 4 3 2 2 3" xfId="38103"/>
    <cellStyle name="20% - Accent3 5 2 4 3 2 3" xfId="23183"/>
    <cellStyle name="20% - Accent3 5 2 4 3 2 3 2" xfId="42938"/>
    <cellStyle name="20% - Accent3 5 2 4 3 2 4" xfId="33294"/>
    <cellStyle name="20% - Accent3 5 2 4 3 3" xfId="18276"/>
    <cellStyle name="20% - Accent3 5 2 4 3 3 2" xfId="27992"/>
    <cellStyle name="20% - Accent3 5 2 4 3 3 2 2" xfId="47746"/>
    <cellStyle name="20% - Accent3 5 2 4 3 3 3" xfId="38102"/>
    <cellStyle name="20% - Accent3 5 2 4 3 4" xfId="23182"/>
    <cellStyle name="20% - Accent3 5 2 4 3 4 2" xfId="42937"/>
    <cellStyle name="20% - Accent3 5 2 4 3 5" xfId="33293"/>
    <cellStyle name="20% - Accent3 5 2 4 4" xfId="2982"/>
    <cellStyle name="20% - Accent3 5 2 4 4 2" xfId="18278"/>
    <cellStyle name="20% - Accent3 5 2 4 4 2 2" xfId="27994"/>
    <cellStyle name="20% - Accent3 5 2 4 4 2 2 2" xfId="47748"/>
    <cellStyle name="20% - Accent3 5 2 4 4 2 3" xfId="38104"/>
    <cellStyle name="20% - Accent3 5 2 4 4 3" xfId="23184"/>
    <cellStyle name="20% - Accent3 5 2 4 4 3 2" xfId="42939"/>
    <cellStyle name="20% - Accent3 5 2 4 4 4" xfId="33295"/>
    <cellStyle name="20% - Accent3 5 2 4 5" xfId="18271"/>
    <cellStyle name="20% - Accent3 5 2 4 5 2" xfId="27987"/>
    <cellStyle name="20% - Accent3 5 2 4 5 2 2" xfId="47741"/>
    <cellStyle name="20% - Accent3 5 2 4 5 3" xfId="38097"/>
    <cellStyle name="20% - Accent3 5 2 4 6" xfId="23177"/>
    <cellStyle name="20% - Accent3 5 2 4 6 2" xfId="42932"/>
    <cellStyle name="20% - Accent3 5 2 4 7" xfId="33288"/>
    <cellStyle name="20% - Accent3 5 2 5" xfId="2983"/>
    <cellStyle name="20% - Accent3 5 2 5 2" xfId="2984"/>
    <cellStyle name="20% - Accent3 5 2 5 2 2" xfId="2985"/>
    <cellStyle name="20% - Accent3 5 2 5 2 2 2" xfId="18281"/>
    <cellStyle name="20% - Accent3 5 2 5 2 2 2 2" xfId="27997"/>
    <cellStyle name="20% - Accent3 5 2 5 2 2 2 2 2" xfId="47751"/>
    <cellStyle name="20% - Accent3 5 2 5 2 2 2 3" xfId="38107"/>
    <cellStyle name="20% - Accent3 5 2 5 2 2 3" xfId="23187"/>
    <cellStyle name="20% - Accent3 5 2 5 2 2 3 2" xfId="42942"/>
    <cellStyle name="20% - Accent3 5 2 5 2 2 4" xfId="33298"/>
    <cellStyle name="20% - Accent3 5 2 5 2 3" xfId="18280"/>
    <cellStyle name="20% - Accent3 5 2 5 2 3 2" xfId="27996"/>
    <cellStyle name="20% - Accent3 5 2 5 2 3 2 2" xfId="47750"/>
    <cellStyle name="20% - Accent3 5 2 5 2 3 3" xfId="38106"/>
    <cellStyle name="20% - Accent3 5 2 5 2 4" xfId="23186"/>
    <cellStyle name="20% - Accent3 5 2 5 2 4 2" xfId="42941"/>
    <cellStyle name="20% - Accent3 5 2 5 2 5" xfId="33297"/>
    <cellStyle name="20% - Accent3 5 2 5 3" xfId="2986"/>
    <cellStyle name="20% - Accent3 5 2 5 3 2" xfId="18282"/>
    <cellStyle name="20% - Accent3 5 2 5 3 2 2" xfId="27998"/>
    <cellStyle name="20% - Accent3 5 2 5 3 2 2 2" xfId="47752"/>
    <cellStyle name="20% - Accent3 5 2 5 3 2 3" xfId="38108"/>
    <cellStyle name="20% - Accent3 5 2 5 3 3" xfId="23188"/>
    <cellStyle name="20% - Accent3 5 2 5 3 3 2" xfId="42943"/>
    <cellStyle name="20% - Accent3 5 2 5 3 4" xfId="33299"/>
    <cellStyle name="20% - Accent3 5 2 5 4" xfId="18279"/>
    <cellStyle name="20% - Accent3 5 2 5 4 2" xfId="27995"/>
    <cellStyle name="20% - Accent3 5 2 5 4 2 2" xfId="47749"/>
    <cellStyle name="20% - Accent3 5 2 5 4 3" xfId="38105"/>
    <cellStyle name="20% - Accent3 5 2 5 5" xfId="23185"/>
    <cellStyle name="20% - Accent3 5 2 5 5 2" xfId="42940"/>
    <cellStyle name="20% - Accent3 5 2 5 6" xfId="33296"/>
    <cellStyle name="20% - Accent3 5 2 6" xfId="2987"/>
    <cellStyle name="20% - Accent3 5 2 6 2" xfId="2988"/>
    <cellStyle name="20% - Accent3 5 2 6 2 2" xfId="18284"/>
    <cellStyle name="20% - Accent3 5 2 6 2 2 2" xfId="28000"/>
    <cellStyle name="20% - Accent3 5 2 6 2 2 2 2" xfId="47754"/>
    <cellStyle name="20% - Accent3 5 2 6 2 2 3" xfId="38110"/>
    <cellStyle name="20% - Accent3 5 2 6 2 3" xfId="23190"/>
    <cellStyle name="20% - Accent3 5 2 6 2 3 2" xfId="42945"/>
    <cellStyle name="20% - Accent3 5 2 6 2 4" xfId="33301"/>
    <cellStyle name="20% - Accent3 5 2 6 3" xfId="18283"/>
    <cellStyle name="20% - Accent3 5 2 6 3 2" xfId="27999"/>
    <cellStyle name="20% - Accent3 5 2 6 3 2 2" xfId="47753"/>
    <cellStyle name="20% - Accent3 5 2 6 3 3" xfId="38109"/>
    <cellStyle name="20% - Accent3 5 2 6 4" xfId="23189"/>
    <cellStyle name="20% - Accent3 5 2 6 4 2" xfId="42944"/>
    <cellStyle name="20% - Accent3 5 2 6 5" xfId="33300"/>
    <cellStyle name="20% - Accent3 5 2 7" xfId="2989"/>
    <cellStyle name="20% - Accent3 5 2 7 2" xfId="18285"/>
    <cellStyle name="20% - Accent3 5 2 7 2 2" xfId="28001"/>
    <cellStyle name="20% - Accent3 5 2 7 2 2 2" xfId="47755"/>
    <cellStyle name="20% - Accent3 5 2 7 2 3" xfId="38111"/>
    <cellStyle name="20% - Accent3 5 2 7 3" xfId="23191"/>
    <cellStyle name="20% - Accent3 5 2 7 3 2" xfId="42946"/>
    <cellStyle name="20% - Accent3 5 2 7 4" xfId="33302"/>
    <cellStyle name="20% - Accent3 5 2 8" xfId="2990"/>
    <cellStyle name="20% - Accent3 5 2 8 2" xfId="18286"/>
    <cellStyle name="20% - Accent3 5 2 8 2 2" xfId="28002"/>
    <cellStyle name="20% - Accent3 5 2 8 2 2 2" xfId="47756"/>
    <cellStyle name="20% - Accent3 5 2 8 2 3" xfId="38112"/>
    <cellStyle name="20% - Accent3 5 2 8 3" xfId="23192"/>
    <cellStyle name="20% - Accent3 5 2 8 3 2" xfId="42947"/>
    <cellStyle name="20% - Accent3 5 2 8 4" xfId="33303"/>
    <cellStyle name="20% - Accent3 5 2 9" xfId="2991"/>
    <cellStyle name="20% - Accent3 5 2 9 2" xfId="18287"/>
    <cellStyle name="20% - Accent3 5 2 9 2 2" xfId="28003"/>
    <cellStyle name="20% - Accent3 5 2 9 2 2 2" xfId="47757"/>
    <cellStyle name="20% - Accent3 5 2 9 2 3" xfId="38113"/>
    <cellStyle name="20% - Accent3 5 2 9 3" xfId="23193"/>
    <cellStyle name="20% - Accent3 5 2 9 3 2" xfId="42948"/>
    <cellStyle name="20% - Accent3 5 2 9 4" xfId="33304"/>
    <cellStyle name="20% - Accent3 5 3" xfId="755"/>
    <cellStyle name="20% - Accent3 5 3 2" xfId="2992"/>
    <cellStyle name="20% - Accent3 5 3 2 2" xfId="2993"/>
    <cellStyle name="20% - Accent3 5 3 2 2 2" xfId="2994"/>
    <cellStyle name="20% - Accent3 5 3 2 2 2 2" xfId="18290"/>
    <cellStyle name="20% - Accent3 5 3 2 2 2 2 2" xfId="28006"/>
    <cellStyle name="20% - Accent3 5 3 2 2 2 2 2 2" xfId="47760"/>
    <cellStyle name="20% - Accent3 5 3 2 2 2 2 3" xfId="38116"/>
    <cellStyle name="20% - Accent3 5 3 2 2 2 3" xfId="23196"/>
    <cellStyle name="20% - Accent3 5 3 2 2 2 3 2" xfId="42951"/>
    <cellStyle name="20% - Accent3 5 3 2 2 2 4" xfId="33307"/>
    <cellStyle name="20% - Accent3 5 3 2 2 3" xfId="18289"/>
    <cellStyle name="20% - Accent3 5 3 2 2 3 2" xfId="28005"/>
    <cellStyle name="20% - Accent3 5 3 2 2 3 2 2" xfId="47759"/>
    <cellStyle name="20% - Accent3 5 3 2 2 3 3" xfId="38115"/>
    <cellStyle name="20% - Accent3 5 3 2 2 4" xfId="23195"/>
    <cellStyle name="20% - Accent3 5 3 2 2 4 2" xfId="42950"/>
    <cellStyle name="20% - Accent3 5 3 2 2 5" xfId="33306"/>
    <cellStyle name="20% - Accent3 5 3 2 3" xfId="2995"/>
    <cellStyle name="20% - Accent3 5 3 2 3 2" xfId="18291"/>
    <cellStyle name="20% - Accent3 5 3 2 3 2 2" xfId="28007"/>
    <cellStyle name="20% - Accent3 5 3 2 3 2 2 2" xfId="47761"/>
    <cellStyle name="20% - Accent3 5 3 2 3 2 3" xfId="38117"/>
    <cellStyle name="20% - Accent3 5 3 2 3 3" xfId="23197"/>
    <cellStyle name="20% - Accent3 5 3 2 3 3 2" xfId="42952"/>
    <cellStyle name="20% - Accent3 5 3 2 3 4" xfId="33308"/>
    <cellStyle name="20% - Accent3 5 3 2 4" xfId="18288"/>
    <cellStyle name="20% - Accent3 5 3 2 4 2" xfId="28004"/>
    <cellStyle name="20% - Accent3 5 3 2 4 2 2" xfId="47758"/>
    <cellStyle name="20% - Accent3 5 3 2 4 3" xfId="38114"/>
    <cellStyle name="20% - Accent3 5 3 2 5" xfId="23194"/>
    <cellStyle name="20% - Accent3 5 3 2 5 2" xfId="42949"/>
    <cellStyle name="20% - Accent3 5 3 2 6" xfId="33305"/>
    <cellStyle name="20% - Accent3 5 3 3" xfId="2996"/>
    <cellStyle name="20% - Accent3 5 3 3 2" xfId="2997"/>
    <cellStyle name="20% - Accent3 5 3 3 2 2" xfId="18293"/>
    <cellStyle name="20% - Accent3 5 3 3 2 2 2" xfId="28009"/>
    <cellStyle name="20% - Accent3 5 3 3 2 2 2 2" xfId="47763"/>
    <cellStyle name="20% - Accent3 5 3 3 2 2 3" xfId="38119"/>
    <cellStyle name="20% - Accent3 5 3 3 2 3" xfId="23199"/>
    <cellStyle name="20% - Accent3 5 3 3 2 3 2" xfId="42954"/>
    <cellStyle name="20% - Accent3 5 3 3 2 4" xfId="33310"/>
    <cellStyle name="20% - Accent3 5 3 3 3" xfId="18292"/>
    <cellStyle name="20% - Accent3 5 3 3 3 2" xfId="28008"/>
    <cellStyle name="20% - Accent3 5 3 3 3 2 2" xfId="47762"/>
    <cellStyle name="20% - Accent3 5 3 3 3 3" xfId="38118"/>
    <cellStyle name="20% - Accent3 5 3 3 4" xfId="23198"/>
    <cellStyle name="20% - Accent3 5 3 3 4 2" xfId="42953"/>
    <cellStyle name="20% - Accent3 5 3 3 5" xfId="33309"/>
    <cellStyle name="20% - Accent3 5 3 4" xfId="2998"/>
    <cellStyle name="20% - Accent3 5 3 4 2" xfId="18294"/>
    <cellStyle name="20% - Accent3 5 3 4 2 2" xfId="28010"/>
    <cellStyle name="20% - Accent3 5 3 4 2 2 2" xfId="47764"/>
    <cellStyle name="20% - Accent3 5 3 4 2 3" xfId="38120"/>
    <cellStyle name="20% - Accent3 5 3 4 3" xfId="23200"/>
    <cellStyle name="20% - Accent3 5 3 4 3 2" xfId="42955"/>
    <cellStyle name="20% - Accent3 5 3 4 4" xfId="33311"/>
    <cellStyle name="20% - Accent3 5 3 5" xfId="15426"/>
    <cellStyle name="20% - Accent3 5 3 5 2" xfId="20298"/>
    <cellStyle name="20% - Accent3 5 3 5 2 2" xfId="30012"/>
    <cellStyle name="20% - Accent3 5 3 5 2 2 2" xfId="49765"/>
    <cellStyle name="20% - Accent3 5 3 5 2 3" xfId="40121"/>
    <cellStyle name="20% - Accent3 5 3 5 3" xfId="25200"/>
    <cellStyle name="20% - Accent3 5 3 5 3 2" xfId="44954"/>
    <cellStyle name="20% - Accent3 5 3 5 4" xfId="35310"/>
    <cellStyle name="20% - Accent3 5 3 6" xfId="16102"/>
    <cellStyle name="20% - Accent3 5 3 6 2" xfId="25818"/>
    <cellStyle name="20% - Accent3 5 3 6 2 2" xfId="45572"/>
    <cellStyle name="20% - Accent3 5 3 6 3" xfId="35928"/>
    <cellStyle name="20% - Accent3 5 3 7" xfId="21008"/>
    <cellStyle name="20% - Accent3 5 3 7 2" xfId="40763"/>
    <cellStyle name="20% - Accent3 5 3 8" xfId="30442"/>
    <cellStyle name="20% - Accent3 5 3 8 2" xfId="50190"/>
    <cellStyle name="20% - Accent3 5 3 9" xfId="31119"/>
    <cellStyle name="20% - Accent3 5 4" xfId="756"/>
    <cellStyle name="20% - Accent3 5 4 2" xfId="2999"/>
    <cellStyle name="20% - Accent3 5 4 2 2" xfId="3000"/>
    <cellStyle name="20% - Accent3 5 4 2 2 2" xfId="3001"/>
    <cellStyle name="20% - Accent3 5 4 2 2 2 2" xfId="18297"/>
    <cellStyle name="20% - Accent3 5 4 2 2 2 2 2" xfId="28013"/>
    <cellStyle name="20% - Accent3 5 4 2 2 2 2 2 2" xfId="47767"/>
    <cellStyle name="20% - Accent3 5 4 2 2 2 2 3" xfId="38123"/>
    <cellStyle name="20% - Accent3 5 4 2 2 2 3" xfId="23203"/>
    <cellStyle name="20% - Accent3 5 4 2 2 2 3 2" xfId="42958"/>
    <cellStyle name="20% - Accent3 5 4 2 2 2 4" xfId="33314"/>
    <cellStyle name="20% - Accent3 5 4 2 2 3" xfId="18296"/>
    <cellStyle name="20% - Accent3 5 4 2 2 3 2" xfId="28012"/>
    <cellStyle name="20% - Accent3 5 4 2 2 3 2 2" xfId="47766"/>
    <cellStyle name="20% - Accent3 5 4 2 2 3 3" xfId="38122"/>
    <cellStyle name="20% - Accent3 5 4 2 2 4" xfId="23202"/>
    <cellStyle name="20% - Accent3 5 4 2 2 4 2" xfId="42957"/>
    <cellStyle name="20% - Accent3 5 4 2 2 5" xfId="33313"/>
    <cellStyle name="20% - Accent3 5 4 2 3" xfId="3002"/>
    <cellStyle name="20% - Accent3 5 4 2 3 2" xfId="18298"/>
    <cellStyle name="20% - Accent3 5 4 2 3 2 2" xfId="28014"/>
    <cellStyle name="20% - Accent3 5 4 2 3 2 2 2" xfId="47768"/>
    <cellStyle name="20% - Accent3 5 4 2 3 2 3" xfId="38124"/>
    <cellStyle name="20% - Accent3 5 4 2 3 3" xfId="23204"/>
    <cellStyle name="20% - Accent3 5 4 2 3 3 2" xfId="42959"/>
    <cellStyle name="20% - Accent3 5 4 2 3 4" xfId="33315"/>
    <cellStyle name="20% - Accent3 5 4 2 4" xfId="18295"/>
    <cellStyle name="20% - Accent3 5 4 2 4 2" xfId="28011"/>
    <cellStyle name="20% - Accent3 5 4 2 4 2 2" xfId="47765"/>
    <cellStyle name="20% - Accent3 5 4 2 4 3" xfId="38121"/>
    <cellStyle name="20% - Accent3 5 4 2 5" xfId="23201"/>
    <cellStyle name="20% - Accent3 5 4 2 5 2" xfId="42956"/>
    <cellStyle name="20% - Accent3 5 4 2 6" xfId="33312"/>
    <cellStyle name="20% - Accent3 5 4 3" xfId="3003"/>
    <cellStyle name="20% - Accent3 5 4 3 2" xfId="3004"/>
    <cellStyle name="20% - Accent3 5 4 3 2 2" xfId="18300"/>
    <cellStyle name="20% - Accent3 5 4 3 2 2 2" xfId="28016"/>
    <cellStyle name="20% - Accent3 5 4 3 2 2 2 2" xfId="47770"/>
    <cellStyle name="20% - Accent3 5 4 3 2 2 3" xfId="38126"/>
    <cellStyle name="20% - Accent3 5 4 3 2 3" xfId="23206"/>
    <cellStyle name="20% - Accent3 5 4 3 2 3 2" xfId="42961"/>
    <cellStyle name="20% - Accent3 5 4 3 2 4" xfId="33317"/>
    <cellStyle name="20% - Accent3 5 4 3 3" xfId="18299"/>
    <cellStyle name="20% - Accent3 5 4 3 3 2" xfId="28015"/>
    <cellStyle name="20% - Accent3 5 4 3 3 2 2" xfId="47769"/>
    <cellStyle name="20% - Accent3 5 4 3 3 3" xfId="38125"/>
    <cellStyle name="20% - Accent3 5 4 3 4" xfId="23205"/>
    <cellStyle name="20% - Accent3 5 4 3 4 2" xfId="42960"/>
    <cellStyle name="20% - Accent3 5 4 3 5" xfId="33316"/>
    <cellStyle name="20% - Accent3 5 4 4" xfId="3005"/>
    <cellStyle name="20% - Accent3 5 4 4 2" xfId="18301"/>
    <cellStyle name="20% - Accent3 5 4 4 2 2" xfId="28017"/>
    <cellStyle name="20% - Accent3 5 4 4 2 2 2" xfId="47771"/>
    <cellStyle name="20% - Accent3 5 4 4 2 3" xfId="38127"/>
    <cellStyle name="20% - Accent3 5 4 4 3" xfId="23207"/>
    <cellStyle name="20% - Accent3 5 4 4 3 2" xfId="42962"/>
    <cellStyle name="20% - Accent3 5 4 4 4" xfId="33318"/>
    <cellStyle name="20% - Accent3 5 4 5" xfId="16103"/>
    <cellStyle name="20% - Accent3 5 4 5 2" xfId="25819"/>
    <cellStyle name="20% - Accent3 5 4 5 2 2" xfId="45573"/>
    <cellStyle name="20% - Accent3 5 4 5 3" xfId="35929"/>
    <cellStyle name="20% - Accent3 5 4 6" xfId="21009"/>
    <cellStyle name="20% - Accent3 5 4 6 2" xfId="40764"/>
    <cellStyle name="20% - Accent3 5 4 7" xfId="31120"/>
    <cellStyle name="20% - Accent3 5 5" xfId="3006"/>
    <cellStyle name="20% - Accent3 5 5 2" xfId="3007"/>
    <cellStyle name="20% - Accent3 5 5 2 2" xfId="3008"/>
    <cellStyle name="20% - Accent3 5 5 2 2 2" xfId="3009"/>
    <cellStyle name="20% - Accent3 5 5 2 2 2 2" xfId="18305"/>
    <cellStyle name="20% - Accent3 5 5 2 2 2 2 2" xfId="28021"/>
    <cellStyle name="20% - Accent3 5 5 2 2 2 2 2 2" xfId="47775"/>
    <cellStyle name="20% - Accent3 5 5 2 2 2 2 3" xfId="38131"/>
    <cellStyle name="20% - Accent3 5 5 2 2 2 3" xfId="23211"/>
    <cellStyle name="20% - Accent3 5 5 2 2 2 3 2" xfId="42966"/>
    <cellStyle name="20% - Accent3 5 5 2 2 2 4" xfId="33322"/>
    <cellStyle name="20% - Accent3 5 5 2 2 3" xfId="18304"/>
    <cellStyle name="20% - Accent3 5 5 2 2 3 2" xfId="28020"/>
    <cellStyle name="20% - Accent3 5 5 2 2 3 2 2" xfId="47774"/>
    <cellStyle name="20% - Accent3 5 5 2 2 3 3" xfId="38130"/>
    <cellStyle name="20% - Accent3 5 5 2 2 4" xfId="23210"/>
    <cellStyle name="20% - Accent3 5 5 2 2 4 2" xfId="42965"/>
    <cellStyle name="20% - Accent3 5 5 2 2 5" xfId="33321"/>
    <cellStyle name="20% - Accent3 5 5 2 3" xfId="3010"/>
    <cellStyle name="20% - Accent3 5 5 2 3 2" xfId="18306"/>
    <cellStyle name="20% - Accent3 5 5 2 3 2 2" xfId="28022"/>
    <cellStyle name="20% - Accent3 5 5 2 3 2 2 2" xfId="47776"/>
    <cellStyle name="20% - Accent3 5 5 2 3 2 3" xfId="38132"/>
    <cellStyle name="20% - Accent3 5 5 2 3 3" xfId="23212"/>
    <cellStyle name="20% - Accent3 5 5 2 3 3 2" xfId="42967"/>
    <cellStyle name="20% - Accent3 5 5 2 3 4" xfId="33323"/>
    <cellStyle name="20% - Accent3 5 5 2 4" xfId="18303"/>
    <cellStyle name="20% - Accent3 5 5 2 4 2" xfId="28019"/>
    <cellStyle name="20% - Accent3 5 5 2 4 2 2" xfId="47773"/>
    <cellStyle name="20% - Accent3 5 5 2 4 3" xfId="38129"/>
    <cellStyle name="20% - Accent3 5 5 2 5" xfId="23209"/>
    <cellStyle name="20% - Accent3 5 5 2 5 2" xfId="42964"/>
    <cellStyle name="20% - Accent3 5 5 2 6" xfId="33320"/>
    <cellStyle name="20% - Accent3 5 5 3" xfId="3011"/>
    <cellStyle name="20% - Accent3 5 5 3 2" xfId="3012"/>
    <cellStyle name="20% - Accent3 5 5 3 2 2" xfId="18308"/>
    <cellStyle name="20% - Accent3 5 5 3 2 2 2" xfId="28024"/>
    <cellStyle name="20% - Accent3 5 5 3 2 2 2 2" xfId="47778"/>
    <cellStyle name="20% - Accent3 5 5 3 2 2 3" xfId="38134"/>
    <cellStyle name="20% - Accent3 5 5 3 2 3" xfId="23214"/>
    <cellStyle name="20% - Accent3 5 5 3 2 3 2" xfId="42969"/>
    <cellStyle name="20% - Accent3 5 5 3 2 4" xfId="33325"/>
    <cellStyle name="20% - Accent3 5 5 3 3" xfId="18307"/>
    <cellStyle name="20% - Accent3 5 5 3 3 2" xfId="28023"/>
    <cellStyle name="20% - Accent3 5 5 3 3 2 2" xfId="47777"/>
    <cellStyle name="20% - Accent3 5 5 3 3 3" xfId="38133"/>
    <cellStyle name="20% - Accent3 5 5 3 4" xfId="23213"/>
    <cellStyle name="20% - Accent3 5 5 3 4 2" xfId="42968"/>
    <cellStyle name="20% - Accent3 5 5 3 5" xfId="33324"/>
    <cellStyle name="20% - Accent3 5 5 4" xfId="3013"/>
    <cellStyle name="20% - Accent3 5 5 4 2" xfId="18309"/>
    <cellStyle name="20% - Accent3 5 5 4 2 2" xfId="28025"/>
    <cellStyle name="20% - Accent3 5 5 4 2 2 2" xfId="47779"/>
    <cellStyle name="20% - Accent3 5 5 4 2 3" xfId="38135"/>
    <cellStyle name="20% - Accent3 5 5 4 3" xfId="23215"/>
    <cellStyle name="20% - Accent3 5 5 4 3 2" xfId="42970"/>
    <cellStyle name="20% - Accent3 5 5 4 4" xfId="33326"/>
    <cellStyle name="20% - Accent3 5 5 5" xfId="18302"/>
    <cellStyle name="20% - Accent3 5 5 5 2" xfId="28018"/>
    <cellStyle name="20% - Accent3 5 5 5 2 2" xfId="47772"/>
    <cellStyle name="20% - Accent3 5 5 5 3" xfId="38128"/>
    <cellStyle name="20% - Accent3 5 5 6" xfId="23208"/>
    <cellStyle name="20% - Accent3 5 5 6 2" xfId="42963"/>
    <cellStyle name="20% - Accent3 5 5 7" xfId="33319"/>
    <cellStyle name="20% - Accent3 5 6" xfId="3014"/>
    <cellStyle name="20% - Accent3 5 6 2" xfId="3015"/>
    <cellStyle name="20% - Accent3 5 6 2 2" xfId="3016"/>
    <cellStyle name="20% - Accent3 5 6 2 2 2" xfId="18312"/>
    <cellStyle name="20% - Accent3 5 6 2 2 2 2" xfId="28028"/>
    <cellStyle name="20% - Accent3 5 6 2 2 2 2 2" xfId="47782"/>
    <cellStyle name="20% - Accent3 5 6 2 2 2 3" xfId="38138"/>
    <cellStyle name="20% - Accent3 5 6 2 2 3" xfId="23218"/>
    <cellStyle name="20% - Accent3 5 6 2 2 3 2" xfId="42973"/>
    <cellStyle name="20% - Accent3 5 6 2 2 4" xfId="33329"/>
    <cellStyle name="20% - Accent3 5 6 2 3" xfId="18311"/>
    <cellStyle name="20% - Accent3 5 6 2 3 2" xfId="28027"/>
    <cellStyle name="20% - Accent3 5 6 2 3 2 2" xfId="47781"/>
    <cellStyle name="20% - Accent3 5 6 2 3 3" xfId="38137"/>
    <cellStyle name="20% - Accent3 5 6 2 4" xfId="23217"/>
    <cellStyle name="20% - Accent3 5 6 2 4 2" xfId="42972"/>
    <cellStyle name="20% - Accent3 5 6 2 5" xfId="33328"/>
    <cellStyle name="20% - Accent3 5 6 3" xfId="3017"/>
    <cellStyle name="20% - Accent3 5 6 3 2" xfId="18313"/>
    <cellStyle name="20% - Accent3 5 6 3 2 2" xfId="28029"/>
    <cellStyle name="20% - Accent3 5 6 3 2 2 2" xfId="47783"/>
    <cellStyle name="20% - Accent3 5 6 3 2 3" xfId="38139"/>
    <cellStyle name="20% - Accent3 5 6 3 3" xfId="23219"/>
    <cellStyle name="20% - Accent3 5 6 3 3 2" xfId="42974"/>
    <cellStyle name="20% - Accent3 5 6 3 4" xfId="33330"/>
    <cellStyle name="20% - Accent3 5 6 4" xfId="18310"/>
    <cellStyle name="20% - Accent3 5 6 4 2" xfId="28026"/>
    <cellStyle name="20% - Accent3 5 6 4 2 2" xfId="47780"/>
    <cellStyle name="20% - Accent3 5 6 4 3" xfId="38136"/>
    <cellStyle name="20% - Accent3 5 6 5" xfId="23216"/>
    <cellStyle name="20% - Accent3 5 6 5 2" xfId="42971"/>
    <cellStyle name="20% - Accent3 5 6 6" xfId="33327"/>
    <cellStyle name="20% - Accent3 5 7" xfId="3018"/>
    <cellStyle name="20% - Accent3 5 7 2" xfId="3019"/>
    <cellStyle name="20% - Accent3 5 7 2 2" xfId="18315"/>
    <cellStyle name="20% - Accent3 5 7 2 2 2" xfId="28031"/>
    <cellStyle name="20% - Accent3 5 7 2 2 2 2" xfId="47785"/>
    <cellStyle name="20% - Accent3 5 7 2 2 3" xfId="38141"/>
    <cellStyle name="20% - Accent3 5 7 2 3" xfId="23221"/>
    <cellStyle name="20% - Accent3 5 7 2 3 2" xfId="42976"/>
    <cellStyle name="20% - Accent3 5 7 2 4" xfId="33332"/>
    <cellStyle name="20% - Accent3 5 7 3" xfId="18314"/>
    <cellStyle name="20% - Accent3 5 7 3 2" xfId="28030"/>
    <cellStyle name="20% - Accent3 5 7 3 2 2" xfId="47784"/>
    <cellStyle name="20% - Accent3 5 7 3 3" xfId="38140"/>
    <cellStyle name="20% - Accent3 5 7 4" xfId="23220"/>
    <cellStyle name="20% - Accent3 5 7 4 2" xfId="42975"/>
    <cellStyle name="20% - Accent3 5 7 5" xfId="33331"/>
    <cellStyle name="20% - Accent3 5 8" xfId="3020"/>
    <cellStyle name="20% - Accent3 5 8 2" xfId="3021"/>
    <cellStyle name="20% - Accent3 5 8 2 2" xfId="18317"/>
    <cellStyle name="20% - Accent3 5 8 2 2 2" xfId="28033"/>
    <cellStyle name="20% - Accent3 5 8 2 2 2 2" xfId="47787"/>
    <cellStyle name="20% - Accent3 5 8 2 2 3" xfId="38143"/>
    <cellStyle name="20% - Accent3 5 8 2 3" xfId="23223"/>
    <cellStyle name="20% - Accent3 5 8 2 3 2" xfId="42978"/>
    <cellStyle name="20% - Accent3 5 8 2 4" xfId="33334"/>
    <cellStyle name="20% - Accent3 5 8 3" xfId="18316"/>
    <cellStyle name="20% - Accent3 5 8 3 2" xfId="28032"/>
    <cellStyle name="20% - Accent3 5 8 3 2 2" xfId="47786"/>
    <cellStyle name="20% - Accent3 5 8 3 3" xfId="38142"/>
    <cellStyle name="20% - Accent3 5 8 4" xfId="23222"/>
    <cellStyle name="20% - Accent3 5 8 4 2" xfId="42977"/>
    <cellStyle name="20% - Accent3 5 8 5" xfId="33333"/>
    <cellStyle name="20% - Accent3 5 9" xfId="3022"/>
    <cellStyle name="20% - Accent3 5 9 2" xfId="18318"/>
    <cellStyle name="20% - Accent3 5 9 2 2" xfId="28034"/>
    <cellStyle name="20% - Accent3 5 9 2 2 2" xfId="47788"/>
    <cellStyle name="20% - Accent3 5 9 2 3" xfId="38144"/>
    <cellStyle name="20% - Accent3 5 9 3" xfId="23224"/>
    <cellStyle name="20% - Accent3 5 9 3 2" xfId="42979"/>
    <cellStyle name="20% - Accent3 5 9 4" xfId="33335"/>
    <cellStyle name="20% - Accent3 6" xfId="54"/>
    <cellStyle name="20% - Accent3 6 10" xfId="3023"/>
    <cellStyle name="20% - Accent3 6 10 2" xfId="18319"/>
    <cellStyle name="20% - Accent3 6 10 2 2" xfId="28035"/>
    <cellStyle name="20% - Accent3 6 10 2 2 2" xfId="47789"/>
    <cellStyle name="20% - Accent3 6 10 2 3" xfId="38145"/>
    <cellStyle name="20% - Accent3 6 10 3" xfId="23225"/>
    <cellStyle name="20% - Accent3 6 10 3 2" xfId="42980"/>
    <cellStyle name="20% - Accent3 6 10 4" xfId="33336"/>
    <cellStyle name="20% - Accent3 6 11" xfId="3024"/>
    <cellStyle name="20% - Accent3 6 11 2" xfId="18320"/>
    <cellStyle name="20% - Accent3 6 11 2 2" xfId="28036"/>
    <cellStyle name="20% - Accent3 6 11 2 2 2" xfId="47790"/>
    <cellStyle name="20% - Accent3 6 11 2 3" xfId="38146"/>
    <cellStyle name="20% - Accent3 6 11 3" xfId="23226"/>
    <cellStyle name="20% - Accent3 6 11 3 2" xfId="42981"/>
    <cellStyle name="20% - Accent3 6 11 4" xfId="33337"/>
    <cellStyle name="20% - Accent3 6 12" xfId="15427"/>
    <cellStyle name="20% - Accent3 6 12 2" xfId="20299"/>
    <cellStyle name="20% - Accent3 6 12 2 2" xfId="30013"/>
    <cellStyle name="20% - Accent3 6 12 2 2 2" xfId="49766"/>
    <cellStyle name="20% - Accent3 6 12 2 3" xfId="40122"/>
    <cellStyle name="20% - Accent3 6 12 3" xfId="25201"/>
    <cellStyle name="20% - Accent3 6 12 3 2" xfId="44955"/>
    <cellStyle name="20% - Accent3 6 12 4" xfId="35311"/>
    <cellStyle name="20% - Accent3 6 13" xfId="15853"/>
    <cellStyle name="20% - Accent3 6 13 2" xfId="25569"/>
    <cellStyle name="20% - Accent3 6 13 2 2" xfId="45323"/>
    <cellStyle name="20% - Accent3 6 13 3" xfId="35679"/>
    <cellStyle name="20% - Accent3 6 14" xfId="20727"/>
    <cellStyle name="20% - Accent3 6 14 2" xfId="40507"/>
    <cellStyle name="20% - Accent3 6 15" xfId="30443"/>
    <cellStyle name="20% - Accent3 6 15 2" xfId="50191"/>
    <cellStyle name="20% - Accent3 6 16" xfId="30838"/>
    <cellStyle name="20% - Accent3 6 2" xfId="55"/>
    <cellStyle name="20% - Accent3 6 2 10" xfId="15428"/>
    <cellStyle name="20% - Accent3 6 2 10 2" xfId="20300"/>
    <cellStyle name="20% - Accent3 6 2 10 2 2" xfId="30014"/>
    <cellStyle name="20% - Accent3 6 2 10 2 2 2" xfId="49767"/>
    <cellStyle name="20% - Accent3 6 2 10 2 3" xfId="40123"/>
    <cellStyle name="20% - Accent3 6 2 10 3" xfId="25202"/>
    <cellStyle name="20% - Accent3 6 2 10 3 2" xfId="44956"/>
    <cellStyle name="20% - Accent3 6 2 10 4" xfId="35312"/>
    <cellStyle name="20% - Accent3 6 2 11" xfId="15854"/>
    <cellStyle name="20% - Accent3 6 2 11 2" xfId="25570"/>
    <cellStyle name="20% - Accent3 6 2 11 2 2" xfId="45324"/>
    <cellStyle name="20% - Accent3 6 2 11 3" xfId="35680"/>
    <cellStyle name="20% - Accent3 6 2 12" xfId="20728"/>
    <cellStyle name="20% - Accent3 6 2 12 2" xfId="40508"/>
    <cellStyle name="20% - Accent3 6 2 13" xfId="30444"/>
    <cellStyle name="20% - Accent3 6 2 13 2" xfId="50192"/>
    <cellStyle name="20% - Accent3 6 2 14" xfId="30839"/>
    <cellStyle name="20% - Accent3 6 2 2" xfId="757"/>
    <cellStyle name="20% - Accent3 6 2 2 2" xfId="3025"/>
    <cellStyle name="20% - Accent3 6 2 2 2 2" xfId="3026"/>
    <cellStyle name="20% - Accent3 6 2 2 2 2 2" xfId="3027"/>
    <cellStyle name="20% - Accent3 6 2 2 2 2 2 2" xfId="18323"/>
    <cellStyle name="20% - Accent3 6 2 2 2 2 2 2 2" xfId="28039"/>
    <cellStyle name="20% - Accent3 6 2 2 2 2 2 2 2 2" xfId="47793"/>
    <cellStyle name="20% - Accent3 6 2 2 2 2 2 2 3" xfId="38149"/>
    <cellStyle name="20% - Accent3 6 2 2 2 2 2 3" xfId="23229"/>
    <cellStyle name="20% - Accent3 6 2 2 2 2 2 3 2" xfId="42984"/>
    <cellStyle name="20% - Accent3 6 2 2 2 2 2 4" xfId="33340"/>
    <cellStyle name="20% - Accent3 6 2 2 2 2 3" xfId="18322"/>
    <cellStyle name="20% - Accent3 6 2 2 2 2 3 2" xfId="28038"/>
    <cellStyle name="20% - Accent3 6 2 2 2 2 3 2 2" xfId="47792"/>
    <cellStyle name="20% - Accent3 6 2 2 2 2 3 3" xfId="38148"/>
    <cellStyle name="20% - Accent3 6 2 2 2 2 4" xfId="23228"/>
    <cellStyle name="20% - Accent3 6 2 2 2 2 4 2" xfId="42983"/>
    <cellStyle name="20% - Accent3 6 2 2 2 2 5" xfId="33339"/>
    <cellStyle name="20% - Accent3 6 2 2 2 3" xfId="3028"/>
    <cellStyle name="20% - Accent3 6 2 2 2 3 2" xfId="18324"/>
    <cellStyle name="20% - Accent3 6 2 2 2 3 2 2" xfId="28040"/>
    <cellStyle name="20% - Accent3 6 2 2 2 3 2 2 2" xfId="47794"/>
    <cellStyle name="20% - Accent3 6 2 2 2 3 2 3" xfId="38150"/>
    <cellStyle name="20% - Accent3 6 2 2 2 3 3" xfId="23230"/>
    <cellStyle name="20% - Accent3 6 2 2 2 3 3 2" xfId="42985"/>
    <cellStyle name="20% - Accent3 6 2 2 2 3 4" xfId="33341"/>
    <cellStyle name="20% - Accent3 6 2 2 2 4" xfId="18321"/>
    <cellStyle name="20% - Accent3 6 2 2 2 4 2" xfId="28037"/>
    <cellStyle name="20% - Accent3 6 2 2 2 4 2 2" xfId="47791"/>
    <cellStyle name="20% - Accent3 6 2 2 2 4 3" xfId="38147"/>
    <cellStyle name="20% - Accent3 6 2 2 2 5" xfId="23227"/>
    <cellStyle name="20% - Accent3 6 2 2 2 5 2" xfId="42982"/>
    <cellStyle name="20% - Accent3 6 2 2 2 6" xfId="33338"/>
    <cellStyle name="20% - Accent3 6 2 2 3" xfId="3029"/>
    <cellStyle name="20% - Accent3 6 2 2 3 2" xfId="3030"/>
    <cellStyle name="20% - Accent3 6 2 2 3 2 2" xfId="18326"/>
    <cellStyle name="20% - Accent3 6 2 2 3 2 2 2" xfId="28042"/>
    <cellStyle name="20% - Accent3 6 2 2 3 2 2 2 2" xfId="47796"/>
    <cellStyle name="20% - Accent3 6 2 2 3 2 2 3" xfId="38152"/>
    <cellStyle name="20% - Accent3 6 2 2 3 2 3" xfId="23232"/>
    <cellStyle name="20% - Accent3 6 2 2 3 2 3 2" xfId="42987"/>
    <cellStyle name="20% - Accent3 6 2 2 3 2 4" xfId="33343"/>
    <cellStyle name="20% - Accent3 6 2 2 3 3" xfId="18325"/>
    <cellStyle name="20% - Accent3 6 2 2 3 3 2" xfId="28041"/>
    <cellStyle name="20% - Accent3 6 2 2 3 3 2 2" xfId="47795"/>
    <cellStyle name="20% - Accent3 6 2 2 3 3 3" xfId="38151"/>
    <cellStyle name="20% - Accent3 6 2 2 3 4" xfId="23231"/>
    <cellStyle name="20% - Accent3 6 2 2 3 4 2" xfId="42986"/>
    <cellStyle name="20% - Accent3 6 2 2 3 5" xfId="33342"/>
    <cellStyle name="20% - Accent3 6 2 2 4" xfId="3031"/>
    <cellStyle name="20% - Accent3 6 2 2 4 2" xfId="18327"/>
    <cellStyle name="20% - Accent3 6 2 2 4 2 2" xfId="28043"/>
    <cellStyle name="20% - Accent3 6 2 2 4 2 2 2" xfId="47797"/>
    <cellStyle name="20% - Accent3 6 2 2 4 2 3" xfId="38153"/>
    <cellStyle name="20% - Accent3 6 2 2 4 3" xfId="23233"/>
    <cellStyle name="20% - Accent3 6 2 2 4 3 2" xfId="42988"/>
    <cellStyle name="20% - Accent3 6 2 2 4 4" xfId="33344"/>
    <cellStyle name="20% - Accent3 6 2 2 5" xfId="15429"/>
    <cellStyle name="20% - Accent3 6 2 2 5 2" xfId="20301"/>
    <cellStyle name="20% - Accent3 6 2 2 5 2 2" xfId="30015"/>
    <cellStyle name="20% - Accent3 6 2 2 5 2 2 2" xfId="49768"/>
    <cellStyle name="20% - Accent3 6 2 2 5 2 3" xfId="40124"/>
    <cellStyle name="20% - Accent3 6 2 2 5 3" xfId="25203"/>
    <cellStyle name="20% - Accent3 6 2 2 5 3 2" xfId="44957"/>
    <cellStyle name="20% - Accent3 6 2 2 5 4" xfId="35313"/>
    <cellStyle name="20% - Accent3 6 2 2 6" xfId="16104"/>
    <cellStyle name="20% - Accent3 6 2 2 6 2" xfId="25820"/>
    <cellStyle name="20% - Accent3 6 2 2 6 2 2" xfId="45574"/>
    <cellStyle name="20% - Accent3 6 2 2 6 3" xfId="35930"/>
    <cellStyle name="20% - Accent3 6 2 2 7" xfId="21010"/>
    <cellStyle name="20% - Accent3 6 2 2 7 2" xfId="40765"/>
    <cellStyle name="20% - Accent3 6 2 2 8" xfId="30445"/>
    <cellStyle name="20% - Accent3 6 2 2 8 2" xfId="50193"/>
    <cellStyle name="20% - Accent3 6 2 2 9" xfId="31121"/>
    <cellStyle name="20% - Accent3 6 2 3" xfId="758"/>
    <cellStyle name="20% - Accent3 6 2 3 2" xfId="3032"/>
    <cellStyle name="20% - Accent3 6 2 3 2 2" xfId="3033"/>
    <cellStyle name="20% - Accent3 6 2 3 2 2 2" xfId="3034"/>
    <cellStyle name="20% - Accent3 6 2 3 2 2 2 2" xfId="18330"/>
    <cellStyle name="20% - Accent3 6 2 3 2 2 2 2 2" xfId="28046"/>
    <cellStyle name="20% - Accent3 6 2 3 2 2 2 2 2 2" xfId="47800"/>
    <cellStyle name="20% - Accent3 6 2 3 2 2 2 2 3" xfId="38156"/>
    <cellStyle name="20% - Accent3 6 2 3 2 2 2 3" xfId="23236"/>
    <cellStyle name="20% - Accent3 6 2 3 2 2 2 3 2" xfId="42991"/>
    <cellStyle name="20% - Accent3 6 2 3 2 2 2 4" xfId="33347"/>
    <cellStyle name="20% - Accent3 6 2 3 2 2 3" xfId="18329"/>
    <cellStyle name="20% - Accent3 6 2 3 2 2 3 2" xfId="28045"/>
    <cellStyle name="20% - Accent3 6 2 3 2 2 3 2 2" xfId="47799"/>
    <cellStyle name="20% - Accent3 6 2 3 2 2 3 3" xfId="38155"/>
    <cellStyle name="20% - Accent3 6 2 3 2 2 4" xfId="23235"/>
    <cellStyle name="20% - Accent3 6 2 3 2 2 4 2" xfId="42990"/>
    <cellStyle name="20% - Accent3 6 2 3 2 2 5" xfId="33346"/>
    <cellStyle name="20% - Accent3 6 2 3 2 3" xfId="3035"/>
    <cellStyle name="20% - Accent3 6 2 3 2 3 2" xfId="18331"/>
    <cellStyle name="20% - Accent3 6 2 3 2 3 2 2" xfId="28047"/>
    <cellStyle name="20% - Accent3 6 2 3 2 3 2 2 2" xfId="47801"/>
    <cellStyle name="20% - Accent3 6 2 3 2 3 2 3" xfId="38157"/>
    <cellStyle name="20% - Accent3 6 2 3 2 3 3" xfId="23237"/>
    <cellStyle name="20% - Accent3 6 2 3 2 3 3 2" xfId="42992"/>
    <cellStyle name="20% - Accent3 6 2 3 2 3 4" xfId="33348"/>
    <cellStyle name="20% - Accent3 6 2 3 2 4" xfId="18328"/>
    <cellStyle name="20% - Accent3 6 2 3 2 4 2" xfId="28044"/>
    <cellStyle name="20% - Accent3 6 2 3 2 4 2 2" xfId="47798"/>
    <cellStyle name="20% - Accent3 6 2 3 2 4 3" xfId="38154"/>
    <cellStyle name="20% - Accent3 6 2 3 2 5" xfId="23234"/>
    <cellStyle name="20% - Accent3 6 2 3 2 5 2" xfId="42989"/>
    <cellStyle name="20% - Accent3 6 2 3 2 6" xfId="33345"/>
    <cellStyle name="20% - Accent3 6 2 3 3" xfId="3036"/>
    <cellStyle name="20% - Accent3 6 2 3 3 2" xfId="3037"/>
    <cellStyle name="20% - Accent3 6 2 3 3 2 2" xfId="18333"/>
    <cellStyle name="20% - Accent3 6 2 3 3 2 2 2" xfId="28049"/>
    <cellStyle name="20% - Accent3 6 2 3 3 2 2 2 2" xfId="47803"/>
    <cellStyle name="20% - Accent3 6 2 3 3 2 2 3" xfId="38159"/>
    <cellStyle name="20% - Accent3 6 2 3 3 2 3" xfId="23239"/>
    <cellStyle name="20% - Accent3 6 2 3 3 2 3 2" xfId="42994"/>
    <cellStyle name="20% - Accent3 6 2 3 3 2 4" xfId="33350"/>
    <cellStyle name="20% - Accent3 6 2 3 3 3" xfId="18332"/>
    <cellStyle name="20% - Accent3 6 2 3 3 3 2" xfId="28048"/>
    <cellStyle name="20% - Accent3 6 2 3 3 3 2 2" xfId="47802"/>
    <cellStyle name="20% - Accent3 6 2 3 3 3 3" xfId="38158"/>
    <cellStyle name="20% - Accent3 6 2 3 3 4" xfId="23238"/>
    <cellStyle name="20% - Accent3 6 2 3 3 4 2" xfId="42993"/>
    <cellStyle name="20% - Accent3 6 2 3 3 5" xfId="33349"/>
    <cellStyle name="20% - Accent3 6 2 3 4" xfId="3038"/>
    <cellStyle name="20% - Accent3 6 2 3 4 2" xfId="18334"/>
    <cellStyle name="20% - Accent3 6 2 3 4 2 2" xfId="28050"/>
    <cellStyle name="20% - Accent3 6 2 3 4 2 2 2" xfId="47804"/>
    <cellStyle name="20% - Accent3 6 2 3 4 2 3" xfId="38160"/>
    <cellStyle name="20% - Accent3 6 2 3 4 3" xfId="23240"/>
    <cellStyle name="20% - Accent3 6 2 3 4 3 2" xfId="42995"/>
    <cellStyle name="20% - Accent3 6 2 3 4 4" xfId="33351"/>
    <cellStyle name="20% - Accent3 6 2 3 5" xfId="16105"/>
    <cellStyle name="20% - Accent3 6 2 3 5 2" xfId="25821"/>
    <cellStyle name="20% - Accent3 6 2 3 5 2 2" xfId="45575"/>
    <cellStyle name="20% - Accent3 6 2 3 5 3" xfId="35931"/>
    <cellStyle name="20% - Accent3 6 2 3 6" xfId="21011"/>
    <cellStyle name="20% - Accent3 6 2 3 6 2" xfId="40766"/>
    <cellStyle name="20% - Accent3 6 2 3 7" xfId="31122"/>
    <cellStyle name="20% - Accent3 6 2 4" xfId="3039"/>
    <cellStyle name="20% - Accent3 6 2 4 2" xfId="3040"/>
    <cellStyle name="20% - Accent3 6 2 4 2 2" xfId="3041"/>
    <cellStyle name="20% - Accent3 6 2 4 2 2 2" xfId="3042"/>
    <cellStyle name="20% - Accent3 6 2 4 2 2 2 2" xfId="18338"/>
    <cellStyle name="20% - Accent3 6 2 4 2 2 2 2 2" xfId="28054"/>
    <cellStyle name="20% - Accent3 6 2 4 2 2 2 2 2 2" xfId="47808"/>
    <cellStyle name="20% - Accent3 6 2 4 2 2 2 2 3" xfId="38164"/>
    <cellStyle name="20% - Accent3 6 2 4 2 2 2 3" xfId="23244"/>
    <cellStyle name="20% - Accent3 6 2 4 2 2 2 3 2" xfId="42999"/>
    <cellStyle name="20% - Accent3 6 2 4 2 2 2 4" xfId="33355"/>
    <cellStyle name="20% - Accent3 6 2 4 2 2 3" xfId="18337"/>
    <cellStyle name="20% - Accent3 6 2 4 2 2 3 2" xfId="28053"/>
    <cellStyle name="20% - Accent3 6 2 4 2 2 3 2 2" xfId="47807"/>
    <cellStyle name="20% - Accent3 6 2 4 2 2 3 3" xfId="38163"/>
    <cellStyle name="20% - Accent3 6 2 4 2 2 4" xfId="23243"/>
    <cellStyle name="20% - Accent3 6 2 4 2 2 4 2" xfId="42998"/>
    <cellStyle name="20% - Accent3 6 2 4 2 2 5" xfId="33354"/>
    <cellStyle name="20% - Accent3 6 2 4 2 3" xfId="3043"/>
    <cellStyle name="20% - Accent3 6 2 4 2 3 2" xfId="18339"/>
    <cellStyle name="20% - Accent3 6 2 4 2 3 2 2" xfId="28055"/>
    <cellStyle name="20% - Accent3 6 2 4 2 3 2 2 2" xfId="47809"/>
    <cellStyle name="20% - Accent3 6 2 4 2 3 2 3" xfId="38165"/>
    <cellStyle name="20% - Accent3 6 2 4 2 3 3" xfId="23245"/>
    <cellStyle name="20% - Accent3 6 2 4 2 3 3 2" xfId="43000"/>
    <cellStyle name="20% - Accent3 6 2 4 2 3 4" xfId="33356"/>
    <cellStyle name="20% - Accent3 6 2 4 2 4" xfId="18336"/>
    <cellStyle name="20% - Accent3 6 2 4 2 4 2" xfId="28052"/>
    <cellStyle name="20% - Accent3 6 2 4 2 4 2 2" xfId="47806"/>
    <cellStyle name="20% - Accent3 6 2 4 2 4 3" xfId="38162"/>
    <cellStyle name="20% - Accent3 6 2 4 2 5" xfId="23242"/>
    <cellStyle name="20% - Accent3 6 2 4 2 5 2" xfId="42997"/>
    <cellStyle name="20% - Accent3 6 2 4 2 6" xfId="33353"/>
    <cellStyle name="20% - Accent3 6 2 4 3" xfId="3044"/>
    <cellStyle name="20% - Accent3 6 2 4 3 2" xfId="3045"/>
    <cellStyle name="20% - Accent3 6 2 4 3 2 2" xfId="18341"/>
    <cellStyle name="20% - Accent3 6 2 4 3 2 2 2" xfId="28057"/>
    <cellStyle name="20% - Accent3 6 2 4 3 2 2 2 2" xfId="47811"/>
    <cellStyle name="20% - Accent3 6 2 4 3 2 2 3" xfId="38167"/>
    <cellStyle name="20% - Accent3 6 2 4 3 2 3" xfId="23247"/>
    <cellStyle name="20% - Accent3 6 2 4 3 2 3 2" xfId="43002"/>
    <cellStyle name="20% - Accent3 6 2 4 3 2 4" xfId="33358"/>
    <cellStyle name="20% - Accent3 6 2 4 3 3" xfId="18340"/>
    <cellStyle name="20% - Accent3 6 2 4 3 3 2" xfId="28056"/>
    <cellStyle name="20% - Accent3 6 2 4 3 3 2 2" xfId="47810"/>
    <cellStyle name="20% - Accent3 6 2 4 3 3 3" xfId="38166"/>
    <cellStyle name="20% - Accent3 6 2 4 3 4" xfId="23246"/>
    <cellStyle name="20% - Accent3 6 2 4 3 4 2" xfId="43001"/>
    <cellStyle name="20% - Accent3 6 2 4 3 5" xfId="33357"/>
    <cellStyle name="20% - Accent3 6 2 4 4" xfId="3046"/>
    <cellStyle name="20% - Accent3 6 2 4 4 2" xfId="18342"/>
    <cellStyle name="20% - Accent3 6 2 4 4 2 2" xfId="28058"/>
    <cellStyle name="20% - Accent3 6 2 4 4 2 2 2" xfId="47812"/>
    <cellStyle name="20% - Accent3 6 2 4 4 2 3" xfId="38168"/>
    <cellStyle name="20% - Accent3 6 2 4 4 3" xfId="23248"/>
    <cellStyle name="20% - Accent3 6 2 4 4 3 2" xfId="43003"/>
    <cellStyle name="20% - Accent3 6 2 4 4 4" xfId="33359"/>
    <cellStyle name="20% - Accent3 6 2 4 5" xfId="18335"/>
    <cellStyle name="20% - Accent3 6 2 4 5 2" xfId="28051"/>
    <cellStyle name="20% - Accent3 6 2 4 5 2 2" xfId="47805"/>
    <cellStyle name="20% - Accent3 6 2 4 5 3" xfId="38161"/>
    <cellStyle name="20% - Accent3 6 2 4 6" xfId="23241"/>
    <cellStyle name="20% - Accent3 6 2 4 6 2" xfId="42996"/>
    <cellStyle name="20% - Accent3 6 2 4 7" xfId="33352"/>
    <cellStyle name="20% - Accent3 6 2 5" xfId="3047"/>
    <cellStyle name="20% - Accent3 6 2 5 2" xfId="3048"/>
    <cellStyle name="20% - Accent3 6 2 5 2 2" xfId="3049"/>
    <cellStyle name="20% - Accent3 6 2 5 2 2 2" xfId="18345"/>
    <cellStyle name="20% - Accent3 6 2 5 2 2 2 2" xfId="28061"/>
    <cellStyle name="20% - Accent3 6 2 5 2 2 2 2 2" xfId="47815"/>
    <cellStyle name="20% - Accent3 6 2 5 2 2 2 3" xfId="38171"/>
    <cellStyle name="20% - Accent3 6 2 5 2 2 3" xfId="23251"/>
    <cellStyle name="20% - Accent3 6 2 5 2 2 3 2" xfId="43006"/>
    <cellStyle name="20% - Accent3 6 2 5 2 2 4" xfId="33362"/>
    <cellStyle name="20% - Accent3 6 2 5 2 3" xfId="18344"/>
    <cellStyle name="20% - Accent3 6 2 5 2 3 2" xfId="28060"/>
    <cellStyle name="20% - Accent3 6 2 5 2 3 2 2" xfId="47814"/>
    <cellStyle name="20% - Accent3 6 2 5 2 3 3" xfId="38170"/>
    <cellStyle name="20% - Accent3 6 2 5 2 4" xfId="23250"/>
    <cellStyle name="20% - Accent3 6 2 5 2 4 2" xfId="43005"/>
    <cellStyle name="20% - Accent3 6 2 5 2 5" xfId="33361"/>
    <cellStyle name="20% - Accent3 6 2 5 3" xfId="3050"/>
    <cellStyle name="20% - Accent3 6 2 5 3 2" xfId="18346"/>
    <cellStyle name="20% - Accent3 6 2 5 3 2 2" xfId="28062"/>
    <cellStyle name="20% - Accent3 6 2 5 3 2 2 2" xfId="47816"/>
    <cellStyle name="20% - Accent3 6 2 5 3 2 3" xfId="38172"/>
    <cellStyle name="20% - Accent3 6 2 5 3 3" xfId="23252"/>
    <cellStyle name="20% - Accent3 6 2 5 3 3 2" xfId="43007"/>
    <cellStyle name="20% - Accent3 6 2 5 3 4" xfId="33363"/>
    <cellStyle name="20% - Accent3 6 2 5 4" xfId="18343"/>
    <cellStyle name="20% - Accent3 6 2 5 4 2" xfId="28059"/>
    <cellStyle name="20% - Accent3 6 2 5 4 2 2" xfId="47813"/>
    <cellStyle name="20% - Accent3 6 2 5 4 3" xfId="38169"/>
    <cellStyle name="20% - Accent3 6 2 5 5" xfId="23249"/>
    <cellStyle name="20% - Accent3 6 2 5 5 2" xfId="43004"/>
    <cellStyle name="20% - Accent3 6 2 5 6" xfId="33360"/>
    <cellStyle name="20% - Accent3 6 2 6" xfId="3051"/>
    <cellStyle name="20% - Accent3 6 2 6 2" xfId="3052"/>
    <cellStyle name="20% - Accent3 6 2 6 2 2" xfId="18348"/>
    <cellStyle name="20% - Accent3 6 2 6 2 2 2" xfId="28064"/>
    <cellStyle name="20% - Accent3 6 2 6 2 2 2 2" xfId="47818"/>
    <cellStyle name="20% - Accent3 6 2 6 2 2 3" xfId="38174"/>
    <cellStyle name="20% - Accent3 6 2 6 2 3" xfId="23254"/>
    <cellStyle name="20% - Accent3 6 2 6 2 3 2" xfId="43009"/>
    <cellStyle name="20% - Accent3 6 2 6 2 4" xfId="33365"/>
    <cellStyle name="20% - Accent3 6 2 6 3" xfId="18347"/>
    <cellStyle name="20% - Accent3 6 2 6 3 2" xfId="28063"/>
    <cellStyle name="20% - Accent3 6 2 6 3 2 2" xfId="47817"/>
    <cellStyle name="20% - Accent3 6 2 6 3 3" xfId="38173"/>
    <cellStyle name="20% - Accent3 6 2 6 4" xfId="23253"/>
    <cellStyle name="20% - Accent3 6 2 6 4 2" xfId="43008"/>
    <cellStyle name="20% - Accent3 6 2 6 5" xfId="33364"/>
    <cellStyle name="20% - Accent3 6 2 7" xfId="3053"/>
    <cellStyle name="20% - Accent3 6 2 7 2" xfId="18349"/>
    <cellStyle name="20% - Accent3 6 2 7 2 2" xfId="28065"/>
    <cellStyle name="20% - Accent3 6 2 7 2 2 2" xfId="47819"/>
    <cellStyle name="20% - Accent3 6 2 7 2 3" xfId="38175"/>
    <cellStyle name="20% - Accent3 6 2 7 3" xfId="23255"/>
    <cellStyle name="20% - Accent3 6 2 7 3 2" xfId="43010"/>
    <cellStyle name="20% - Accent3 6 2 7 4" xfId="33366"/>
    <cellStyle name="20% - Accent3 6 2 8" xfId="3054"/>
    <cellStyle name="20% - Accent3 6 2 8 2" xfId="18350"/>
    <cellStyle name="20% - Accent3 6 2 8 2 2" xfId="28066"/>
    <cellStyle name="20% - Accent3 6 2 8 2 2 2" xfId="47820"/>
    <cellStyle name="20% - Accent3 6 2 8 2 3" xfId="38176"/>
    <cellStyle name="20% - Accent3 6 2 8 3" xfId="23256"/>
    <cellStyle name="20% - Accent3 6 2 8 3 2" xfId="43011"/>
    <cellStyle name="20% - Accent3 6 2 8 4" xfId="33367"/>
    <cellStyle name="20% - Accent3 6 2 9" xfId="3055"/>
    <cellStyle name="20% - Accent3 6 2 9 2" xfId="18351"/>
    <cellStyle name="20% - Accent3 6 2 9 2 2" xfId="28067"/>
    <cellStyle name="20% - Accent3 6 2 9 2 2 2" xfId="47821"/>
    <cellStyle name="20% - Accent3 6 2 9 2 3" xfId="38177"/>
    <cellStyle name="20% - Accent3 6 2 9 3" xfId="23257"/>
    <cellStyle name="20% - Accent3 6 2 9 3 2" xfId="43012"/>
    <cellStyle name="20% - Accent3 6 2 9 4" xfId="33368"/>
    <cellStyle name="20% - Accent3 6 3" xfId="759"/>
    <cellStyle name="20% - Accent3 6 3 2" xfId="3056"/>
    <cellStyle name="20% - Accent3 6 3 2 2" xfId="3057"/>
    <cellStyle name="20% - Accent3 6 3 2 2 2" xfId="3058"/>
    <cellStyle name="20% - Accent3 6 3 2 2 2 2" xfId="18354"/>
    <cellStyle name="20% - Accent3 6 3 2 2 2 2 2" xfId="28070"/>
    <cellStyle name="20% - Accent3 6 3 2 2 2 2 2 2" xfId="47824"/>
    <cellStyle name="20% - Accent3 6 3 2 2 2 2 3" xfId="38180"/>
    <cellStyle name="20% - Accent3 6 3 2 2 2 3" xfId="23260"/>
    <cellStyle name="20% - Accent3 6 3 2 2 2 3 2" xfId="43015"/>
    <cellStyle name="20% - Accent3 6 3 2 2 2 4" xfId="33371"/>
    <cellStyle name="20% - Accent3 6 3 2 2 3" xfId="18353"/>
    <cellStyle name="20% - Accent3 6 3 2 2 3 2" xfId="28069"/>
    <cellStyle name="20% - Accent3 6 3 2 2 3 2 2" xfId="47823"/>
    <cellStyle name="20% - Accent3 6 3 2 2 3 3" xfId="38179"/>
    <cellStyle name="20% - Accent3 6 3 2 2 4" xfId="23259"/>
    <cellStyle name="20% - Accent3 6 3 2 2 4 2" xfId="43014"/>
    <cellStyle name="20% - Accent3 6 3 2 2 5" xfId="33370"/>
    <cellStyle name="20% - Accent3 6 3 2 3" xfId="3059"/>
    <cellStyle name="20% - Accent3 6 3 2 3 2" xfId="18355"/>
    <cellStyle name="20% - Accent3 6 3 2 3 2 2" xfId="28071"/>
    <cellStyle name="20% - Accent3 6 3 2 3 2 2 2" xfId="47825"/>
    <cellStyle name="20% - Accent3 6 3 2 3 2 3" xfId="38181"/>
    <cellStyle name="20% - Accent3 6 3 2 3 3" xfId="23261"/>
    <cellStyle name="20% - Accent3 6 3 2 3 3 2" xfId="43016"/>
    <cellStyle name="20% - Accent3 6 3 2 3 4" xfId="33372"/>
    <cellStyle name="20% - Accent3 6 3 2 4" xfId="18352"/>
    <cellStyle name="20% - Accent3 6 3 2 4 2" xfId="28068"/>
    <cellStyle name="20% - Accent3 6 3 2 4 2 2" xfId="47822"/>
    <cellStyle name="20% - Accent3 6 3 2 4 3" xfId="38178"/>
    <cellStyle name="20% - Accent3 6 3 2 5" xfId="23258"/>
    <cellStyle name="20% - Accent3 6 3 2 5 2" xfId="43013"/>
    <cellStyle name="20% - Accent3 6 3 2 6" xfId="33369"/>
    <cellStyle name="20% - Accent3 6 3 3" xfId="3060"/>
    <cellStyle name="20% - Accent3 6 3 3 2" xfId="3061"/>
    <cellStyle name="20% - Accent3 6 3 3 2 2" xfId="18357"/>
    <cellStyle name="20% - Accent3 6 3 3 2 2 2" xfId="28073"/>
    <cellStyle name="20% - Accent3 6 3 3 2 2 2 2" xfId="47827"/>
    <cellStyle name="20% - Accent3 6 3 3 2 2 3" xfId="38183"/>
    <cellStyle name="20% - Accent3 6 3 3 2 3" xfId="23263"/>
    <cellStyle name="20% - Accent3 6 3 3 2 3 2" xfId="43018"/>
    <cellStyle name="20% - Accent3 6 3 3 2 4" xfId="33374"/>
    <cellStyle name="20% - Accent3 6 3 3 3" xfId="18356"/>
    <cellStyle name="20% - Accent3 6 3 3 3 2" xfId="28072"/>
    <cellStyle name="20% - Accent3 6 3 3 3 2 2" xfId="47826"/>
    <cellStyle name="20% - Accent3 6 3 3 3 3" xfId="38182"/>
    <cellStyle name="20% - Accent3 6 3 3 4" xfId="23262"/>
    <cellStyle name="20% - Accent3 6 3 3 4 2" xfId="43017"/>
    <cellStyle name="20% - Accent3 6 3 3 5" xfId="33373"/>
    <cellStyle name="20% - Accent3 6 3 4" xfId="3062"/>
    <cellStyle name="20% - Accent3 6 3 4 2" xfId="18358"/>
    <cellStyle name="20% - Accent3 6 3 4 2 2" xfId="28074"/>
    <cellStyle name="20% - Accent3 6 3 4 2 2 2" xfId="47828"/>
    <cellStyle name="20% - Accent3 6 3 4 2 3" xfId="38184"/>
    <cellStyle name="20% - Accent3 6 3 4 3" xfId="23264"/>
    <cellStyle name="20% - Accent3 6 3 4 3 2" xfId="43019"/>
    <cellStyle name="20% - Accent3 6 3 4 4" xfId="33375"/>
    <cellStyle name="20% - Accent3 6 3 5" xfId="15430"/>
    <cellStyle name="20% - Accent3 6 3 5 2" xfId="20302"/>
    <cellStyle name="20% - Accent3 6 3 5 2 2" xfId="30016"/>
    <cellStyle name="20% - Accent3 6 3 5 2 2 2" xfId="49769"/>
    <cellStyle name="20% - Accent3 6 3 5 2 3" xfId="40125"/>
    <cellStyle name="20% - Accent3 6 3 5 3" xfId="25204"/>
    <cellStyle name="20% - Accent3 6 3 5 3 2" xfId="44958"/>
    <cellStyle name="20% - Accent3 6 3 5 4" xfId="35314"/>
    <cellStyle name="20% - Accent3 6 3 6" xfId="16106"/>
    <cellStyle name="20% - Accent3 6 3 6 2" xfId="25822"/>
    <cellStyle name="20% - Accent3 6 3 6 2 2" xfId="45576"/>
    <cellStyle name="20% - Accent3 6 3 6 3" xfId="35932"/>
    <cellStyle name="20% - Accent3 6 3 7" xfId="21012"/>
    <cellStyle name="20% - Accent3 6 3 7 2" xfId="40767"/>
    <cellStyle name="20% - Accent3 6 3 8" xfId="30446"/>
    <cellStyle name="20% - Accent3 6 3 8 2" xfId="50194"/>
    <cellStyle name="20% - Accent3 6 3 9" xfId="31123"/>
    <cellStyle name="20% - Accent3 6 4" xfId="760"/>
    <cellStyle name="20% - Accent3 6 4 2" xfId="3063"/>
    <cellStyle name="20% - Accent3 6 4 2 2" xfId="3064"/>
    <cellStyle name="20% - Accent3 6 4 2 2 2" xfId="3065"/>
    <cellStyle name="20% - Accent3 6 4 2 2 2 2" xfId="18361"/>
    <cellStyle name="20% - Accent3 6 4 2 2 2 2 2" xfId="28077"/>
    <cellStyle name="20% - Accent3 6 4 2 2 2 2 2 2" xfId="47831"/>
    <cellStyle name="20% - Accent3 6 4 2 2 2 2 3" xfId="38187"/>
    <cellStyle name="20% - Accent3 6 4 2 2 2 3" xfId="23267"/>
    <cellStyle name="20% - Accent3 6 4 2 2 2 3 2" xfId="43022"/>
    <cellStyle name="20% - Accent3 6 4 2 2 2 4" xfId="33378"/>
    <cellStyle name="20% - Accent3 6 4 2 2 3" xfId="18360"/>
    <cellStyle name="20% - Accent3 6 4 2 2 3 2" xfId="28076"/>
    <cellStyle name="20% - Accent3 6 4 2 2 3 2 2" xfId="47830"/>
    <cellStyle name="20% - Accent3 6 4 2 2 3 3" xfId="38186"/>
    <cellStyle name="20% - Accent3 6 4 2 2 4" xfId="23266"/>
    <cellStyle name="20% - Accent3 6 4 2 2 4 2" xfId="43021"/>
    <cellStyle name="20% - Accent3 6 4 2 2 5" xfId="33377"/>
    <cellStyle name="20% - Accent3 6 4 2 3" xfId="3066"/>
    <cellStyle name="20% - Accent3 6 4 2 3 2" xfId="18362"/>
    <cellStyle name="20% - Accent3 6 4 2 3 2 2" xfId="28078"/>
    <cellStyle name="20% - Accent3 6 4 2 3 2 2 2" xfId="47832"/>
    <cellStyle name="20% - Accent3 6 4 2 3 2 3" xfId="38188"/>
    <cellStyle name="20% - Accent3 6 4 2 3 3" xfId="23268"/>
    <cellStyle name="20% - Accent3 6 4 2 3 3 2" xfId="43023"/>
    <cellStyle name="20% - Accent3 6 4 2 3 4" xfId="33379"/>
    <cellStyle name="20% - Accent3 6 4 2 4" xfId="18359"/>
    <cellStyle name="20% - Accent3 6 4 2 4 2" xfId="28075"/>
    <cellStyle name="20% - Accent3 6 4 2 4 2 2" xfId="47829"/>
    <cellStyle name="20% - Accent3 6 4 2 4 3" xfId="38185"/>
    <cellStyle name="20% - Accent3 6 4 2 5" xfId="23265"/>
    <cellStyle name="20% - Accent3 6 4 2 5 2" xfId="43020"/>
    <cellStyle name="20% - Accent3 6 4 2 6" xfId="33376"/>
    <cellStyle name="20% - Accent3 6 4 3" xfId="3067"/>
    <cellStyle name="20% - Accent3 6 4 3 2" xfId="3068"/>
    <cellStyle name="20% - Accent3 6 4 3 2 2" xfId="18364"/>
    <cellStyle name="20% - Accent3 6 4 3 2 2 2" xfId="28080"/>
    <cellStyle name="20% - Accent3 6 4 3 2 2 2 2" xfId="47834"/>
    <cellStyle name="20% - Accent3 6 4 3 2 2 3" xfId="38190"/>
    <cellStyle name="20% - Accent3 6 4 3 2 3" xfId="23270"/>
    <cellStyle name="20% - Accent3 6 4 3 2 3 2" xfId="43025"/>
    <cellStyle name="20% - Accent3 6 4 3 2 4" xfId="33381"/>
    <cellStyle name="20% - Accent3 6 4 3 3" xfId="18363"/>
    <cellStyle name="20% - Accent3 6 4 3 3 2" xfId="28079"/>
    <cellStyle name="20% - Accent3 6 4 3 3 2 2" xfId="47833"/>
    <cellStyle name="20% - Accent3 6 4 3 3 3" xfId="38189"/>
    <cellStyle name="20% - Accent3 6 4 3 4" xfId="23269"/>
    <cellStyle name="20% - Accent3 6 4 3 4 2" xfId="43024"/>
    <cellStyle name="20% - Accent3 6 4 3 5" xfId="33380"/>
    <cellStyle name="20% - Accent3 6 4 4" xfId="3069"/>
    <cellStyle name="20% - Accent3 6 4 4 2" xfId="18365"/>
    <cellStyle name="20% - Accent3 6 4 4 2 2" xfId="28081"/>
    <cellStyle name="20% - Accent3 6 4 4 2 2 2" xfId="47835"/>
    <cellStyle name="20% - Accent3 6 4 4 2 3" xfId="38191"/>
    <cellStyle name="20% - Accent3 6 4 4 3" xfId="23271"/>
    <cellStyle name="20% - Accent3 6 4 4 3 2" xfId="43026"/>
    <cellStyle name="20% - Accent3 6 4 4 4" xfId="33382"/>
    <cellStyle name="20% - Accent3 6 4 5" xfId="16107"/>
    <cellStyle name="20% - Accent3 6 4 5 2" xfId="25823"/>
    <cellStyle name="20% - Accent3 6 4 5 2 2" xfId="45577"/>
    <cellStyle name="20% - Accent3 6 4 5 3" xfId="35933"/>
    <cellStyle name="20% - Accent3 6 4 6" xfId="21013"/>
    <cellStyle name="20% - Accent3 6 4 6 2" xfId="40768"/>
    <cellStyle name="20% - Accent3 6 4 7" xfId="31124"/>
    <cellStyle name="20% - Accent3 6 5" xfId="3070"/>
    <cellStyle name="20% - Accent3 6 5 2" xfId="3071"/>
    <cellStyle name="20% - Accent3 6 5 2 2" xfId="3072"/>
    <cellStyle name="20% - Accent3 6 5 2 2 2" xfId="3073"/>
    <cellStyle name="20% - Accent3 6 5 2 2 2 2" xfId="18369"/>
    <cellStyle name="20% - Accent3 6 5 2 2 2 2 2" xfId="28085"/>
    <cellStyle name="20% - Accent3 6 5 2 2 2 2 2 2" xfId="47839"/>
    <cellStyle name="20% - Accent3 6 5 2 2 2 2 3" xfId="38195"/>
    <cellStyle name="20% - Accent3 6 5 2 2 2 3" xfId="23275"/>
    <cellStyle name="20% - Accent3 6 5 2 2 2 3 2" xfId="43030"/>
    <cellStyle name="20% - Accent3 6 5 2 2 2 4" xfId="33386"/>
    <cellStyle name="20% - Accent3 6 5 2 2 3" xfId="18368"/>
    <cellStyle name="20% - Accent3 6 5 2 2 3 2" xfId="28084"/>
    <cellStyle name="20% - Accent3 6 5 2 2 3 2 2" xfId="47838"/>
    <cellStyle name="20% - Accent3 6 5 2 2 3 3" xfId="38194"/>
    <cellStyle name="20% - Accent3 6 5 2 2 4" xfId="23274"/>
    <cellStyle name="20% - Accent3 6 5 2 2 4 2" xfId="43029"/>
    <cellStyle name="20% - Accent3 6 5 2 2 5" xfId="33385"/>
    <cellStyle name="20% - Accent3 6 5 2 3" xfId="3074"/>
    <cellStyle name="20% - Accent3 6 5 2 3 2" xfId="18370"/>
    <cellStyle name="20% - Accent3 6 5 2 3 2 2" xfId="28086"/>
    <cellStyle name="20% - Accent3 6 5 2 3 2 2 2" xfId="47840"/>
    <cellStyle name="20% - Accent3 6 5 2 3 2 3" xfId="38196"/>
    <cellStyle name="20% - Accent3 6 5 2 3 3" xfId="23276"/>
    <cellStyle name="20% - Accent3 6 5 2 3 3 2" xfId="43031"/>
    <cellStyle name="20% - Accent3 6 5 2 3 4" xfId="33387"/>
    <cellStyle name="20% - Accent3 6 5 2 4" xfId="18367"/>
    <cellStyle name="20% - Accent3 6 5 2 4 2" xfId="28083"/>
    <cellStyle name="20% - Accent3 6 5 2 4 2 2" xfId="47837"/>
    <cellStyle name="20% - Accent3 6 5 2 4 3" xfId="38193"/>
    <cellStyle name="20% - Accent3 6 5 2 5" xfId="23273"/>
    <cellStyle name="20% - Accent3 6 5 2 5 2" xfId="43028"/>
    <cellStyle name="20% - Accent3 6 5 2 6" xfId="33384"/>
    <cellStyle name="20% - Accent3 6 5 3" xfId="3075"/>
    <cellStyle name="20% - Accent3 6 5 3 2" xfId="3076"/>
    <cellStyle name="20% - Accent3 6 5 3 2 2" xfId="18372"/>
    <cellStyle name="20% - Accent3 6 5 3 2 2 2" xfId="28088"/>
    <cellStyle name="20% - Accent3 6 5 3 2 2 2 2" xfId="47842"/>
    <cellStyle name="20% - Accent3 6 5 3 2 2 3" xfId="38198"/>
    <cellStyle name="20% - Accent3 6 5 3 2 3" xfId="23278"/>
    <cellStyle name="20% - Accent3 6 5 3 2 3 2" xfId="43033"/>
    <cellStyle name="20% - Accent3 6 5 3 2 4" xfId="33389"/>
    <cellStyle name="20% - Accent3 6 5 3 3" xfId="18371"/>
    <cellStyle name="20% - Accent3 6 5 3 3 2" xfId="28087"/>
    <cellStyle name="20% - Accent3 6 5 3 3 2 2" xfId="47841"/>
    <cellStyle name="20% - Accent3 6 5 3 3 3" xfId="38197"/>
    <cellStyle name="20% - Accent3 6 5 3 4" xfId="23277"/>
    <cellStyle name="20% - Accent3 6 5 3 4 2" xfId="43032"/>
    <cellStyle name="20% - Accent3 6 5 3 5" xfId="33388"/>
    <cellStyle name="20% - Accent3 6 5 4" xfId="3077"/>
    <cellStyle name="20% - Accent3 6 5 4 2" xfId="18373"/>
    <cellStyle name="20% - Accent3 6 5 4 2 2" xfId="28089"/>
    <cellStyle name="20% - Accent3 6 5 4 2 2 2" xfId="47843"/>
    <cellStyle name="20% - Accent3 6 5 4 2 3" xfId="38199"/>
    <cellStyle name="20% - Accent3 6 5 4 3" xfId="23279"/>
    <cellStyle name="20% - Accent3 6 5 4 3 2" xfId="43034"/>
    <cellStyle name="20% - Accent3 6 5 4 4" xfId="33390"/>
    <cellStyle name="20% - Accent3 6 5 5" xfId="18366"/>
    <cellStyle name="20% - Accent3 6 5 5 2" xfId="28082"/>
    <cellStyle name="20% - Accent3 6 5 5 2 2" xfId="47836"/>
    <cellStyle name="20% - Accent3 6 5 5 3" xfId="38192"/>
    <cellStyle name="20% - Accent3 6 5 6" xfId="23272"/>
    <cellStyle name="20% - Accent3 6 5 6 2" xfId="43027"/>
    <cellStyle name="20% - Accent3 6 5 7" xfId="33383"/>
    <cellStyle name="20% - Accent3 6 6" xfId="3078"/>
    <cellStyle name="20% - Accent3 6 6 2" xfId="3079"/>
    <cellStyle name="20% - Accent3 6 6 2 2" xfId="3080"/>
    <cellStyle name="20% - Accent3 6 6 2 2 2" xfId="18376"/>
    <cellStyle name="20% - Accent3 6 6 2 2 2 2" xfId="28092"/>
    <cellStyle name="20% - Accent3 6 6 2 2 2 2 2" xfId="47846"/>
    <cellStyle name="20% - Accent3 6 6 2 2 2 3" xfId="38202"/>
    <cellStyle name="20% - Accent3 6 6 2 2 3" xfId="23282"/>
    <cellStyle name="20% - Accent3 6 6 2 2 3 2" xfId="43037"/>
    <cellStyle name="20% - Accent3 6 6 2 2 4" xfId="33393"/>
    <cellStyle name="20% - Accent3 6 6 2 3" xfId="18375"/>
    <cellStyle name="20% - Accent3 6 6 2 3 2" xfId="28091"/>
    <cellStyle name="20% - Accent3 6 6 2 3 2 2" xfId="47845"/>
    <cellStyle name="20% - Accent3 6 6 2 3 3" xfId="38201"/>
    <cellStyle name="20% - Accent3 6 6 2 4" xfId="23281"/>
    <cellStyle name="20% - Accent3 6 6 2 4 2" xfId="43036"/>
    <cellStyle name="20% - Accent3 6 6 2 5" xfId="33392"/>
    <cellStyle name="20% - Accent3 6 6 3" xfId="3081"/>
    <cellStyle name="20% - Accent3 6 6 3 2" xfId="18377"/>
    <cellStyle name="20% - Accent3 6 6 3 2 2" xfId="28093"/>
    <cellStyle name="20% - Accent3 6 6 3 2 2 2" xfId="47847"/>
    <cellStyle name="20% - Accent3 6 6 3 2 3" xfId="38203"/>
    <cellStyle name="20% - Accent3 6 6 3 3" xfId="23283"/>
    <cellStyle name="20% - Accent3 6 6 3 3 2" xfId="43038"/>
    <cellStyle name="20% - Accent3 6 6 3 4" xfId="33394"/>
    <cellStyle name="20% - Accent3 6 6 4" xfId="18374"/>
    <cellStyle name="20% - Accent3 6 6 4 2" xfId="28090"/>
    <cellStyle name="20% - Accent3 6 6 4 2 2" xfId="47844"/>
    <cellStyle name="20% - Accent3 6 6 4 3" xfId="38200"/>
    <cellStyle name="20% - Accent3 6 6 5" xfId="23280"/>
    <cellStyle name="20% - Accent3 6 6 5 2" xfId="43035"/>
    <cellStyle name="20% - Accent3 6 6 6" xfId="33391"/>
    <cellStyle name="20% - Accent3 6 7" xfId="3082"/>
    <cellStyle name="20% - Accent3 6 7 2" xfId="3083"/>
    <cellStyle name="20% - Accent3 6 7 2 2" xfId="18379"/>
    <cellStyle name="20% - Accent3 6 7 2 2 2" xfId="28095"/>
    <cellStyle name="20% - Accent3 6 7 2 2 2 2" xfId="47849"/>
    <cellStyle name="20% - Accent3 6 7 2 2 3" xfId="38205"/>
    <cellStyle name="20% - Accent3 6 7 2 3" xfId="23285"/>
    <cellStyle name="20% - Accent3 6 7 2 3 2" xfId="43040"/>
    <cellStyle name="20% - Accent3 6 7 2 4" xfId="33396"/>
    <cellStyle name="20% - Accent3 6 7 3" xfId="18378"/>
    <cellStyle name="20% - Accent3 6 7 3 2" xfId="28094"/>
    <cellStyle name="20% - Accent3 6 7 3 2 2" xfId="47848"/>
    <cellStyle name="20% - Accent3 6 7 3 3" xfId="38204"/>
    <cellStyle name="20% - Accent3 6 7 4" xfId="23284"/>
    <cellStyle name="20% - Accent3 6 7 4 2" xfId="43039"/>
    <cellStyle name="20% - Accent3 6 7 5" xfId="33395"/>
    <cellStyle name="20% - Accent3 6 8" xfId="3084"/>
    <cellStyle name="20% - Accent3 6 8 2" xfId="3085"/>
    <cellStyle name="20% - Accent3 6 8 2 2" xfId="18381"/>
    <cellStyle name="20% - Accent3 6 8 2 2 2" xfId="28097"/>
    <cellStyle name="20% - Accent3 6 8 2 2 2 2" xfId="47851"/>
    <cellStyle name="20% - Accent3 6 8 2 2 3" xfId="38207"/>
    <cellStyle name="20% - Accent3 6 8 2 3" xfId="23287"/>
    <cellStyle name="20% - Accent3 6 8 2 3 2" xfId="43042"/>
    <cellStyle name="20% - Accent3 6 8 2 4" xfId="33398"/>
    <cellStyle name="20% - Accent3 6 8 3" xfId="18380"/>
    <cellStyle name="20% - Accent3 6 8 3 2" xfId="28096"/>
    <cellStyle name="20% - Accent3 6 8 3 2 2" xfId="47850"/>
    <cellStyle name="20% - Accent3 6 8 3 3" xfId="38206"/>
    <cellStyle name="20% - Accent3 6 8 4" xfId="23286"/>
    <cellStyle name="20% - Accent3 6 8 4 2" xfId="43041"/>
    <cellStyle name="20% - Accent3 6 8 5" xfId="33397"/>
    <cellStyle name="20% - Accent3 6 9" xfId="3086"/>
    <cellStyle name="20% - Accent3 6 9 2" xfId="18382"/>
    <cellStyle name="20% - Accent3 6 9 2 2" xfId="28098"/>
    <cellStyle name="20% - Accent3 6 9 2 2 2" xfId="47852"/>
    <cellStyle name="20% - Accent3 6 9 2 3" xfId="38208"/>
    <cellStyle name="20% - Accent3 6 9 3" xfId="23288"/>
    <cellStyle name="20% - Accent3 6 9 3 2" xfId="43043"/>
    <cellStyle name="20% - Accent3 6 9 4" xfId="33399"/>
    <cellStyle name="20% - Accent3 7" xfId="56"/>
    <cellStyle name="20% - Accent3 7 10" xfId="30840"/>
    <cellStyle name="20% - Accent3 7 2" xfId="57"/>
    <cellStyle name="20% - Accent3 7 2 2" xfId="761"/>
    <cellStyle name="20% - Accent3 7 2 2 2" xfId="3087"/>
    <cellStyle name="20% - Accent3 7 2 2 2 2" xfId="3088"/>
    <cellStyle name="20% - Accent3 7 2 2 2 2 2" xfId="18384"/>
    <cellStyle name="20% - Accent3 7 2 2 2 2 2 2" xfId="28100"/>
    <cellStyle name="20% - Accent3 7 2 2 2 2 2 2 2" xfId="47854"/>
    <cellStyle name="20% - Accent3 7 2 2 2 2 2 3" xfId="38210"/>
    <cellStyle name="20% - Accent3 7 2 2 2 2 3" xfId="23290"/>
    <cellStyle name="20% - Accent3 7 2 2 2 2 3 2" xfId="43045"/>
    <cellStyle name="20% - Accent3 7 2 2 2 2 4" xfId="33401"/>
    <cellStyle name="20% - Accent3 7 2 2 2 3" xfId="18383"/>
    <cellStyle name="20% - Accent3 7 2 2 2 3 2" xfId="28099"/>
    <cellStyle name="20% - Accent3 7 2 2 2 3 2 2" xfId="47853"/>
    <cellStyle name="20% - Accent3 7 2 2 2 3 3" xfId="38209"/>
    <cellStyle name="20% - Accent3 7 2 2 2 4" xfId="23289"/>
    <cellStyle name="20% - Accent3 7 2 2 2 4 2" xfId="43044"/>
    <cellStyle name="20% - Accent3 7 2 2 2 5" xfId="33400"/>
    <cellStyle name="20% - Accent3 7 2 2 3" xfId="3089"/>
    <cellStyle name="20% - Accent3 7 2 2 3 2" xfId="18385"/>
    <cellStyle name="20% - Accent3 7 2 2 3 2 2" xfId="28101"/>
    <cellStyle name="20% - Accent3 7 2 2 3 2 2 2" xfId="47855"/>
    <cellStyle name="20% - Accent3 7 2 2 3 2 3" xfId="38211"/>
    <cellStyle name="20% - Accent3 7 2 2 3 3" xfId="23291"/>
    <cellStyle name="20% - Accent3 7 2 2 3 3 2" xfId="43046"/>
    <cellStyle name="20% - Accent3 7 2 2 3 4" xfId="33402"/>
    <cellStyle name="20% - Accent3 7 2 2 4" xfId="15433"/>
    <cellStyle name="20% - Accent3 7 2 2 4 2" xfId="20305"/>
    <cellStyle name="20% - Accent3 7 2 2 4 2 2" xfId="30019"/>
    <cellStyle name="20% - Accent3 7 2 2 4 2 2 2" xfId="49772"/>
    <cellStyle name="20% - Accent3 7 2 2 4 2 3" xfId="40128"/>
    <cellStyle name="20% - Accent3 7 2 2 4 3" xfId="25207"/>
    <cellStyle name="20% - Accent3 7 2 2 4 3 2" xfId="44961"/>
    <cellStyle name="20% - Accent3 7 2 2 4 4" xfId="35317"/>
    <cellStyle name="20% - Accent3 7 2 2 5" xfId="16108"/>
    <cellStyle name="20% - Accent3 7 2 2 5 2" xfId="25824"/>
    <cellStyle name="20% - Accent3 7 2 2 5 2 2" xfId="45578"/>
    <cellStyle name="20% - Accent3 7 2 2 5 3" xfId="35934"/>
    <cellStyle name="20% - Accent3 7 2 2 6" xfId="21014"/>
    <cellStyle name="20% - Accent3 7 2 2 6 2" xfId="40769"/>
    <cellStyle name="20% - Accent3 7 2 2 7" xfId="30449"/>
    <cellStyle name="20% - Accent3 7 2 2 7 2" xfId="50197"/>
    <cellStyle name="20% - Accent3 7 2 2 8" xfId="31125"/>
    <cellStyle name="20% - Accent3 7 2 3" xfId="762"/>
    <cellStyle name="20% - Accent3 7 2 3 2" xfId="3090"/>
    <cellStyle name="20% - Accent3 7 2 3 2 2" xfId="18386"/>
    <cellStyle name="20% - Accent3 7 2 3 2 2 2" xfId="28102"/>
    <cellStyle name="20% - Accent3 7 2 3 2 2 2 2" xfId="47856"/>
    <cellStyle name="20% - Accent3 7 2 3 2 2 3" xfId="38212"/>
    <cellStyle name="20% - Accent3 7 2 3 2 3" xfId="23292"/>
    <cellStyle name="20% - Accent3 7 2 3 2 3 2" xfId="43047"/>
    <cellStyle name="20% - Accent3 7 2 3 2 4" xfId="33403"/>
    <cellStyle name="20% - Accent3 7 2 3 3" xfId="16109"/>
    <cellStyle name="20% - Accent3 7 2 3 3 2" xfId="25825"/>
    <cellStyle name="20% - Accent3 7 2 3 3 2 2" xfId="45579"/>
    <cellStyle name="20% - Accent3 7 2 3 3 3" xfId="35935"/>
    <cellStyle name="20% - Accent3 7 2 3 4" xfId="21015"/>
    <cellStyle name="20% - Accent3 7 2 3 4 2" xfId="40770"/>
    <cellStyle name="20% - Accent3 7 2 3 5" xfId="31126"/>
    <cellStyle name="20% - Accent3 7 2 4" xfId="3091"/>
    <cellStyle name="20% - Accent3 7 2 4 2" xfId="18387"/>
    <cellStyle name="20% - Accent3 7 2 4 2 2" xfId="28103"/>
    <cellStyle name="20% - Accent3 7 2 4 2 2 2" xfId="47857"/>
    <cellStyle name="20% - Accent3 7 2 4 2 3" xfId="38213"/>
    <cellStyle name="20% - Accent3 7 2 4 3" xfId="23293"/>
    <cellStyle name="20% - Accent3 7 2 4 3 2" xfId="43048"/>
    <cellStyle name="20% - Accent3 7 2 4 4" xfId="33404"/>
    <cellStyle name="20% - Accent3 7 2 5" xfId="15432"/>
    <cellStyle name="20% - Accent3 7 2 5 2" xfId="20304"/>
    <cellStyle name="20% - Accent3 7 2 5 2 2" xfId="30018"/>
    <cellStyle name="20% - Accent3 7 2 5 2 2 2" xfId="49771"/>
    <cellStyle name="20% - Accent3 7 2 5 2 3" xfId="40127"/>
    <cellStyle name="20% - Accent3 7 2 5 3" xfId="25206"/>
    <cellStyle name="20% - Accent3 7 2 5 3 2" xfId="44960"/>
    <cellStyle name="20% - Accent3 7 2 5 4" xfId="35316"/>
    <cellStyle name="20% - Accent3 7 2 6" xfId="15856"/>
    <cellStyle name="20% - Accent3 7 2 6 2" xfId="25572"/>
    <cellStyle name="20% - Accent3 7 2 6 2 2" xfId="45326"/>
    <cellStyle name="20% - Accent3 7 2 6 3" xfId="35682"/>
    <cellStyle name="20% - Accent3 7 2 7" xfId="20730"/>
    <cellStyle name="20% - Accent3 7 2 7 2" xfId="40510"/>
    <cellStyle name="20% - Accent3 7 2 8" xfId="30448"/>
    <cellStyle name="20% - Accent3 7 2 8 2" xfId="50196"/>
    <cellStyle name="20% - Accent3 7 2 9" xfId="30841"/>
    <cellStyle name="20% - Accent3 7 3" xfId="763"/>
    <cellStyle name="20% - Accent3 7 3 2" xfId="3092"/>
    <cellStyle name="20% - Accent3 7 3 2 2" xfId="3093"/>
    <cellStyle name="20% - Accent3 7 3 2 2 2" xfId="18389"/>
    <cellStyle name="20% - Accent3 7 3 2 2 2 2" xfId="28105"/>
    <cellStyle name="20% - Accent3 7 3 2 2 2 2 2" xfId="47859"/>
    <cellStyle name="20% - Accent3 7 3 2 2 2 3" xfId="38215"/>
    <cellStyle name="20% - Accent3 7 3 2 2 3" xfId="23295"/>
    <cellStyle name="20% - Accent3 7 3 2 2 3 2" xfId="43050"/>
    <cellStyle name="20% - Accent3 7 3 2 2 4" xfId="33406"/>
    <cellStyle name="20% - Accent3 7 3 2 3" xfId="18388"/>
    <cellStyle name="20% - Accent3 7 3 2 3 2" xfId="28104"/>
    <cellStyle name="20% - Accent3 7 3 2 3 2 2" xfId="47858"/>
    <cellStyle name="20% - Accent3 7 3 2 3 3" xfId="38214"/>
    <cellStyle name="20% - Accent3 7 3 2 4" xfId="23294"/>
    <cellStyle name="20% - Accent3 7 3 2 4 2" xfId="43049"/>
    <cellStyle name="20% - Accent3 7 3 2 5" xfId="33405"/>
    <cellStyle name="20% - Accent3 7 3 3" xfId="3094"/>
    <cellStyle name="20% - Accent3 7 3 3 2" xfId="18390"/>
    <cellStyle name="20% - Accent3 7 3 3 2 2" xfId="28106"/>
    <cellStyle name="20% - Accent3 7 3 3 2 2 2" xfId="47860"/>
    <cellStyle name="20% - Accent3 7 3 3 2 3" xfId="38216"/>
    <cellStyle name="20% - Accent3 7 3 3 3" xfId="23296"/>
    <cellStyle name="20% - Accent3 7 3 3 3 2" xfId="43051"/>
    <cellStyle name="20% - Accent3 7 3 3 4" xfId="33407"/>
    <cellStyle name="20% - Accent3 7 3 4" xfId="15434"/>
    <cellStyle name="20% - Accent3 7 3 4 2" xfId="20306"/>
    <cellStyle name="20% - Accent3 7 3 4 2 2" xfId="30020"/>
    <cellStyle name="20% - Accent3 7 3 4 2 2 2" xfId="49773"/>
    <cellStyle name="20% - Accent3 7 3 4 2 3" xfId="40129"/>
    <cellStyle name="20% - Accent3 7 3 4 3" xfId="25208"/>
    <cellStyle name="20% - Accent3 7 3 4 3 2" xfId="44962"/>
    <cellStyle name="20% - Accent3 7 3 4 4" xfId="35318"/>
    <cellStyle name="20% - Accent3 7 3 5" xfId="16110"/>
    <cellStyle name="20% - Accent3 7 3 5 2" xfId="25826"/>
    <cellStyle name="20% - Accent3 7 3 5 2 2" xfId="45580"/>
    <cellStyle name="20% - Accent3 7 3 5 3" xfId="35936"/>
    <cellStyle name="20% - Accent3 7 3 6" xfId="21016"/>
    <cellStyle name="20% - Accent3 7 3 6 2" xfId="40771"/>
    <cellStyle name="20% - Accent3 7 3 7" xfId="30450"/>
    <cellStyle name="20% - Accent3 7 3 7 2" xfId="50198"/>
    <cellStyle name="20% - Accent3 7 3 8" xfId="31127"/>
    <cellStyle name="20% - Accent3 7 4" xfId="764"/>
    <cellStyle name="20% - Accent3 7 4 2" xfId="3095"/>
    <cellStyle name="20% - Accent3 7 4 2 2" xfId="18391"/>
    <cellStyle name="20% - Accent3 7 4 2 2 2" xfId="28107"/>
    <cellStyle name="20% - Accent3 7 4 2 2 2 2" xfId="47861"/>
    <cellStyle name="20% - Accent3 7 4 2 2 3" xfId="38217"/>
    <cellStyle name="20% - Accent3 7 4 2 3" xfId="23297"/>
    <cellStyle name="20% - Accent3 7 4 2 3 2" xfId="43052"/>
    <cellStyle name="20% - Accent3 7 4 2 4" xfId="33408"/>
    <cellStyle name="20% - Accent3 7 4 3" xfId="16111"/>
    <cellStyle name="20% - Accent3 7 4 3 2" xfId="25827"/>
    <cellStyle name="20% - Accent3 7 4 3 2 2" xfId="45581"/>
    <cellStyle name="20% - Accent3 7 4 3 3" xfId="35937"/>
    <cellStyle name="20% - Accent3 7 4 4" xfId="21017"/>
    <cellStyle name="20% - Accent3 7 4 4 2" xfId="40772"/>
    <cellStyle name="20% - Accent3 7 4 5" xfId="31128"/>
    <cellStyle name="20% - Accent3 7 5" xfId="3096"/>
    <cellStyle name="20% - Accent3 7 5 2" xfId="18392"/>
    <cellStyle name="20% - Accent3 7 5 2 2" xfId="28108"/>
    <cellStyle name="20% - Accent3 7 5 2 2 2" xfId="47862"/>
    <cellStyle name="20% - Accent3 7 5 2 3" xfId="38218"/>
    <cellStyle name="20% - Accent3 7 5 3" xfId="23298"/>
    <cellStyle name="20% - Accent3 7 5 3 2" xfId="43053"/>
    <cellStyle name="20% - Accent3 7 5 4" xfId="33409"/>
    <cellStyle name="20% - Accent3 7 6" xfId="15431"/>
    <cellStyle name="20% - Accent3 7 6 2" xfId="20303"/>
    <cellStyle name="20% - Accent3 7 6 2 2" xfId="30017"/>
    <cellStyle name="20% - Accent3 7 6 2 2 2" xfId="49770"/>
    <cellStyle name="20% - Accent3 7 6 2 3" xfId="40126"/>
    <cellStyle name="20% - Accent3 7 6 3" xfId="25205"/>
    <cellStyle name="20% - Accent3 7 6 3 2" xfId="44959"/>
    <cellStyle name="20% - Accent3 7 6 4" xfId="35315"/>
    <cellStyle name="20% - Accent3 7 7" xfId="15855"/>
    <cellStyle name="20% - Accent3 7 7 2" xfId="25571"/>
    <cellStyle name="20% - Accent3 7 7 2 2" xfId="45325"/>
    <cellStyle name="20% - Accent3 7 7 3" xfId="35681"/>
    <cellStyle name="20% - Accent3 7 8" xfId="20729"/>
    <cellStyle name="20% - Accent3 7 8 2" xfId="40509"/>
    <cellStyle name="20% - Accent3 7 9" xfId="30447"/>
    <cellStyle name="20% - Accent3 7 9 2" xfId="50195"/>
    <cellStyle name="20% - Accent3 8" xfId="58"/>
    <cellStyle name="20% - Accent3 8 10" xfId="30842"/>
    <cellStyle name="20% - Accent3 8 2" xfId="59"/>
    <cellStyle name="20% - Accent3 8 2 2" xfId="765"/>
    <cellStyle name="20% - Accent3 8 2 2 2" xfId="3097"/>
    <cellStyle name="20% - Accent3 8 2 2 2 2" xfId="3098"/>
    <cellStyle name="20% - Accent3 8 2 2 2 2 2" xfId="18394"/>
    <cellStyle name="20% - Accent3 8 2 2 2 2 2 2" xfId="28110"/>
    <cellStyle name="20% - Accent3 8 2 2 2 2 2 2 2" xfId="47864"/>
    <cellStyle name="20% - Accent3 8 2 2 2 2 2 3" xfId="38220"/>
    <cellStyle name="20% - Accent3 8 2 2 2 2 3" xfId="23300"/>
    <cellStyle name="20% - Accent3 8 2 2 2 2 3 2" xfId="43055"/>
    <cellStyle name="20% - Accent3 8 2 2 2 2 4" xfId="33411"/>
    <cellStyle name="20% - Accent3 8 2 2 2 3" xfId="18393"/>
    <cellStyle name="20% - Accent3 8 2 2 2 3 2" xfId="28109"/>
    <cellStyle name="20% - Accent3 8 2 2 2 3 2 2" xfId="47863"/>
    <cellStyle name="20% - Accent3 8 2 2 2 3 3" xfId="38219"/>
    <cellStyle name="20% - Accent3 8 2 2 2 4" xfId="23299"/>
    <cellStyle name="20% - Accent3 8 2 2 2 4 2" xfId="43054"/>
    <cellStyle name="20% - Accent3 8 2 2 2 5" xfId="33410"/>
    <cellStyle name="20% - Accent3 8 2 2 3" xfId="3099"/>
    <cellStyle name="20% - Accent3 8 2 2 3 2" xfId="18395"/>
    <cellStyle name="20% - Accent3 8 2 2 3 2 2" xfId="28111"/>
    <cellStyle name="20% - Accent3 8 2 2 3 2 2 2" xfId="47865"/>
    <cellStyle name="20% - Accent3 8 2 2 3 2 3" xfId="38221"/>
    <cellStyle name="20% - Accent3 8 2 2 3 3" xfId="23301"/>
    <cellStyle name="20% - Accent3 8 2 2 3 3 2" xfId="43056"/>
    <cellStyle name="20% - Accent3 8 2 2 3 4" xfId="33412"/>
    <cellStyle name="20% - Accent3 8 2 2 4" xfId="15437"/>
    <cellStyle name="20% - Accent3 8 2 2 4 2" xfId="20309"/>
    <cellStyle name="20% - Accent3 8 2 2 4 2 2" xfId="30023"/>
    <cellStyle name="20% - Accent3 8 2 2 4 2 2 2" xfId="49776"/>
    <cellStyle name="20% - Accent3 8 2 2 4 2 3" xfId="40132"/>
    <cellStyle name="20% - Accent3 8 2 2 4 3" xfId="25211"/>
    <cellStyle name="20% - Accent3 8 2 2 4 3 2" xfId="44965"/>
    <cellStyle name="20% - Accent3 8 2 2 4 4" xfId="35321"/>
    <cellStyle name="20% - Accent3 8 2 2 5" xfId="16112"/>
    <cellStyle name="20% - Accent3 8 2 2 5 2" xfId="25828"/>
    <cellStyle name="20% - Accent3 8 2 2 5 2 2" xfId="45582"/>
    <cellStyle name="20% - Accent3 8 2 2 5 3" xfId="35938"/>
    <cellStyle name="20% - Accent3 8 2 2 6" xfId="21018"/>
    <cellStyle name="20% - Accent3 8 2 2 6 2" xfId="40773"/>
    <cellStyle name="20% - Accent3 8 2 2 7" xfId="30453"/>
    <cellStyle name="20% - Accent3 8 2 2 7 2" xfId="50201"/>
    <cellStyle name="20% - Accent3 8 2 2 8" xfId="31129"/>
    <cellStyle name="20% - Accent3 8 2 3" xfId="766"/>
    <cellStyle name="20% - Accent3 8 2 3 2" xfId="3100"/>
    <cellStyle name="20% - Accent3 8 2 3 2 2" xfId="18396"/>
    <cellStyle name="20% - Accent3 8 2 3 2 2 2" xfId="28112"/>
    <cellStyle name="20% - Accent3 8 2 3 2 2 2 2" xfId="47866"/>
    <cellStyle name="20% - Accent3 8 2 3 2 2 3" xfId="38222"/>
    <cellStyle name="20% - Accent3 8 2 3 2 3" xfId="23302"/>
    <cellStyle name="20% - Accent3 8 2 3 2 3 2" xfId="43057"/>
    <cellStyle name="20% - Accent3 8 2 3 2 4" xfId="33413"/>
    <cellStyle name="20% - Accent3 8 2 3 3" xfId="16113"/>
    <cellStyle name="20% - Accent3 8 2 3 3 2" xfId="25829"/>
    <cellStyle name="20% - Accent3 8 2 3 3 2 2" xfId="45583"/>
    <cellStyle name="20% - Accent3 8 2 3 3 3" xfId="35939"/>
    <cellStyle name="20% - Accent3 8 2 3 4" xfId="21019"/>
    <cellStyle name="20% - Accent3 8 2 3 4 2" xfId="40774"/>
    <cellStyle name="20% - Accent3 8 2 3 5" xfId="31130"/>
    <cellStyle name="20% - Accent3 8 2 4" xfId="3101"/>
    <cellStyle name="20% - Accent3 8 2 4 2" xfId="18397"/>
    <cellStyle name="20% - Accent3 8 2 4 2 2" xfId="28113"/>
    <cellStyle name="20% - Accent3 8 2 4 2 2 2" xfId="47867"/>
    <cellStyle name="20% - Accent3 8 2 4 2 3" xfId="38223"/>
    <cellStyle name="20% - Accent3 8 2 4 3" xfId="23303"/>
    <cellStyle name="20% - Accent3 8 2 4 3 2" xfId="43058"/>
    <cellStyle name="20% - Accent3 8 2 4 4" xfId="33414"/>
    <cellStyle name="20% - Accent3 8 2 5" xfId="15436"/>
    <cellStyle name="20% - Accent3 8 2 5 2" xfId="20308"/>
    <cellStyle name="20% - Accent3 8 2 5 2 2" xfId="30022"/>
    <cellStyle name="20% - Accent3 8 2 5 2 2 2" xfId="49775"/>
    <cellStyle name="20% - Accent3 8 2 5 2 3" xfId="40131"/>
    <cellStyle name="20% - Accent3 8 2 5 3" xfId="25210"/>
    <cellStyle name="20% - Accent3 8 2 5 3 2" xfId="44964"/>
    <cellStyle name="20% - Accent3 8 2 5 4" xfId="35320"/>
    <cellStyle name="20% - Accent3 8 2 6" xfId="15858"/>
    <cellStyle name="20% - Accent3 8 2 6 2" xfId="25574"/>
    <cellStyle name="20% - Accent3 8 2 6 2 2" xfId="45328"/>
    <cellStyle name="20% - Accent3 8 2 6 3" xfId="35684"/>
    <cellStyle name="20% - Accent3 8 2 7" xfId="20732"/>
    <cellStyle name="20% - Accent3 8 2 7 2" xfId="40512"/>
    <cellStyle name="20% - Accent3 8 2 8" xfId="30452"/>
    <cellStyle name="20% - Accent3 8 2 8 2" xfId="50200"/>
    <cellStyle name="20% - Accent3 8 2 9" xfId="30843"/>
    <cellStyle name="20% - Accent3 8 3" xfId="767"/>
    <cellStyle name="20% - Accent3 8 3 2" xfId="3102"/>
    <cellStyle name="20% - Accent3 8 3 2 2" xfId="3103"/>
    <cellStyle name="20% - Accent3 8 3 2 2 2" xfId="18399"/>
    <cellStyle name="20% - Accent3 8 3 2 2 2 2" xfId="28115"/>
    <cellStyle name="20% - Accent3 8 3 2 2 2 2 2" xfId="47869"/>
    <cellStyle name="20% - Accent3 8 3 2 2 2 3" xfId="38225"/>
    <cellStyle name="20% - Accent3 8 3 2 2 3" xfId="23305"/>
    <cellStyle name="20% - Accent3 8 3 2 2 3 2" xfId="43060"/>
    <cellStyle name="20% - Accent3 8 3 2 2 4" xfId="33416"/>
    <cellStyle name="20% - Accent3 8 3 2 3" xfId="18398"/>
    <cellStyle name="20% - Accent3 8 3 2 3 2" xfId="28114"/>
    <cellStyle name="20% - Accent3 8 3 2 3 2 2" xfId="47868"/>
    <cellStyle name="20% - Accent3 8 3 2 3 3" xfId="38224"/>
    <cellStyle name="20% - Accent3 8 3 2 4" xfId="23304"/>
    <cellStyle name="20% - Accent3 8 3 2 4 2" xfId="43059"/>
    <cellStyle name="20% - Accent3 8 3 2 5" xfId="33415"/>
    <cellStyle name="20% - Accent3 8 3 3" xfId="3104"/>
    <cellStyle name="20% - Accent3 8 3 3 2" xfId="18400"/>
    <cellStyle name="20% - Accent3 8 3 3 2 2" xfId="28116"/>
    <cellStyle name="20% - Accent3 8 3 3 2 2 2" xfId="47870"/>
    <cellStyle name="20% - Accent3 8 3 3 2 3" xfId="38226"/>
    <cellStyle name="20% - Accent3 8 3 3 3" xfId="23306"/>
    <cellStyle name="20% - Accent3 8 3 3 3 2" xfId="43061"/>
    <cellStyle name="20% - Accent3 8 3 3 4" xfId="33417"/>
    <cellStyle name="20% - Accent3 8 3 4" xfId="15438"/>
    <cellStyle name="20% - Accent3 8 3 4 2" xfId="20310"/>
    <cellStyle name="20% - Accent3 8 3 4 2 2" xfId="30024"/>
    <cellStyle name="20% - Accent3 8 3 4 2 2 2" xfId="49777"/>
    <cellStyle name="20% - Accent3 8 3 4 2 3" xfId="40133"/>
    <cellStyle name="20% - Accent3 8 3 4 3" xfId="25212"/>
    <cellStyle name="20% - Accent3 8 3 4 3 2" xfId="44966"/>
    <cellStyle name="20% - Accent3 8 3 4 4" xfId="35322"/>
    <cellStyle name="20% - Accent3 8 3 5" xfId="16114"/>
    <cellStyle name="20% - Accent3 8 3 5 2" xfId="25830"/>
    <cellStyle name="20% - Accent3 8 3 5 2 2" xfId="45584"/>
    <cellStyle name="20% - Accent3 8 3 5 3" xfId="35940"/>
    <cellStyle name="20% - Accent3 8 3 6" xfId="21020"/>
    <cellStyle name="20% - Accent3 8 3 6 2" xfId="40775"/>
    <cellStyle name="20% - Accent3 8 3 7" xfId="30454"/>
    <cellStyle name="20% - Accent3 8 3 7 2" xfId="50202"/>
    <cellStyle name="20% - Accent3 8 3 8" xfId="31131"/>
    <cellStyle name="20% - Accent3 8 4" xfId="768"/>
    <cellStyle name="20% - Accent3 8 4 2" xfId="3105"/>
    <cellStyle name="20% - Accent3 8 4 2 2" xfId="18401"/>
    <cellStyle name="20% - Accent3 8 4 2 2 2" xfId="28117"/>
    <cellStyle name="20% - Accent3 8 4 2 2 2 2" xfId="47871"/>
    <cellStyle name="20% - Accent3 8 4 2 2 3" xfId="38227"/>
    <cellStyle name="20% - Accent3 8 4 2 3" xfId="23307"/>
    <cellStyle name="20% - Accent3 8 4 2 3 2" xfId="43062"/>
    <cellStyle name="20% - Accent3 8 4 2 4" xfId="33418"/>
    <cellStyle name="20% - Accent3 8 4 3" xfId="16115"/>
    <cellStyle name="20% - Accent3 8 4 3 2" xfId="25831"/>
    <cellStyle name="20% - Accent3 8 4 3 2 2" xfId="45585"/>
    <cellStyle name="20% - Accent3 8 4 3 3" xfId="35941"/>
    <cellStyle name="20% - Accent3 8 4 4" xfId="21021"/>
    <cellStyle name="20% - Accent3 8 4 4 2" xfId="40776"/>
    <cellStyle name="20% - Accent3 8 4 5" xfId="31132"/>
    <cellStyle name="20% - Accent3 8 5" xfId="3106"/>
    <cellStyle name="20% - Accent3 8 5 2" xfId="18402"/>
    <cellStyle name="20% - Accent3 8 5 2 2" xfId="28118"/>
    <cellStyle name="20% - Accent3 8 5 2 2 2" xfId="47872"/>
    <cellStyle name="20% - Accent3 8 5 2 3" xfId="38228"/>
    <cellStyle name="20% - Accent3 8 5 3" xfId="23308"/>
    <cellStyle name="20% - Accent3 8 5 3 2" xfId="43063"/>
    <cellStyle name="20% - Accent3 8 5 4" xfId="33419"/>
    <cellStyle name="20% - Accent3 8 6" xfId="15435"/>
    <cellStyle name="20% - Accent3 8 6 2" xfId="20307"/>
    <cellStyle name="20% - Accent3 8 6 2 2" xfId="30021"/>
    <cellStyle name="20% - Accent3 8 6 2 2 2" xfId="49774"/>
    <cellStyle name="20% - Accent3 8 6 2 3" xfId="40130"/>
    <cellStyle name="20% - Accent3 8 6 3" xfId="25209"/>
    <cellStyle name="20% - Accent3 8 6 3 2" xfId="44963"/>
    <cellStyle name="20% - Accent3 8 6 4" xfId="35319"/>
    <cellStyle name="20% - Accent3 8 7" xfId="15857"/>
    <cellStyle name="20% - Accent3 8 7 2" xfId="25573"/>
    <cellStyle name="20% - Accent3 8 7 2 2" xfId="45327"/>
    <cellStyle name="20% - Accent3 8 7 3" xfId="35683"/>
    <cellStyle name="20% - Accent3 8 8" xfId="20731"/>
    <cellStyle name="20% - Accent3 8 8 2" xfId="40511"/>
    <cellStyle name="20% - Accent3 8 9" xfId="30451"/>
    <cellStyle name="20% - Accent3 8 9 2" xfId="50199"/>
    <cellStyle name="20% - Accent3 9" xfId="60"/>
    <cellStyle name="20% - Accent3 9 2" xfId="769"/>
    <cellStyle name="20% - Accent3 9 2 2" xfId="3107"/>
    <cellStyle name="20% - Accent3 9 2 2 2" xfId="3108"/>
    <cellStyle name="20% - Accent3 9 2 2 2 2" xfId="18404"/>
    <cellStyle name="20% - Accent3 9 2 2 2 2 2" xfId="28120"/>
    <cellStyle name="20% - Accent3 9 2 2 2 2 2 2" xfId="47874"/>
    <cellStyle name="20% - Accent3 9 2 2 2 2 3" xfId="38230"/>
    <cellStyle name="20% - Accent3 9 2 2 2 3" xfId="23310"/>
    <cellStyle name="20% - Accent3 9 2 2 2 3 2" xfId="43065"/>
    <cellStyle name="20% - Accent3 9 2 2 2 4" xfId="33421"/>
    <cellStyle name="20% - Accent3 9 2 2 3" xfId="18403"/>
    <cellStyle name="20% - Accent3 9 2 2 3 2" xfId="28119"/>
    <cellStyle name="20% - Accent3 9 2 2 3 2 2" xfId="47873"/>
    <cellStyle name="20% - Accent3 9 2 2 3 3" xfId="38229"/>
    <cellStyle name="20% - Accent3 9 2 2 4" xfId="23309"/>
    <cellStyle name="20% - Accent3 9 2 2 4 2" xfId="43064"/>
    <cellStyle name="20% - Accent3 9 2 2 5" xfId="33420"/>
    <cellStyle name="20% - Accent3 9 2 3" xfId="3109"/>
    <cellStyle name="20% - Accent3 9 2 3 2" xfId="18405"/>
    <cellStyle name="20% - Accent3 9 2 3 2 2" xfId="28121"/>
    <cellStyle name="20% - Accent3 9 2 3 2 2 2" xfId="47875"/>
    <cellStyle name="20% - Accent3 9 2 3 2 3" xfId="38231"/>
    <cellStyle name="20% - Accent3 9 2 3 3" xfId="23311"/>
    <cellStyle name="20% - Accent3 9 2 3 3 2" xfId="43066"/>
    <cellStyle name="20% - Accent3 9 2 3 4" xfId="33422"/>
    <cellStyle name="20% - Accent3 9 2 4" xfId="15440"/>
    <cellStyle name="20% - Accent3 9 2 4 2" xfId="20312"/>
    <cellStyle name="20% - Accent3 9 2 4 2 2" xfId="30026"/>
    <cellStyle name="20% - Accent3 9 2 4 2 2 2" xfId="49779"/>
    <cellStyle name="20% - Accent3 9 2 4 2 3" xfId="40135"/>
    <cellStyle name="20% - Accent3 9 2 4 3" xfId="25214"/>
    <cellStyle name="20% - Accent3 9 2 4 3 2" xfId="44968"/>
    <cellStyle name="20% - Accent3 9 2 4 4" xfId="35324"/>
    <cellStyle name="20% - Accent3 9 2 5" xfId="16116"/>
    <cellStyle name="20% - Accent3 9 2 5 2" xfId="25832"/>
    <cellStyle name="20% - Accent3 9 2 5 2 2" xfId="45586"/>
    <cellStyle name="20% - Accent3 9 2 5 3" xfId="35942"/>
    <cellStyle name="20% - Accent3 9 2 6" xfId="21022"/>
    <cellStyle name="20% - Accent3 9 2 6 2" xfId="40777"/>
    <cellStyle name="20% - Accent3 9 2 7" xfId="30456"/>
    <cellStyle name="20% - Accent3 9 2 7 2" xfId="50204"/>
    <cellStyle name="20% - Accent3 9 2 8" xfId="31133"/>
    <cellStyle name="20% - Accent3 9 3" xfId="770"/>
    <cellStyle name="20% - Accent3 9 3 2" xfId="3110"/>
    <cellStyle name="20% - Accent3 9 3 2 2" xfId="18406"/>
    <cellStyle name="20% - Accent3 9 3 2 2 2" xfId="28122"/>
    <cellStyle name="20% - Accent3 9 3 2 2 2 2" xfId="47876"/>
    <cellStyle name="20% - Accent3 9 3 2 2 3" xfId="38232"/>
    <cellStyle name="20% - Accent3 9 3 2 3" xfId="23312"/>
    <cellStyle name="20% - Accent3 9 3 2 3 2" xfId="43067"/>
    <cellStyle name="20% - Accent3 9 3 2 4" xfId="33423"/>
    <cellStyle name="20% - Accent3 9 3 3" xfId="16117"/>
    <cellStyle name="20% - Accent3 9 3 3 2" xfId="25833"/>
    <cellStyle name="20% - Accent3 9 3 3 2 2" xfId="45587"/>
    <cellStyle name="20% - Accent3 9 3 3 3" xfId="35943"/>
    <cellStyle name="20% - Accent3 9 3 4" xfId="21023"/>
    <cellStyle name="20% - Accent3 9 3 4 2" xfId="40778"/>
    <cellStyle name="20% - Accent3 9 3 5" xfId="31134"/>
    <cellStyle name="20% - Accent3 9 4" xfId="3111"/>
    <cellStyle name="20% - Accent3 9 4 2" xfId="18407"/>
    <cellStyle name="20% - Accent3 9 4 2 2" xfId="28123"/>
    <cellStyle name="20% - Accent3 9 4 2 2 2" xfId="47877"/>
    <cellStyle name="20% - Accent3 9 4 2 3" xfId="38233"/>
    <cellStyle name="20% - Accent3 9 4 3" xfId="23313"/>
    <cellStyle name="20% - Accent3 9 4 3 2" xfId="43068"/>
    <cellStyle name="20% - Accent3 9 4 4" xfId="33424"/>
    <cellStyle name="20% - Accent3 9 5" xfId="15439"/>
    <cellStyle name="20% - Accent3 9 5 2" xfId="20311"/>
    <cellStyle name="20% - Accent3 9 5 2 2" xfId="30025"/>
    <cellStyle name="20% - Accent3 9 5 2 2 2" xfId="49778"/>
    <cellStyle name="20% - Accent3 9 5 2 3" xfId="40134"/>
    <cellStyle name="20% - Accent3 9 5 3" xfId="25213"/>
    <cellStyle name="20% - Accent3 9 5 3 2" xfId="44967"/>
    <cellStyle name="20% - Accent3 9 5 4" xfId="35323"/>
    <cellStyle name="20% - Accent3 9 6" xfId="15859"/>
    <cellStyle name="20% - Accent3 9 6 2" xfId="25575"/>
    <cellStyle name="20% - Accent3 9 6 2 2" xfId="45329"/>
    <cellStyle name="20% - Accent3 9 6 3" xfId="35685"/>
    <cellStyle name="20% - Accent3 9 7" xfId="20733"/>
    <cellStyle name="20% - Accent3 9 7 2" xfId="40513"/>
    <cellStyle name="20% - Accent3 9 8" xfId="30455"/>
    <cellStyle name="20% - Accent3 9 8 2" xfId="50203"/>
    <cellStyle name="20% - Accent3 9 9" xfId="30844"/>
    <cellStyle name="20% - Accent4" xfId="61" builtinId="42" customBuiltin="1"/>
    <cellStyle name="20% - Accent4 10" xfId="62"/>
    <cellStyle name="20% - Accent4 10 2" xfId="771"/>
    <cellStyle name="20% - Accent4 10 2 2" xfId="3112"/>
    <cellStyle name="20% - Accent4 10 2 2 2" xfId="3113"/>
    <cellStyle name="20% - Accent4 10 2 2 2 2" xfId="18409"/>
    <cellStyle name="20% - Accent4 10 2 2 2 2 2" xfId="28125"/>
    <cellStyle name="20% - Accent4 10 2 2 2 2 2 2" xfId="47879"/>
    <cellStyle name="20% - Accent4 10 2 2 2 2 3" xfId="38235"/>
    <cellStyle name="20% - Accent4 10 2 2 2 3" xfId="23315"/>
    <cellStyle name="20% - Accent4 10 2 2 2 3 2" xfId="43070"/>
    <cellStyle name="20% - Accent4 10 2 2 2 4" xfId="33426"/>
    <cellStyle name="20% - Accent4 10 2 2 3" xfId="18408"/>
    <cellStyle name="20% - Accent4 10 2 2 3 2" xfId="28124"/>
    <cellStyle name="20% - Accent4 10 2 2 3 2 2" xfId="47878"/>
    <cellStyle name="20% - Accent4 10 2 2 3 3" xfId="38234"/>
    <cellStyle name="20% - Accent4 10 2 2 4" xfId="23314"/>
    <cellStyle name="20% - Accent4 10 2 2 4 2" xfId="43069"/>
    <cellStyle name="20% - Accent4 10 2 2 5" xfId="33425"/>
    <cellStyle name="20% - Accent4 10 2 3" xfId="3114"/>
    <cellStyle name="20% - Accent4 10 2 3 2" xfId="18410"/>
    <cellStyle name="20% - Accent4 10 2 3 2 2" xfId="28126"/>
    <cellStyle name="20% - Accent4 10 2 3 2 2 2" xfId="47880"/>
    <cellStyle name="20% - Accent4 10 2 3 2 3" xfId="38236"/>
    <cellStyle name="20% - Accent4 10 2 3 3" xfId="23316"/>
    <cellStyle name="20% - Accent4 10 2 3 3 2" xfId="43071"/>
    <cellStyle name="20% - Accent4 10 2 3 4" xfId="33427"/>
    <cellStyle name="20% - Accent4 10 2 4" xfId="16118"/>
    <cellStyle name="20% - Accent4 10 2 4 2" xfId="25834"/>
    <cellStyle name="20% - Accent4 10 2 4 2 2" xfId="45588"/>
    <cellStyle name="20% - Accent4 10 2 4 3" xfId="35944"/>
    <cellStyle name="20% - Accent4 10 2 5" xfId="21024"/>
    <cellStyle name="20% - Accent4 10 2 5 2" xfId="40779"/>
    <cellStyle name="20% - Accent4 10 2 6" xfId="31135"/>
    <cellStyle name="20% - Accent4 10 3" xfId="772"/>
    <cellStyle name="20% - Accent4 10 3 2" xfId="3115"/>
    <cellStyle name="20% - Accent4 10 3 2 2" xfId="18411"/>
    <cellStyle name="20% - Accent4 10 3 2 2 2" xfId="28127"/>
    <cellStyle name="20% - Accent4 10 3 2 2 2 2" xfId="47881"/>
    <cellStyle name="20% - Accent4 10 3 2 2 3" xfId="38237"/>
    <cellStyle name="20% - Accent4 10 3 2 3" xfId="23317"/>
    <cellStyle name="20% - Accent4 10 3 2 3 2" xfId="43072"/>
    <cellStyle name="20% - Accent4 10 3 2 4" xfId="33428"/>
    <cellStyle name="20% - Accent4 10 3 3" xfId="16119"/>
    <cellStyle name="20% - Accent4 10 3 3 2" xfId="25835"/>
    <cellStyle name="20% - Accent4 10 3 3 2 2" xfId="45589"/>
    <cellStyle name="20% - Accent4 10 3 3 3" xfId="35945"/>
    <cellStyle name="20% - Accent4 10 3 4" xfId="21025"/>
    <cellStyle name="20% - Accent4 10 3 4 2" xfId="40780"/>
    <cellStyle name="20% - Accent4 10 3 5" xfId="31136"/>
    <cellStyle name="20% - Accent4 10 4" xfId="3116"/>
    <cellStyle name="20% - Accent4 10 4 2" xfId="18412"/>
    <cellStyle name="20% - Accent4 10 4 2 2" xfId="28128"/>
    <cellStyle name="20% - Accent4 10 4 2 2 2" xfId="47882"/>
    <cellStyle name="20% - Accent4 10 4 2 3" xfId="38238"/>
    <cellStyle name="20% - Accent4 10 4 3" xfId="23318"/>
    <cellStyle name="20% - Accent4 10 4 3 2" xfId="43073"/>
    <cellStyle name="20% - Accent4 10 4 4" xfId="33429"/>
    <cellStyle name="20% - Accent4 10 5" xfId="15442"/>
    <cellStyle name="20% - Accent4 10 5 2" xfId="20314"/>
    <cellStyle name="20% - Accent4 10 5 2 2" xfId="30028"/>
    <cellStyle name="20% - Accent4 10 5 2 2 2" xfId="49781"/>
    <cellStyle name="20% - Accent4 10 5 2 3" xfId="40137"/>
    <cellStyle name="20% - Accent4 10 5 3" xfId="25216"/>
    <cellStyle name="20% - Accent4 10 5 3 2" xfId="44970"/>
    <cellStyle name="20% - Accent4 10 5 4" xfId="35326"/>
    <cellStyle name="20% - Accent4 10 6" xfId="15861"/>
    <cellStyle name="20% - Accent4 10 6 2" xfId="25577"/>
    <cellStyle name="20% - Accent4 10 6 2 2" xfId="45331"/>
    <cellStyle name="20% - Accent4 10 6 3" xfId="35687"/>
    <cellStyle name="20% - Accent4 10 7" xfId="20735"/>
    <cellStyle name="20% - Accent4 10 7 2" xfId="40515"/>
    <cellStyle name="20% - Accent4 10 8" xfId="30457"/>
    <cellStyle name="20% - Accent4 10 8 2" xfId="50205"/>
    <cellStyle name="20% - Accent4 10 9" xfId="30846"/>
    <cellStyle name="20% - Accent4 11" xfId="63"/>
    <cellStyle name="20% - Accent4 11 2" xfId="773"/>
    <cellStyle name="20% - Accent4 11 2 2" xfId="16120"/>
    <cellStyle name="20% - Accent4 11 2 2 2" xfId="25836"/>
    <cellStyle name="20% - Accent4 11 2 2 2 2" xfId="45590"/>
    <cellStyle name="20% - Accent4 11 2 2 3" xfId="35946"/>
    <cellStyle name="20% - Accent4 11 2 3" xfId="21026"/>
    <cellStyle name="20% - Accent4 11 2 3 2" xfId="40781"/>
    <cellStyle name="20% - Accent4 11 2 4" xfId="31137"/>
    <cellStyle name="20% - Accent4 11 3" xfId="15443"/>
    <cellStyle name="20% - Accent4 11 3 2" xfId="20315"/>
    <cellStyle name="20% - Accent4 11 3 2 2" xfId="30029"/>
    <cellStyle name="20% - Accent4 11 3 2 2 2" xfId="49782"/>
    <cellStyle name="20% - Accent4 11 3 2 3" xfId="40138"/>
    <cellStyle name="20% - Accent4 11 3 3" xfId="25217"/>
    <cellStyle name="20% - Accent4 11 3 3 2" xfId="44971"/>
    <cellStyle name="20% - Accent4 11 3 4" xfId="35327"/>
    <cellStyle name="20% - Accent4 11 4" xfId="15860"/>
    <cellStyle name="20% - Accent4 11 4 2" xfId="25576"/>
    <cellStyle name="20% - Accent4 11 4 2 2" xfId="45330"/>
    <cellStyle name="20% - Accent4 11 4 3" xfId="35686"/>
    <cellStyle name="20% - Accent4 11 5" xfId="20736"/>
    <cellStyle name="20% - Accent4 11 5 2" xfId="40516"/>
    <cellStyle name="20% - Accent4 11 6" xfId="30458"/>
    <cellStyle name="20% - Accent4 11 6 2" xfId="50206"/>
    <cellStyle name="20% - Accent4 11 7" xfId="30847"/>
    <cellStyle name="20% - Accent4 12" xfId="774"/>
    <cellStyle name="20% - Accent4 12 2" xfId="16121"/>
    <cellStyle name="20% - Accent4 12 2 2" xfId="25837"/>
    <cellStyle name="20% - Accent4 12 2 2 2" xfId="45591"/>
    <cellStyle name="20% - Accent4 12 2 3" xfId="35947"/>
    <cellStyle name="20% - Accent4 12 3" xfId="21027"/>
    <cellStyle name="20% - Accent4 12 3 2" xfId="40782"/>
    <cellStyle name="20% - Accent4 12 4" xfId="31138"/>
    <cellStyle name="20% - Accent4 13" xfId="775"/>
    <cellStyle name="20% - Accent4 13 2" xfId="16122"/>
    <cellStyle name="20% - Accent4 13 2 2" xfId="25838"/>
    <cellStyle name="20% - Accent4 13 2 2 2" xfId="45592"/>
    <cellStyle name="20% - Accent4 13 2 3" xfId="35948"/>
    <cellStyle name="20% - Accent4 13 3" xfId="21028"/>
    <cellStyle name="20% - Accent4 13 3 2" xfId="40783"/>
    <cellStyle name="20% - Accent4 13 4" xfId="31139"/>
    <cellStyle name="20% - Accent4 14" xfId="776"/>
    <cellStyle name="20% - Accent4 14 2" xfId="16123"/>
    <cellStyle name="20% - Accent4 14 2 2" xfId="25839"/>
    <cellStyle name="20% - Accent4 14 2 2 2" xfId="45593"/>
    <cellStyle name="20% - Accent4 14 2 3" xfId="35949"/>
    <cellStyle name="20% - Accent4 14 3" xfId="21029"/>
    <cellStyle name="20% - Accent4 14 3 2" xfId="40784"/>
    <cellStyle name="20% - Accent4 14 4" xfId="31140"/>
    <cellStyle name="20% - Accent4 15" xfId="15319"/>
    <cellStyle name="20% - Accent4 15 2" xfId="20216"/>
    <cellStyle name="20% - Accent4 15 2 2" xfId="29930"/>
    <cellStyle name="20% - Accent4 15 2 2 2" xfId="49683"/>
    <cellStyle name="20% - Accent4 15 2 3" xfId="40039"/>
    <cellStyle name="20% - Accent4 15 3" xfId="25118"/>
    <cellStyle name="20% - Accent4 15 3 2" xfId="44872"/>
    <cellStyle name="20% - Accent4 15 4" xfId="35228"/>
    <cellStyle name="20% - Accent4 16" xfId="15441"/>
    <cellStyle name="20% - Accent4 16 2" xfId="20313"/>
    <cellStyle name="20% - Accent4 16 2 2" xfId="30027"/>
    <cellStyle name="20% - Accent4 16 2 2 2" xfId="49780"/>
    <cellStyle name="20% - Accent4 16 2 3" xfId="40136"/>
    <cellStyle name="20% - Accent4 16 3" xfId="25215"/>
    <cellStyle name="20% - Accent4 16 3 2" xfId="44969"/>
    <cellStyle name="20% - Accent4 16 4" xfId="35325"/>
    <cellStyle name="20% - Accent4 17" xfId="15806"/>
    <cellStyle name="20% - Accent4 17 2" xfId="25522"/>
    <cellStyle name="20% - Accent4 17 2 2" xfId="45276"/>
    <cellStyle name="20% - Accent4 17 3" xfId="35632"/>
    <cellStyle name="20% - Accent4 18" xfId="20649"/>
    <cellStyle name="20% - Accent4 18 2" xfId="30333"/>
    <cellStyle name="20% - Accent4 18 2 2" xfId="50085"/>
    <cellStyle name="20% - Accent4 18 3" xfId="40441"/>
    <cellStyle name="20% - Accent4 19" xfId="20672"/>
    <cellStyle name="20% - Accent4 19 2" xfId="30349"/>
    <cellStyle name="20% - Accent4 19 2 2" xfId="50098"/>
    <cellStyle name="20% - Accent4 19 3" xfId="40454"/>
    <cellStyle name="20% - Accent4 2" xfId="64"/>
    <cellStyle name="20% - Accent4 2 10" xfId="3117"/>
    <cellStyle name="20% - Accent4 2 10 2" xfId="3118"/>
    <cellStyle name="20% - Accent4 2 10 2 2" xfId="18414"/>
    <cellStyle name="20% - Accent4 2 10 2 2 2" xfId="28130"/>
    <cellStyle name="20% - Accent4 2 10 2 2 2 2" xfId="47884"/>
    <cellStyle name="20% - Accent4 2 10 2 2 3" xfId="38240"/>
    <cellStyle name="20% - Accent4 2 10 2 3" xfId="23320"/>
    <cellStyle name="20% - Accent4 2 10 2 3 2" xfId="43075"/>
    <cellStyle name="20% - Accent4 2 10 2 4" xfId="33431"/>
    <cellStyle name="20% - Accent4 2 10 3" xfId="18413"/>
    <cellStyle name="20% - Accent4 2 10 3 2" xfId="28129"/>
    <cellStyle name="20% - Accent4 2 10 3 2 2" xfId="47883"/>
    <cellStyle name="20% - Accent4 2 10 3 3" xfId="38239"/>
    <cellStyle name="20% - Accent4 2 10 4" xfId="23319"/>
    <cellStyle name="20% - Accent4 2 10 4 2" xfId="43074"/>
    <cellStyle name="20% - Accent4 2 10 5" xfId="33430"/>
    <cellStyle name="20% - Accent4 2 11" xfId="3119"/>
    <cellStyle name="20% - Accent4 2 11 2" xfId="18415"/>
    <cellStyle name="20% - Accent4 2 11 2 2" xfId="28131"/>
    <cellStyle name="20% - Accent4 2 11 2 2 2" xfId="47885"/>
    <cellStyle name="20% - Accent4 2 11 2 3" xfId="38241"/>
    <cellStyle name="20% - Accent4 2 11 3" xfId="23321"/>
    <cellStyle name="20% - Accent4 2 11 3 2" xfId="43076"/>
    <cellStyle name="20% - Accent4 2 11 4" xfId="33432"/>
    <cellStyle name="20% - Accent4 2 12" xfId="3120"/>
    <cellStyle name="20% - Accent4 2 12 2" xfId="18416"/>
    <cellStyle name="20% - Accent4 2 12 2 2" xfId="28132"/>
    <cellStyle name="20% - Accent4 2 12 2 2 2" xfId="47886"/>
    <cellStyle name="20% - Accent4 2 12 2 3" xfId="38242"/>
    <cellStyle name="20% - Accent4 2 12 3" xfId="23322"/>
    <cellStyle name="20% - Accent4 2 12 3 2" xfId="43077"/>
    <cellStyle name="20% - Accent4 2 12 4" xfId="33433"/>
    <cellStyle name="20% - Accent4 2 13" xfId="3121"/>
    <cellStyle name="20% - Accent4 2 13 2" xfId="18417"/>
    <cellStyle name="20% - Accent4 2 13 2 2" xfId="28133"/>
    <cellStyle name="20% - Accent4 2 13 2 2 2" xfId="47887"/>
    <cellStyle name="20% - Accent4 2 13 2 3" xfId="38243"/>
    <cellStyle name="20% - Accent4 2 13 3" xfId="23323"/>
    <cellStyle name="20% - Accent4 2 13 3 2" xfId="43078"/>
    <cellStyle name="20% - Accent4 2 13 4" xfId="33434"/>
    <cellStyle name="20% - Accent4 2 2" xfId="65"/>
    <cellStyle name="20% - Accent4 2 2 10" xfId="3122"/>
    <cellStyle name="20% - Accent4 2 2 10 2" xfId="18418"/>
    <cellStyle name="20% - Accent4 2 2 10 2 2" xfId="28134"/>
    <cellStyle name="20% - Accent4 2 2 10 2 2 2" xfId="47888"/>
    <cellStyle name="20% - Accent4 2 2 10 2 3" xfId="38244"/>
    <cellStyle name="20% - Accent4 2 2 10 3" xfId="23324"/>
    <cellStyle name="20% - Accent4 2 2 10 3 2" xfId="43079"/>
    <cellStyle name="20% - Accent4 2 2 10 4" xfId="33435"/>
    <cellStyle name="20% - Accent4 2 2 11" xfId="3123"/>
    <cellStyle name="20% - Accent4 2 2 11 2" xfId="18419"/>
    <cellStyle name="20% - Accent4 2 2 11 2 2" xfId="28135"/>
    <cellStyle name="20% - Accent4 2 2 11 2 2 2" xfId="47889"/>
    <cellStyle name="20% - Accent4 2 2 11 2 3" xfId="38245"/>
    <cellStyle name="20% - Accent4 2 2 11 3" xfId="23325"/>
    <cellStyle name="20% - Accent4 2 2 11 3 2" xfId="43080"/>
    <cellStyle name="20% - Accent4 2 2 11 4" xfId="33436"/>
    <cellStyle name="20% - Accent4 2 2 12" xfId="3124"/>
    <cellStyle name="20% - Accent4 2 2 12 2" xfId="18420"/>
    <cellStyle name="20% - Accent4 2 2 12 2 2" xfId="28136"/>
    <cellStyle name="20% - Accent4 2 2 12 2 2 2" xfId="47890"/>
    <cellStyle name="20% - Accent4 2 2 12 2 3" xfId="38246"/>
    <cellStyle name="20% - Accent4 2 2 12 3" xfId="23326"/>
    <cellStyle name="20% - Accent4 2 2 12 3 2" xfId="43081"/>
    <cellStyle name="20% - Accent4 2 2 12 4" xfId="33437"/>
    <cellStyle name="20% - Accent4 2 2 2" xfId="3125"/>
    <cellStyle name="20% - Accent4 2 2 2 10" xfId="3126"/>
    <cellStyle name="20% - Accent4 2 2 2 10 2" xfId="18422"/>
    <cellStyle name="20% - Accent4 2 2 2 10 2 2" xfId="28138"/>
    <cellStyle name="20% - Accent4 2 2 2 10 2 2 2" xfId="47892"/>
    <cellStyle name="20% - Accent4 2 2 2 10 2 3" xfId="38248"/>
    <cellStyle name="20% - Accent4 2 2 2 10 3" xfId="23328"/>
    <cellStyle name="20% - Accent4 2 2 2 10 3 2" xfId="43083"/>
    <cellStyle name="20% - Accent4 2 2 2 10 4" xfId="33439"/>
    <cellStyle name="20% - Accent4 2 2 2 11" xfId="18421"/>
    <cellStyle name="20% - Accent4 2 2 2 11 2" xfId="28137"/>
    <cellStyle name="20% - Accent4 2 2 2 11 2 2" xfId="47891"/>
    <cellStyle name="20% - Accent4 2 2 2 11 3" xfId="38247"/>
    <cellStyle name="20% - Accent4 2 2 2 12" xfId="23327"/>
    <cellStyle name="20% - Accent4 2 2 2 12 2" xfId="43082"/>
    <cellStyle name="20% - Accent4 2 2 2 13" xfId="33438"/>
    <cellStyle name="20% - Accent4 2 2 2 2" xfId="3127"/>
    <cellStyle name="20% - Accent4 2 2 2 2 10" xfId="33440"/>
    <cellStyle name="20% - Accent4 2 2 2 2 2" xfId="3128"/>
    <cellStyle name="20% - Accent4 2 2 2 2 2 2" xfId="3129"/>
    <cellStyle name="20% - Accent4 2 2 2 2 2 2 2" xfId="3130"/>
    <cellStyle name="20% - Accent4 2 2 2 2 2 2 2 2" xfId="3131"/>
    <cellStyle name="20% - Accent4 2 2 2 2 2 2 2 2 2" xfId="18427"/>
    <cellStyle name="20% - Accent4 2 2 2 2 2 2 2 2 2 2" xfId="28143"/>
    <cellStyle name="20% - Accent4 2 2 2 2 2 2 2 2 2 2 2" xfId="47897"/>
    <cellStyle name="20% - Accent4 2 2 2 2 2 2 2 2 2 3" xfId="38253"/>
    <cellStyle name="20% - Accent4 2 2 2 2 2 2 2 2 3" xfId="23333"/>
    <cellStyle name="20% - Accent4 2 2 2 2 2 2 2 2 3 2" xfId="43088"/>
    <cellStyle name="20% - Accent4 2 2 2 2 2 2 2 2 4" xfId="33444"/>
    <cellStyle name="20% - Accent4 2 2 2 2 2 2 2 3" xfId="18426"/>
    <cellStyle name="20% - Accent4 2 2 2 2 2 2 2 3 2" xfId="28142"/>
    <cellStyle name="20% - Accent4 2 2 2 2 2 2 2 3 2 2" xfId="47896"/>
    <cellStyle name="20% - Accent4 2 2 2 2 2 2 2 3 3" xfId="38252"/>
    <cellStyle name="20% - Accent4 2 2 2 2 2 2 2 4" xfId="23332"/>
    <cellStyle name="20% - Accent4 2 2 2 2 2 2 2 4 2" xfId="43087"/>
    <cellStyle name="20% - Accent4 2 2 2 2 2 2 2 5" xfId="33443"/>
    <cellStyle name="20% - Accent4 2 2 2 2 2 2 3" xfId="3132"/>
    <cellStyle name="20% - Accent4 2 2 2 2 2 2 3 2" xfId="18428"/>
    <cellStyle name="20% - Accent4 2 2 2 2 2 2 3 2 2" xfId="28144"/>
    <cellStyle name="20% - Accent4 2 2 2 2 2 2 3 2 2 2" xfId="47898"/>
    <cellStyle name="20% - Accent4 2 2 2 2 2 2 3 2 3" xfId="38254"/>
    <cellStyle name="20% - Accent4 2 2 2 2 2 2 3 3" xfId="23334"/>
    <cellStyle name="20% - Accent4 2 2 2 2 2 2 3 3 2" xfId="43089"/>
    <cellStyle name="20% - Accent4 2 2 2 2 2 2 3 4" xfId="33445"/>
    <cellStyle name="20% - Accent4 2 2 2 2 2 2 4" xfId="18425"/>
    <cellStyle name="20% - Accent4 2 2 2 2 2 2 4 2" xfId="28141"/>
    <cellStyle name="20% - Accent4 2 2 2 2 2 2 4 2 2" xfId="47895"/>
    <cellStyle name="20% - Accent4 2 2 2 2 2 2 4 3" xfId="38251"/>
    <cellStyle name="20% - Accent4 2 2 2 2 2 2 5" xfId="23331"/>
    <cellStyle name="20% - Accent4 2 2 2 2 2 2 5 2" xfId="43086"/>
    <cellStyle name="20% - Accent4 2 2 2 2 2 2 6" xfId="33442"/>
    <cellStyle name="20% - Accent4 2 2 2 2 2 3" xfId="3133"/>
    <cellStyle name="20% - Accent4 2 2 2 2 2 3 2" xfId="3134"/>
    <cellStyle name="20% - Accent4 2 2 2 2 2 3 2 2" xfId="18430"/>
    <cellStyle name="20% - Accent4 2 2 2 2 2 3 2 2 2" xfId="28146"/>
    <cellStyle name="20% - Accent4 2 2 2 2 2 3 2 2 2 2" xfId="47900"/>
    <cellStyle name="20% - Accent4 2 2 2 2 2 3 2 2 3" xfId="38256"/>
    <cellStyle name="20% - Accent4 2 2 2 2 2 3 2 3" xfId="23336"/>
    <cellStyle name="20% - Accent4 2 2 2 2 2 3 2 3 2" xfId="43091"/>
    <cellStyle name="20% - Accent4 2 2 2 2 2 3 2 4" xfId="33447"/>
    <cellStyle name="20% - Accent4 2 2 2 2 2 3 3" xfId="18429"/>
    <cellStyle name="20% - Accent4 2 2 2 2 2 3 3 2" xfId="28145"/>
    <cellStyle name="20% - Accent4 2 2 2 2 2 3 3 2 2" xfId="47899"/>
    <cellStyle name="20% - Accent4 2 2 2 2 2 3 3 3" xfId="38255"/>
    <cellStyle name="20% - Accent4 2 2 2 2 2 3 4" xfId="23335"/>
    <cellStyle name="20% - Accent4 2 2 2 2 2 3 4 2" xfId="43090"/>
    <cellStyle name="20% - Accent4 2 2 2 2 2 3 5" xfId="33446"/>
    <cellStyle name="20% - Accent4 2 2 2 2 2 4" xfId="3135"/>
    <cellStyle name="20% - Accent4 2 2 2 2 2 4 2" xfId="18431"/>
    <cellStyle name="20% - Accent4 2 2 2 2 2 4 2 2" xfId="28147"/>
    <cellStyle name="20% - Accent4 2 2 2 2 2 4 2 2 2" xfId="47901"/>
    <cellStyle name="20% - Accent4 2 2 2 2 2 4 2 3" xfId="38257"/>
    <cellStyle name="20% - Accent4 2 2 2 2 2 4 3" xfId="23337"/>
    <cellStyle name="20% - Accent4 2 2 2 2 2 4 3 2" xfId="43092"/>
    <cellStyle name="20% - Accent4 2 2 2 2 2 4 4" xfId="33448"/>
    <cellStyle name="20% - Accent4 2 2 2 2 2 5" xfId="18424"/>
    <cellStyle name="20% - Accent4 2 2 2 2 2 5 2" xfId="28140"/>
    <cellStyle name="20% - Accent4 2 2 2 2 2 5 2 2" xfId="47894"/>
    <cellStyle name="20% - Accent4 2 2 2 2 2 5 3" xfId="38250"/>
    <cellStyle name="20% - Accent4 2 2 2 2 2 6" xfId="23330"/>
    <cellStyle name="20% - Accent4 2 2 2 2 2 6 2" xfId="43085"/>
    <cellStyle name="20% - Accent4 2 2 2 2 2 7" xfId="33441"/>
    <cellStyle name="20% - Accent4 2 2 2 2 3" xfId="3136"/>
    <cellStyle name="20% - Accent4 2 2 2 2 3 2" xfId="3137"/>
    <cellStyle name="20% - Accent4 2 2 2 2 3 2 2" xfId="3138"/>
    <cellStyle name="20% - Accent4 2 2 2 2 3 2 2 2" xfId="18434"/>
    <cellStyle name="20% - Accent4 2 2 2 2 3 2 2 2 2" xfId="28150"/>
    <cellStyle name="20% - Accent4 2 2 2 2 3 2 2 2 2 2" xfId="47904"/>
    <cellStyle name="20% - Accent4 2 2 2 2 3 2 2 2 3" xfId="38260"/>
    <cellStyle name="20% - Accent4 2 2 2 2 3 2 2 3" xfId="23340"/>
    <cellStyle name="20% - Accent4 2 2 2 2 3 2 2 3 2" xfId="43095"/>
    <cellStyle name="20% - Accent4 2 2 2 2 3 2 2 4" xfId="33451"/>
    <cellStyle name="20% - Accent4 2 2 2 2 3 2 3" xfId="18433"/>
    <cellStyle name="20% - Accent4 2 2 2 2 3 2 3 2" xfId="28149"/>
    <cellStyle name="20% - Accent4 2 2 2 2 3 2 3 2 2" xfId="47903"/>
    <cellStyle name="20% - Accent4 2 2 2 2 3 2 3 3" xfId="38259"/>
    <cellStyle name="20% - Accent4 2 2 2 2 3 2 4" xfId="23339"/>
    <cellStyle name="20% - Accent4 2 2 2 2 3 2 4 2" xfId="43094"/>
    <cellStyle name="20% - Accent4 2 2 2 2 3 2 5" xfId="33450"/>
    <cellStyle name="20% - Accent4 2 2 2 2 3 3" xfId="3139"/>
    <cellStyle name="20% - Accent4 2 2 2 2 3 3 2" xfId="18435"/>
    <cellStyle name="20% - Accent4 2 2 2 2 3 3 2 2" xfId="28151"/>
    <cellStyle name="20% - Accent4 2 2 2 2 3 3 2 2 2" xfId="47905"/>
    <cellStyle name="20% - Accent4 2 2 2 2 3 3 2 3" xfId="38261"/>
    <cellStyle name="20% - Accent4 2 2 2 2 3 3 3" xfId="23341"/>
    <cellStyle name="20% - Accent4 2 2 2 2 3 3 3 2" xfId="43096"/>
    <cellStyle name="20% - Accent4 2 2 2 2 3 3 4" xfId="33452"/>
    <cellStyle name="20% - Accent4 2 2 2 2 3 4" xfId="18432"/>
    <cellStyle name="20% - Accent4 2 2 2 2 3 4 2" xfId="28148"/>
    <cellStyle name="20% - Accent4 2 2 2 2 3 4 2 2" xfId="47902"/>
    <cellStyle name="20% - Accent4 2 2 2 2 3 4 3" xfId="38258"/>
    <cellStyle name="20% - Accent4 2 2 2 2 3 5" xfId="23338"/>
    <cellStyle name="20% - Accent4 2 2 2 2 3 5 2" xfId="43093"/>
    <cellStyle name="20% - Accent4 2 2 2 2 3 6" xfId="33449"/>
    <cellStyle name="20% - Accent4 2 2 2 2 4" xfId="3140"/>
    <cellStyle name="20% - Accent4 2 2 2 2 4 2" xfId="3141"/>
    <cellStyle name="20% - Accent4 2 2 2 2 4 2 2" xfId="18437"/>
    <cellStyle name="20% - Accent4 2 2 2 2 4 2 2 2" xfId="28153"/>
    <cellStyle name="20% - Accent4 2 2 2 2 4 2 2 2 2" xfId="47907"/>
    <cellStyle name="20% - Accent4 2 2 2 2 4 2 2 3" xfId="38263"/>
    <cellStyle name="20% - Accent4 2 2 2 2 4 2 3" xfId="23343"/>
    <cellStyle name="20% - Accent4 2 2 2 2 4 2 3 2" xfId="43098"/>
    <cellStyle name="20% - Accent4 2 2 2 2 4 2 4" xfId="33454"/>
    <cellStyle name="20% - Accent4 2 2 2 2 4 3" xfId="18436"/>
    <cellStyle name="20% - Accent4 2 2 2 2 4 3 2" xfId="28152"/>
    <cellStyle name="20% - Accent4 2 2 2 2 4 3 2 2" xfId="47906"/>
    <cellStyle name="20% - Accent4 2 2 2 2 4 3 3" xfId="38262"/>
    <cellStyle name="20% - Accent4 2 2 2 2 4 4" xfId="23342"/>
    <cellStyle name="20% - Accent4 2 2 2 2 4 4 2" xfId="43097"/>
    <cellStyle name="20% - Accent4 2 2 2 2 4 5" xfId="33453"/>
    <cellStyle name="20% - Accent4 2 2 2 2 5" xfId="3142"/>
    <cellStyle name="20% - Accent4 2 2 2 2 5 2" xfId="18438"/>
    <cellStyle name="20% - Accent4 2 2 2 2 5 2 2" xfId="28154"/>
    <cellStyle name="20% - Accent4 2 2 2 2 5 2 2 2" xfId="47908"/>
    <cellStyle name="20% - Accent4 2 2 2 2 5 2 3" xfId="38264"/>
    <cellStyle name="20% - Accent4 2 2 2 2 5 3" xfId="23344"/>
    <cellStyle name="20% - Accent4 2 2 2 2 5 3 2" xfId="43099"/>
    <cellStyle name="20% - Accent4 2 2 2 2 5 4" xfId="33455"/>
    <cellStyle name="20% - Accent4 2 2 2 2 6" xfId="3143"/>
    <cellStyle name="20% - Accent4 2 2 2 2 6 2" xfId="18439"/>
    <cellStyle name="20% - Accent4 2 2 2 2 6 2 2" xfId="28155"/>
    <cellStyle name="20% - Accent4 2 2 2 2 6 2 2 2" xfId="47909"/>
    <cellStyle name="20% - Accent4 2 2 2 2 6 2 3" xfId="38265"/>
    <cellStyle name="20% - Accent4 2 2 2 2 6 3" xfId="23345"/>
    <cellStyle name="20% - Accent4 2 2 2 2 6 3 2" xfId="43100"/>
    <cellStyle name="20% - Accent4 2 2 2 2 6 4" xfId="33456"/>
    <cellStyle name="20% - Accent4 2 2 2 2 7" xfId="3144"/>
    <cellStyle name="20% - Accent4 2 2 2 2 7 2" xfId="18440"/>
    <cellStyle name="20% - Accent4 2 2 2 2 7 2 2" xfId="28156"/>
    <cellStyle name="20% - Accent4 2 2 2 2 7 2 2 2" xfId="47910"/>
    <cellStyle name="20% - Accent4 2 2 2 2 7 2 3" xfId="38266"/>
    <cellStyle name="20% - Accent4 2 2 2 2 7 3" xfId="23346"/>
    <cellStyle name="20% - Accent4 2 2 2 2 7 3 2" xfId="43101"/>
    <cellStyle name="20% - Accent4 2 2 2 2 7 4" xfId="33457"/>
    <cellStyle name="20% - Accent4 2 2 2 2 8" xfId="18423"/>
    <cellStyle name="20% - Accent4 2 2 2 2 8 2" xfId="28139"/>
    <cellStyle name="20% - Accent4 2 2 2 2 8 2 2" xfId="47893"/>
    <cellStyle name="20% - Accent4 2 2 2 2 8 3" xfId="38249"/>
    <cellStyle name="20% - Accent4 2 2 2 2 9" xfId="23329"/>
    <cellStyle name="20% - Accent4 2 2 2 2 9 2" xfId="43084"/>
    <cellStyle name="20% - Accent4 2 2 2 3" xfId="3145"/>
    <cellStyle name="20% - Accent4 2 2 2 3 2" xfId="3146"/>
    <cellStyle name="20% - Accent4 2 2 2 3 2 2" xfId="3147"/>
    <cellStyle name="20% - Accent4 2 2 2 3 2 2 2" xfId="3148"/>
    <cellStyle name="20% - Accent4 2 2 2 3 2 2 2 2" xfId="18444"/>
    <cellStyle name="20% - Accent4 2 2 2 3 2 2 2 2 2" xfId="28160"/>
    <cellStyle name="20% - Accent4 2 2 2 3 2 2 2 2 2 2" xfId="47914"/>
    <cellStyle name="20% - Accent4 2 2 2 3 2 2 2 2 3" xfId="38270"/>
    <cellStyle name="20% - Accent4 2 2 2 3 2 2 2 3" xfId="23350"/>
    <cellStyle name="20% - Accent4 2 2 2 3 2 2 2 3 2" xfId="43105"/>
    <cellStyle name="20% - Accent4 2 2 2 3 2 2 2 4" xfId="33461"/>
    <cellStyle name="20% - Accent4 2 2 2 3 2 2 3" xfId="18443"/>
    <cellStyle name="20% - Accent4 2 2 2 3 2 2 3 2" xfId="28159"/>
    <cellStyle name="20% - Accent4 2 2 2 3 2 2 3 2 2" xfId="47913"/>
    <cellStyle name="20% - Accent4 2 2 2 3 2 2 3 3" xfId="38269"/>
    <cellStyle name="20% - Accent4 2 2 2 3 2 2 4" xfId="23349"/>
    <cellStyle name="20% - Accent4 2 2 2 3 2 2 4 2" xfId="43104"/>
    <cellStyle name="20% - Accent4 2 2 2 3 2 2 5" xfId="33460"/>
    <cellStyle name="20% - Accent4 2 2 2 3 2 3" xfId="3149"/>
    <cellStyle name="20% - Accent4 2 2 2 3 2 3 2" xfId="18445"/>
    <cellStyle name="20% - Accent4 2 2 2 3 2 3 2 2" xfId="28161"/>
    <cellStyle name="20% - Accent4 2 2 2 3 2 3 2 2 2" xfId="47915"/>
    <cellStyle name="20% - Accent4 2 2 2 3 2 3 2 3" xfId="38271"/>
    <cellStyle name="20% - Accent4 2 2 2 3 2 3 3" xfId="23351"/>
    <cellStyle name="20% - Accent4 2 2 2 3 2 3 3 2" xfId="43106"/>
    <cellStyle name="20% - Accent4 2 2 2 3 2 3 4" xfId="33462"/>
    <cellStyle name="20% - Accent4 2 2 2 3 2 4" xfId="18442"/>
    <cellStyle name="20% - Accent4 2 2 2 3 2 4 2" xfId="28158"/>
    <cellStyle name="20% - Accent4 2 2 2 3 2 4 2 2" xfId="47912"/>
    <cellStyle name="20% - Accent4 2 2 2 3 2 4 3" xfId="38268"/>
    <cellStyle name="20% - Accent4 2 2 2 3 2 5" xfId="23348"/>
    <cellStyle name="20% - Accent4 2 2 2 3 2 5 2" xfId="43103"/>
    <cellStyle name="20% - Accent4 2 2 2 3 2 6" xfId="33459"/>
    <cellStyle name="20% - Accent4 2 2 2 3 3" xfId="3150"/>
    <cellStyle name="20% - Accent4 2 2 2 3 3 2" xfId="3151"/>
    <cellStyle name="20% - Accent4 2 2 2 3 3 2 2" xfId="18447"/>
    <cellStyle name="20% - Accent4 2 2 2 3 3 2 2 2" xfId="28163"/>
    <cellStyle name="20% - Accent4 2 2 2 3 3 2 2 2 2" xfId="47917"/>
    <cellStyle name="20% - Accent4 2 2 2 3 3 2 2 3" xfId="38273"/>
    <cellStyle name="20% - Accent4 2 2 2 3 3 2 3" xfId="23353"/>
    <cellStyle name="20% - Accent4 2 2 2 3 3 2 3 2" xfId="43108"/>
    <cellStyle name="20% - Accent4 2 2 2 3 3 2 4" xfId="33464"/>
    <cellStyle name="20% - Accent4 2 2 2 3 3 3" xfId="18446"/>
    <cellStyle name="20% - Accent4 2 2 2 3 3 3 2" xfId="28162"/>
    <cellStyle name="20% - Accent4 2 2 2 3 3 3 2 2" xfId="47916"/>
    <cellStyle name="20% - Accent4 2 2 2 3 3 3 3" xfId="38272"/>
    <cellStyle name="20% - Accent4 2 2 2 3 3 4" xfId="23352"/>
    <cellStyle name="20% - Accent4 2 2 2 3 3 4 2" xfId="43107"/>
    <cellStyle name="20% - Accent4 2 2 2 3 3 5" xfId="33463"/>
    <cellStyle name="20% - Accent4 2 2 2 3 4" xfId="3152"/>
    <cellStyle name="20% - Accent4 2 2 2 3 4 2" xfId="18448"/>
    <cellStyle name="20% - Accent4 2 2 2 3 4 2 2" xfId="28164"/>
    <cellStyle name="20% - Accent4 2 2 2 3 4 2 2 2" xfId="47918"/>
    <cellStyle name="20% - Accent4 2 2 2 3 4 2 3" xfId="38274"/>
    <cellStyle name="20% - Accent4 2 2 2 3 4 3" xfId="23354"/>
    <cellStyle name="20% - Accent4 2 2 2 3 4 3 2" xfId="43109"/>
    <cellStyle name="20% - Accent4 2 2 2 3 4 4" xfId="33465"/>
    <cellStyle name="20% - Accent4 2 2 2 3 5" xfId="18441"/>
    <cellStyle name="20% - Accent4 2 2 2 3 5 2" xfId="28157"/>
    <cellStyle name="20% - Accent4 2 2 2 3 5 2 2" xfId="47911"/>
    <cellStyle name="20% - Accent4 2 2 2 3 5 3" xfId="38267"/>
    <cellStyle name="20% - Accent4 2 2 2 3 6" xfId="23347"/>
    <cellStyle name="20% - Accent4 2 2 2 3 6 2" xfId="43102"/>
    <cellStyle name="20% - Accent4 2 2 2 3 7" xfId="33458"/>
    <cellStyle name="20% - Accent4 2 2 2 4" xfId="3153"/>
    <cellStyle name="20% - Accent4 2 2 2 4 2" xfId="3154"/>
    <cellStyle name="20% - Accent4 2 2 2 4 2 2" xfId="3155"/>
    <cellStyle name="20% - Accent4 2 2 2 4 2 2 2" xfId="3156"/>
    <cellStyle name="20% - Accent4 2 2 2 4 2 2 2 2" xfId="18452"/>
    <cellStyle name="20% - Accent4 2 2 2 4 2 2 2 2 2" xfId="28168"/>
    <cellStyle name="20% - Accent4 2 2 2 4 2 2 2 2 2 2" xfId="47922"/>
    <cellStyle name="20% - Accent4 2 2 2 4 2 2 2 2 3" xfId="38278"/>
    <cellStyle name="20% - Accent4 2 2 2 4 2 2 2 3" xfId="23358"/>
    <cellStyle name="20% - Accent4 2 2 2 4 2 2 2 3 2" xfId="43113"/>
    <cellStyle name="20% - Accent4 2 2 2 4 2 2 2 4" xfId="33469"/>
    <cellStyle name="20% - Accent4 2 2 2 4 2 2 3" xfId="18451"/>
    <cellStyle name="20% - Accent4 2 2 2 4 2 2 3 2" xfId="28167"/>
    <cellStyle name="20% - Accent4 2 2 2 4 2 2 3 2 2" xfId="47921"/>
    <cellStyle name="20% - Accent4 2 2 2 4 2 2 3 3" xfId="38277"/>
    <cellStyle name="20% - Accent4 2 2 2 4 2 2 4" xfId="23357"/>
    <cellStyle name="20% - Accent4 2 2 2 4 2 2 4 2" xfId="43112"/>
    <cellStyle name="20% - Accent4 2 2 2 4 2 2 5" xfId="33468"/>
    <cellStyle name="20% - Accent4 2 2 2 4 2 3" xfId="3157"/>
    <cellStyle name="20% - Accent4 2 2 2 4 2 3 2" xfId="18453"/>
    <cellStyle name="20% - Accent4 2 2 2 4 2 3 2 2" xfId="28169"/>
    <cellStyle name="20% - Accent4 2 2 2 4 2 3 2 2 2" xfId="47923"/>
    <cellStyle name="20% - Accent4 2 2 2 4 2 3 2 3" xfId="38279"/>
    <cellStyle name="20% - Accent4 2 2 2 4 2 3 3" xfId="23359"/>
    <cellStyle name="20% - Accent4 2 2 2 4 2 3 3 2" xfId="43114"/>
    <cellStyle name="20% - Accent4 2 2 2 4 2 3 4" xfId="33470"/>
    <cellStyle name="20% - Accent4 2 2 2 4 2 4" xfId="18450"/>
    <cellStyle name="20% - Accent4 2 2 2 4 2 4 2" xfId="28166"/>
    <cellStyle name="20% - Accent4 2 2 2 4 2 4 2 2" xfId="47920"/>
    <cellStyle name="20% - Accent4 2 2 2 4 2 4 3" xfId="38276"/>
    <cellStyle name="20% - Accent4 2 2 2 4 2 5" xfId="23356"/>
    <cellStyle name="20% - Accent4 2 2 2 4 2 5 2" xfId="43111"/>
    <cellStyle name="20% - Accent4 2 2 2 4 2 6" xfId="33467"/>
    <cellStyle name="20% - Accent4 2 2 2 4 3" xfId="3158"/>
    <cellStyle name="20% - Accent4 2 2 2 4 3 2" xfId="3159"/>
    <cellStyle name="20% - Accent4 2 2 2 4 3 2 2" xfId="18455"/>
    <cellStyle name="20% - Accent4 2 2 2 4 3 2 2 2" xfId="28171"/>
    <cellStyle name="20% - Accent4 2 2 2 4 3 2 2 2 2" xfId="47925"/>
    <cellStyle name="20% - Accent4 2 2 2 4 3 2 2 3" xfId="38281"/>
    <cellStyle name="20% - Accent4 2 2 2 4 3 2 3" xfId="23361"/>
    <cellStyle name="20% - Accent4 2 2 2 4 3 2 3 2" xfId="43116"/>
    <cellStyle name="20% - Accent4 2 2 2 4 3 2 4" xfId="33472"/>
    <cellStyle name="20% - Accent4 2 2 2 4 3 3" xfId="18454"/>
    <cellStyle name="20% - Accent4 2 2 2 4 3 3 2" xfId="28170"/>
    <cellStyle name="20% - Accent4 2 2 2 4 3 3 2 2" xfId="47924"/>
    <cellStyle name="20% - Accent4 2 2 2 4 3 3 3" xfId="38280"/>
    <cellStyle name="20% - Accent4 2 2 2 4 3 4" xfId="23360"/>
    <cellStyle name="20% - Accent4 2 2 2 4 3 4 2" xfId="43115"/>
    <cellStyle name="20% - Accent4 2 2 2 4 3 5" xfId="33471"/>
    <cellStyle name="20% - Accent4 2 2 2 4 4" xfId="3160"/>
    <cellStyle name="20% - Accent4 2 2 2 4 4 2" xfId="18456"/>
    <cellStyle name="20% - Accent4 2 2 2 4 4 2 2" xfId="28172"/>
    <cellStyle name="20% - Accent4 2 2 2 4 4 2 2 2" xfId="47926"/>
    <cellStyle name="20% - Accent4 2 2 2 4 4 2 3" xfId="38282"/>
    <cellStyle name="20% - Accent4 2 2 2 4 4 3" xfId="23362"/>
    <cellStyle name="20% - Accent4 2 2 2 4 4 3 2" xfId="43117"/>
    <cellStyle name="20% - Accent4 2 2 2 4 4 4" xfId="33473"/>
    <cellStyle name="20% - Accent4 2 2 2 4 5" xfId="18449"/>
    <cellStyle name="20% - Accent4 2 2 2 4 5 2" xfId="28165"/>
    <cellStyle name="20% - Accent4 2 2 2 4 5 2 2" xfId="47919"/>
    <cellStyle name="20% - Accent4 2 2 2 4 5 3" xfId="38275"/>
    <cellStyle name="20% - Accent4 2 2 2 4 6" xfId="23355"/>
    <cellStyle name="20% - Accent4 2 2 2 4 6 2" xfId="43110"/>
    <cellStyle name="20% - Accent4 2 2 2 4 7" xfId="33466"/>
    <cellStyle name="20% - Accent4 2 2 2 5" xfId="3161"/>
    <cellStyle name="20% - Accent4 2 2 2 5 2" xfId="3162"/>
    <cellStyle name="20% - Accent4 2 2 2 5 2 2" xfId="3163"/>
    <cellStyle name="20% - Accent4 2 2 2 5 2 2 2" xfId="18459"/>
    <cellStyle name="20% - Accent4 2 2 2 5 2 2 2 2" xfId="28175"/>
    <cellStyle name="20% - Accent4 2 2 2 5 2 2 2 2 2" xfId="47929"/>
    <cellStyle name="20% - Accent4 2 2 2 5 2 2 2 3" xfId="38285"/>
    <cellStyle name="20% - Accent4 2 2 2 5 2 2 3" xfId="23365"/>
    <cellStyle name="20% - Accent4 2 2 2 5 2 2 3 2" xfId="43120"/>
    <cellStyle name="20% - Accent4 2 2 2 5 2 2 4" xfId="33476"/>
    <cellStyle name="20% - Accent4 2 2 2 5 2 3" xfId="18458"/>
    <cellStyle name="20% - Accent4 2 2 2 5 2 3 2" xfId="28174"/>
    <cellStyle name="20% - Accent4 2 2 2 5 2 3 2 2" xfId="47928"/>
    <cellStyle name="20% - Accent4 2 2 2 5 2 3 3" xfId="38284"/>
    <cellStyle name="20% - Accent4 2 2 2 5 2 4" xfId="23364"/>
    <cellStyle name="20% - Accent4 2 2 2 5 2 4 2" xfId="43119"/>
    <cellStyle name="20% - Accent4 2 2 2 5 2 5" xfId="33475"/>
    <cellStyle name="20% - Accent4 2 2 2 5 3" xfId="3164"/>
    <cellStyle name="20% - Accent4 2 2 2 5 3 2" xfId="18460"/>
    <cellStyle name="20% - Accent4 2 2 2 5 3 2 2" xfId="28176"/>
    <cellStyle name="20% - Accent4 2 2 2 5 3 2 2 2" xfId="47930"/>
    <cellStyle name="20% - Accent4 2 2 2 5 3 2 3" xfId="38286"/>
    <cellStyle name="20% - Accent4 2 2 2 5 3 3" xfId="23366"/>
    <cellStyle name="20% - Accent4 2 2 2 5 3 3 2" xfId="43121"/>
    <cellStyle name="20% - Accent4 2 2 2 5 3 4" xfId="33477"/>
    <cellStyle name="20% - Accent4 2 2 2 5 4" xfId="18457"/>
    <cellStyle name="20% - Accent4 2 2 2 5 4 2" xfId="28173"/>
    <cellStyle name="20% - Accent4 2 2 2 5 4 2 2" xfId="47927"/>
    <cellStyle name="20% - Accent4 2 2 2 5 4 3" xfId="38283"/>
    <cellStyle name="20% - Accent4 2 2 2 5 5" xfId="23363"/>
    <cellStyle name="20% - Accent4 2 2 2 5 5 2" xfId="43118"/>
    <cellStyle name="20% - Accent4 2 2 2 5 6" xfId="33474"/>
    <cellStyle name="20% - Accent4 2 2 2 6" xfId="3165"/>
    <cellStyle name="20% - Accent4 2 2 2 6 2" xfId="3166"/>
    <cellStyle name="20% - Accent4 2 2 2 6 2 2" xfId="18462"/>
    <cellStyle name="20% - Accent4 2 2 2 6 2 2 2" xfId="28178"/>
    <cellStyle name="20% - Accent4 2 2 2 6 2 2 2 2" xfId="47932"/>
    <cellStyle name="20% - Accent4 2 2 2 6 2 2 3" xfId="38288"/>
    <cellStyle name="20% - Accent4 2 2 2 6 2 3" xfId="23368"/>
    <cellStyle name="20% - Accent4 2 2 2 6 2 3 2" xfId="43123"/>
    <cellStyle name="20% - Accent4 2 2 2 6 2 4" xfId="33479"/>
    <cellStyle name="20% - Accent4 2 2 2 6 3" xfId="18461"/>
    <cellStyle name="20% - Accent4 2 2 2 6 3 2" xfId="28177"/>
    <cellStyle name="20% - Accent4 2 2 2 6 3 2 2" xfId="47931"/>
    <cellStyle name="20% - Accent4 2 2 2 6 3 3" xfId="38287"/>
    <cellStyle name="20% - Accent4 2 2 2 6 4" xfId="23367"/>
    <cellStyle name="20% - Accent4 2 2 2 6 4 2" xfId="43122"/>
    <cellStyle name="20% - Accent4 2 2 2 6 5" xfId="33478"/>
    <cellStyle name="20% - Accent4 2 2 2 7" xfId="3167"/>
    <cellStyle name="20% - Accent4 2 2 2 7 2" xfId="3168"/>
    <cellStyle name="20% - Accent4 2 2 2 7 2 2" xfId="18464"/>
    <cellStyle name="20% - Accent4 2 2 2 7 2 2 2" xfId="28180"/>
    <cellStyle name="20% - Accent4 2 2 2 7 2 2 2 2" xfId="47934"/>
    <cellStyle name="20% - Accent4 2 2 2 7 2 2 3" xfId="38290"/>
    <cellStyle name="20% - Accent4 2 2 2 7 2 3" xfId="23370"/>
    <cellStyle name="20% - Accent4 2 2 2 7 2 3 2" xfId="43125"/>
    <cellStyle name="20% - Accent4 2 2 2 7 2 4" xfId="33481"/>
    <cellStyle name="20% - Accent4 2 2 2 7 3" xfId="18463"/>
    <cellStyle name="20% - Accent4 2 2 2 7 3 2" xfId="28179"/>
    <cellStyle name="20% - Accent4 2 2 2 7 3 2 2" xfId="47933"/>
    <cellStyle name="20% - Accent4 2 2 2 7 3 3" xfId="38289"/>
    <cellStyle name="20% - Accent4 2 2 2 7 4" xfId="23369"/>
    <cellStyle name="20% - Accent4 2 2 2 7 4 2" xfId="43124"/>
    <cellStyle name="20% - Accent4 2 2 2 7 5" xfId="33480"/>
    <cellStyle name="20% - Accent4 2 2 2 8" xfId="3169"/>
    <cellStyle name="20% - Accent4 2 2 2 8 2" xfId="18465"/>
    <cellStyle name="20% - Accent4 2 2 2 8 2 2" xfId="28181"/>
    <cellStyle name="20% - Accent4 2 2 2 8 2 2 2" xfId="47935"/>
    <cellStyle name="20% - Accent4 2 2 2 8 2 3" xfId="38291"/>
    <cellStyle name="20% - Accent4 2 2 2 8 3" xfId="23371"/>
    <cellStyle name="20% - Accent4 2 2 2 8 3 2" xfId="43126"/>
    <cellStyle name="20% - Accent4 2 2 2 8 4" xfId="33482"/>
    <cellStyle name="20% - Accent4 2 2 2 9" xfId="3170"/>
    <cellStyle name="20% - Accent4 2 2 2 9 2" xfId="18466"/>
    <cellStyle name="20% - Accent4 2 2 2 9 2 2" xfId="28182"/>
    <cellStyle name="20% - Accent4 2 2 2 9 2 2 2" xfId="47936"/>
    <cellStyle name="20% - Accent4 2 2 2 9 2 3" xfId="38292"/>
    <cellStyle name="20% - Accent4 2 2 2 9 3" xfId="23372"/>
    <cellStyle name="20% - Accent4 2 2 2 9 3 2" xfId="43127"/>
    <cellStyle name="20% - Accent4 2 2 2 9 4" xfId="33483"/>
    <cellStyle name="20% - Accent4 2 2 3" xfId="3171"/>
    <cellStyle name="20% - Accent4 2 2 3 10" xfId="33484"/>
    <cellStyle name="20% - Accent4 2 2 3 2" xfId="3172"/>
    <cellStyle name="20% - Accent4 2 2 3 2 2" xfId="3173"/>
    <cellStyle name="20% - Accent4 2 2 3 2 2 2" xfId="3174"/>
    <cellStyle name="20% - Accent4 2 2 3 2 2 2 2" xfId="3175"/>
    <cellStyle name="20% - Accent4 2 2 3 2 2 2 2 2" xfId="18471"/>
    <cellStyle name="20% - Accent4 2 2 3 2 2 2 2 2 2" xfId="28187"/>
    <cellStyle name="20% - Accent4 2 2 3 2 2 2 2 2 2 2" xfId="47941"/>
    <cellStyle name="20% - Accent4 2 2 3 2 2 2 2 2 3" xfId="38297"/>
    <cellStyle name="20% - Accent4 2 2 3 2 2 2 2 3" xfId="23377"/>
    <cellStyle name="20% - Accent4 2 2 3 2 2 2 2 3 2" xfId="43132"/>
    <cellStyle name="20% - Accent4 2 2 3 2 2 2 2 4" xfId="33488"/>
    <cellStyle name="20% - Accent4 2 2 3 2 2 2 3" xfId="18470"/>
    <cellStyle name="20% - Accent4 2 2 3 2 2 2 3 2" xfId="28186"/>
    <cellStyle name="20% - Accent4 2 2 3 2 2 2 3 2 2" xfId="47940"/>
    <cellStyle name="20% - Accent4 2 2 3 2 2 2 3 3" xfId="38296"/>
    <cellStyle name="20% - Accent4 2 2 3 2 2 2 4" xfId="23376"/>
    <cellStyle name="20% - Accent4 2 2 3 2 2 2 4 2" xfId="43131"/>
    <cellStyle name="20% - Accent4 2 2 3 2 2 2 5" xfId="33487"/>
    <cellStyle name="20% - Accent4 2 2 3 2 2 3" xfId="3176"/>
    <cellStyle name="20% - Accent4 2 2 3 2 2 3 2" xfId="18472"/>
    <cellStyle name="20% - Accent4 2 2 3 2 2 3 2 2" xfId="28188"/>
    <cellStyle name="20% - Accent4 2 2 3 2 2 3 2 2 2" xfId="47942"/>
    <cellStyle name="20% - Accent4 2 2 3 2 2 3 2 3" xfId="38298"/>
    <cellStyle name="20% - Accent4 2 2 3 2 2 3 3" xfId="23378"/>
    <cellStyle name="20% - Accent4 2 2 3 2 2 3 3 2" xfId="43133"/>
    <cellStyle name="20% - Accent4 2 2 3 2 2 3 4" xfId="33489"/>
    <cellStyle name="20% - Accent4 2 2 3 2 2 4" xfId="18469"/>
    <cellStyle name="20% - Accent4 2 2 3 2 2 4 2" xfId="28185"/>
    <cellStyle name="20% - Accent4 2 2 3 2 2 4 2 2" xfId="47939"/>
    <cellStyle name="20% - Accent4 2 2 3 2 2 4 3" xfId="38295"/>
    <cellStyle name="20% - Accent4 2 2 3 2 2 5" xfId="23375"/>
    <cellStyle name="20% - Accent4 2 2 3 2 2 5 2" xfId="43130"/>
    <cellStyle name="20% - Accent4 2 2 3 2 2 6" xfId="33486"/>
    <cellStyle name="20% - Accent4 2 2 3 2 3" xfId="3177"/>
    <cellStyle name="20% - Accent4 2 2 3 2 3 2" xfId="3178"/>
    <cellStyle name="20% - Accent4 2 2 3 2 3 2 2" xfId="18474"/>
    <cellStyle name="20% - Accent4 2 2 3 2 3 2 2 2" xfId="28190"/>
    <cellStyle name="20% - Accent4 2 2 3 2 3 2 2 2 2" xfId="47944"/>
    <cellStyle name="20% - Accent4 2 2 3 2 3 2 2 3" xfId="38300"/>
    <cellStyle name="20% - Accent4 2 2 3 2 3 2 3" xfId="23380"/>
    <cellStyle name="20% - Accent4 2 2 3 2 3 2 3 2" xfId="43135"/>
    <cellStyle name="20% - Accent4 2 2 3 2 3 2 4" xfId="33491"/>
    <cellStyle name="20% - Accent4 2 2 3 2 3 3" xfId="18473"/>
    <cellStyle name="20% - Accent4 2 2 3 2 3 3 2" xfId="28189"/>
    <cellStyle name="20% - Accent4 2 2 3 2 3 3 2 2" xfId="47943"/>
    <cellStyle name="20% - Accent4 2 2 3 2 3 3 3" xfId="38299"/>
    <cellStyle name="20% - Accent4 2 2 3 2 3 4" xfId="23379"/>
    <cellStyle name="20% - Accent4 2 2 3 2 3 4 2" xfId="43134"/>
    <cellStyle name="20% - Accent4 2 2 3 2 3 5" xfId="33490"/>
    <cellStyle name="20% - Accent4 2 2 3 2 4" xfId="3179"/>
    <cellStyle name="20% - Accent4 2 2 3 2 4 2" xfId="18475"/>
    <cellStyle name="20% - Accent4 2 2 3 2 4 2 2" xfId="28191"/>
    <cellStyle name="20% - Accent4 2 2 3 2 4 2 2 2" xfId="47945"/>
    <cellStyle name="20% - Accent4 2 2 3 2 4 2 3" xfId="38301"/>
    <cellStyle name="20% - Accent4 2 2 3 2 4 3" xfId="23381"/>
    <cellStyle name="20% - Accent4 2 2 3 2 4 3 2" xfId="43136"/>
    <cellStyle name="20% - Accent4 2 2 3 2 4 4" xfId="33492"/>
    <cellStyle name="20% - Accent4 2 2 3 2 5" xfId="18468"/>
    <cellStyle name="20% - Accent4 2 2 3 2 5 2" xfId="28184"/>
    <cellStyle name="20% - Accent4 2 2 3 2 5 2 2" xfId="47938"/>
    <cellStyle name="20% - Accent4 2 2 3 2 5 3" xfId="38294"/>
    <cellStyle name="20% - Accent4 2 2 3 2 6" xfId="23374"/>
    <cellStyle name="20% - Accent4 2 2 3 2 6 2" xfId="43129"/>
    <cellStyle name="20% - Accent4 2 2 3 2 7" xfId="33485"/>
    <cellStyle name="20% - Accent4 2 2 3 3" xfId="3180"/>
    <cellStyle name="20% - Accent4 2 2 3 3 2" xfId="3181"/>
    <cellStyle name="20% - Accent4 2 2 3 3 2 2" xfId="3182"/>
    <cellStyle name="20% - Accent4 2 2 3 3 2 2 2" xfId="18478"/>
    <cellStyle name="20% - Accent4 2 2 3 3 2 2 2 2" xfId="28194"/>
    <cellStyle name="20% - Accent4 2 2 3 3 2 2 2 2 2" xfId="47948"/>
    <cellStyle name="20% - Accent4 2 2 3 3 2 2 2 3" xfId="38304"/>
    <cellStyle name="20% - Accent4 2 2 3 3 2 2 3" xfId="23384"/>
    <cellStyle name="20% - Accent4 2 2 3 3 2 2 3 2" xfId="43139"/>
    <cellStyle name="20% - Accent4 2 2 3 3 2 2 4" xfId="33495"/>
    <cellStyle name="20% - Accent4 2 2 3 3 2 3" xfId="18477"/>
    <cellStyle name="20% - Accent4 2 2 3 3 2 3 2" xfId="28193"/>
    <cellStyle name="20% - Accent4 2 2 3 3 2 3 2 2" xfId="47947"/>
    <cellStyle name="20% - Accent4 2 2 3 3 2 3 3" xfId="38303"/>
    <cellStyle name="20% - Accent4 2 2 3 3 2 4" xfId="23383"/>
    <cellStyle name="20% - Accent4 2 2 3 3 2 4 2" xfId="43138"/>
    <cellStyle name="20% - Accent4 2 2 3 3 2 5" xfId="33494"/>
    <cellStyle name="20% - Accent4 2 2 3 3 3" xfId="3183"/>
    <cellStyle name="20% - Accent4 2 2 3 3 3 2" xfId="18479"/>
    <cellStyle name="20% - Accent4 2 2 3 3 3 2 2" xfId="28195"/>
    <cellStyle name="20% - Accent4 2 2 3 3 3 2 2 2" xfId="47949"/>
    <cellStyle name="20% - Accent4 2 2 3 3 3 2 3" xfId="38305"/>
    <cellStyle name="20% - Accent4 2 2 3 3 3 3" xfId="23385"/>
    <cellStyle name="20% - Accent4 2 2 3 3 3 3 2" xfId="43140"/>
    <cellStyle name="20% - Accent4 2 2 3 3 3 4" xfId="33496"/>
    <cellStyle name="20% - Accent4 2 2 3 3 4" xfId="18476"/>
    <cellStyle name="20% - Accent4 2 2 3 3 4 2" xfId="28192"/>
    <cellStyle name="20% - Accent4 2 2 3 3 4 2 2" xfId="47946"/>
    <cellStyle name="20% - Accent4 2 2 3 3 4 3" xfId="38302"/>
    <cellStyle name="20% - Accent4 2 2 3 3 5" xfId="23382"/>
    <cellStyle name="20% - Accent4 2 2 3 3 5 2" xfId="43137"/>
    <cellStyle name="20% - Accent4 2 2 3 3 6" xfId="33493"/>
    <cellStyle name="20% - Accent4 2 2 3 4" xfId="3184"/>
    <cellStyle name="20% - Accent4 2 2 3 4 2" xfId="3185"/>
    <cellStyle name="20% - Accent4 2 2 3 4 2 2" xfId="18481"/>
    <cellStyle name="20% - Accent4 2 2 3 4 2 2 2" xfId="28197"/>
    <cellStyle name="20% - Accent4 2 2 3 4 2 2 2 2" xfId="47951"/>
    <cellStyle name="20% - Accent4 2 2 3 4 2 2 3" xfId="38307"/>
    <cellStyle name="20% - Accent4 2 2 3 4 2 3" xfId="23387"/>
    <cellStyle name="20% - Accent4 2 2 3 4 2 3 2" xfId="43142"/>
    <cellStyle name="20% - Accent4 2 2 3 4 2 4" xfId="33498"/>
    <cellStyle name="20% - Accent4 2 2 3 4 3" xfId="18480"/>
    <cellStyle name="20% - Accent4 2 2 3 4 3 2" xfId="28196"/>
    <cellStyle name="20% - Accent4 2 2 3 4 3 2 2" xfId="47950"/>
    <cellStyle name="20% - Accent4 2 2 3 4 3 3" xfId="38306"/>
    <cellStyle name="20% - Accent4 2 2 3 4 4" xfId="23386"/>
    <cellStyle name="20% - Accent4 2 2 3 4 4 2" xfId="43141"/>
    <cellStyle name="20% - Accent4 2 2 3 4 5" xfId="33497"/>
    <cellStyle name="20% - Accent4 2 2 3 5" xfId="3186"/>
    <cellStyle name="20% - Accent4 2 2 3 5 2" xfId="18482"/>
    <cellStyle name="20% - Accent4 2 2 3 5 2 2" xfId="28198"/>
    <cellStyle name="20% - Accent4 2 2 3 5 2 2 2" xfId="47952"/>
    <cellStyle name="20% - Accent4 2 2 3 5 2 3" xfId="38308"/>
    <cellStyle name="20% - Accent4 2 2 3 5 3" xfId="23388"/>
    <cellStyle name="20% - Accent4 2 2 3 5 3 2" xfId="43143"/>
    <cellStyle name="20% - Accent4 2 2 3 5 4" xfId="33499"/>
    <cellStyle name="20% - Accent4 2 2 3 6" xfId="3187"/>
    <cellStyle name="20% - Accent4 2 2 3 6 2" xfId="18483"/>
    <cellStyle name="20% - Accent4 2 2 3 6 2 2" xfId="28199"/>
    <cellStyle name="20% - Accent4 2 2 3 6 2 2 2" xfId="47953"/>
    <cellStyle name="20% - Accent4 2 2 3 6 2 3" xfId="38309"/>
    <cellStyle name="20% - Accent4 2 2 3 6 3" xfId="23389"/>
    <cellStyle name="20% - Accent4 2 2 3 6 3 2" xfId="43144"/>
    <cellStyle name="20% - Accent4 2 2 3 6 4" xfId="33500"/>
    <cellStyle name="20% - Accent4 2 2 3 7" xfId="3188"/>
    <cellStyle name="20% - Accent4 2 2 3 7 2" xfId="18484"/>
    <cellStyle name="20% - Accent4 2 2 3 7 2 2" xfId="28200"/>
    <cellStyle name="20% - Accent4 2 2 3 7 2 2 2" xfId="47954"/>
    <cellStyle name="20% - Accent4 2 2 3 7 2 3" xfId="38310"/>
    <cellStyle name="20% - Accent4 2 2 3 7 3" xfId="23390"/>
    <cellStyle name="20% - Accent4 2 2 3 7 3 2" xfId="43145"/>
    <cellStyle name="20% - Accent4 2 2 3 7 4" xfId="33501"/>
    <cellStyle name="20% - Accent4 2 2 3 8" xfId="18467"/>
    <cellStyle name="20% - Accent4 2 2 3 8 2" xfId="28183"/>
    <cellStyle name="20% - Accent4 2 2 3 8 2 2" xfId="47937"/>
    <cellStyle name="20% - Accent4 2 2 3 8 3" xfId="38293"/>
    <cellStyle name="20% - Accent4 2 2 3 9" xfId="23373"/>
    <cellStyle name="20% - Accent4 2 2 3 9 2" xfId="43128"/>
    <cellStyle name="20% - Accent4 2 2 4" xfId="3189"/>
    <cellStyle name="20% - Accent4 2 2 4 2" xfId="3190"/>
    <cellStyle name="20% - Accent4 2 2 4 2 2" xfId="3191"/>
    <cellStyle name="20% - Accent4 2 2 4 2 2 2" xfId="3192"/>
    <cellStyle name="20% - Accent4 2 2 4 2 2 2 2" xfId="18488"/>
    <cellStyle name="20% - Accent4 2 2 4 2 2 2 2 2" xfId="28204"/>
    <cellStyle name="20% - Accent4 2 2 4 2 2 2 2 2 2" xfId="47958"/>
    <cellStyle name="20% - Accent4 2 2 4 2 2 2 2 3" xfId="38314"/>
    <cellStyle name="20% - Accent4 2 2 4 2 2 2 3" xfId="23394"/>
    <cellStyle name="20% - Accent4 2 2 4 2 2 2 3 2" xfId="43149"/>
    <cellStyle name="20% - Accent4 2 2 4 2 2 2 4" xfId="33505"/>
    <cellStyle name="20% - Accent4 2 2 4 2 2 3" xfId="18487"/>
    <cellStyle name="20% - Accent4 2 2 4 2 2 3 2" xfId="28203"/>
    <cellStyle name="20% - Accent4 2 2 4 2 2 3 2 2" xfId="47957"/>
    <cellStyle name="20% - Accent4 2 2 4 2 2 3 3" xfId="38313"/>
    <cellStyle name="20% - Accent4 2 2 4 2 2 4" xfId="23393"/>
    <cellStyle name="20% - Accent4 2 2 4 2 2 4 2" xfId="43148"/>
    <cellStyle name="20% - Accent4 2 2 4 2 2 5" xfId="33504"/>
    <cellStyle name="20% - Accent4 2 2 4 2 3" xfId="3193"/>
    <cellStyle name="20% - Accent4 2 2 4 2 3 2" xfId="18489"/>
    <cellStyle name="20% - Accent4 2 2 4 2 3 2 2" xfId="28205"/>
    <cellStyle name="20% - Accent4 2 2 4 2 3 2 2 2" xfId="47959"/>
    <cellStyle name="20% - Accent4 2 2 4 2 3 2 3" xfId="38315"/>
    <cellStyle name="20% - Accent4 2 2 4 2 3 3" xfId="23395"/>
    <cellStyle name="20% - Accent4 2 2 4 2 3 3 2" xfId="43150"/>
    <cellStyle name="20% - Accent4 2 2 4 2 3 4" xfId="33506"/>
    <cellStyle name="20% - Accent4 2 2 4 2 4" xfId="18486"/>
    <cellStyle name="20% - Accent4 2 2 4 2 4 2" xfId="28202"/>
    <cellStyle name="20% - Accent4 2 2 4 2 4 2 2" xfId="47956"/>
    <cellStyle name="20% - Accent4 2 2 4 2 4 3" xfId="38312"/>
    <cellStyle name="20% - Accent4 2 2 4 2 5" xfId="23392"/>
    <cellStyle name="20% - Accent4 2 2 4 2 5 2" xfId="43147"/>
    <cellStyle name="20% - Accent4 2 2 4 2 6" xfId="33503"/>
    <cellStyle name="20% - Accent4 2 2 4 3" xfId="3194"/>
    <cellStyle name="20% - Accent4 2 2 4 3 2" xfId="3195"/>
    <cellStyle name="20% - Accent4 2 2 4 3 2 2" xfId="18491"/>
    <cellStyle name="20% - Accent4 2 2 4 3 2 2 2" xfId="28207"/>
    <cellStyle name="20% - Accent4 2 2 4 3 2 2 2 2" xfId="47961"/>
    <cellStyle name="20% - Accent4 2 2 4 3 2 2 3" xfId="38317"/>
    <cellStyle name="20% - Accent4 2 2 4 3 2 3" xfId="23397"/>
    <cellStyle name="20% - Accent4 2 2 4 3 2 3 2" xfId="43152"/>
    <cellStyle name="20% - Accent4 2 2 4 3 2 4" xfId="33508"/>
    <cellStyle name="20% - Accent4 2 2 4 3 3" xfId="18490"/>
    <cellStyle name="20% - Accent4 2 2 4 3 3 2" xfId="28206"/>
    <cellStyle name="20% - Accent4 2 2 4 3 3 2 2" xfId="47960"/>
    <cellStyle name="20% - Accent4 2 2 4 3 3 3" xfId="38316"/>
    <cellStyle name="20% - Accent4 2 2 4 3 4" xfId="23396"/>
    <cellStyle name="20% - Accent4 2 2 4 3 4 2" xfId="43151"/>
    <cellStyle name="20% - Accent4 2 2 4 3 5" xfId="33507"/>
    <cellStyle name="20% - Accent4 2 2 4 4" xfId="3196"/>
    <cellStyle name="20% - Accent4 2 2 4 4 2" xfId="18492"/>
    <cellStyle name="20% - Accent4 2 2 4 4 2 2" xfId="28208"/>
    <cellStyle name="20% - Accent4 2 2 4 4 2 2 2" xfId="47962"/>
    <cellStyle name="20% - Accent4 2 2 4 4 2 3" xfId="38318"/>
    <cellStyle name="20% - Accent4 2 2 4 4 3" xfId="23398"/>
    <cellStyle name="20% - Accent4 2 2 4 4 3 2" xfId="43153"/>
    <cellStyle name="20% - Accent4 2 2 4 4 4" xfId="33509"/>
    <cellStyle name="20% - Accent4 2 2 4 5" xfId="18485"/>
    <cellStyle name="20% - Accent4 2 2 4 5 2" xfId="28201"/>
    <cellStyle name="20% - Accent4 2 2 4 5 2 2" xfId="47955"/>
    <cellStyle name="20% - Accent4 2 2 4 5 3" xfId="38311"/>
    <cellStyle name="20% - Accent4 2 2 4 6" xfId="23391"/>
    <cellStyle name="20% - Accent4 2 2 4 6 2" xfId="43146"/>
    <cellStyle name="20% - Accent4 2 2 4 7" xfId="33502"/>
    <cellStyle name="20% - Accent4 2 2 5" xfId="3197"/>
    <cellStyle name="20% - Accent4 2 2 5 2" xfId="3198"/>
    <cellStyle name="20% - Accent4 2 2 5 2 2" xfId="3199"/>
    <cellStyle name="20% - Accent4 2 2 5 2 2 2" xfId="3200"/>
    <cellStyle name="20% - Accent4 2 2 5 2 2 2 2" xfId="18496"/>
    <cellStyle name="20% - Accent4 2 2 5 2 2 2 2 2" xfId="28212"/>
    <cellStyle name="20% - Accent4 2 2 5 2 2 2 2 2 2" xfId="47966"/>
    <cellStyle name="20% - Accent4 2 2 5 2 2 2 2 3" xfId="38322"/>
    <cellStyle name="20% - Accent4 2 2 5 2 2 2 3" xfId="23402"/>
    <cellStyle name="20% - Accent4 2 2 5 2 2 2 3 2" xfId="43157"/>
    <cellStyle name="20% - Accent4 2 2 5 2 2 2 4" xfId="33513"/>
    <cellStyle name="20% - Accent4 2 2 5 2 2 3" xfId="18495"/>
    <cellStyle name="20% - Accent4 2 2 5 2 2 3 2" xfId="28211"/>
    <cellStyle name="20% - Accent4 2 2 5 2 2 3 2 2" xfId="47965"/>
    <cellStyle name="20% - Accent4 2 2 5 2 2 3 3" xfId="38321"/>
    <cellStyle name="20% - Accent4 2 2 5 2 2 4" xfId="23401"/>
    <cellStyle name="20% - Accent4 2 2 5 2 2 4 2" xfId="43156"/>
    <cellStyle name="20% - Accent4 2 2 5 2 2 5" xfId="33512"/>
    <cellStyle name="20% - Accent4 2 2 5 2 3" xfId="3201"/>
    <cellStyle name="20% - Accent4 2 2 5 2 3 2" xfId="18497"/>
    <cellStyle name="20% - Accent4 2 2 5 2 3 2 2" xfId="28213"/>
    <cellStyle name="20% - Accent4 2 2 5 2 3 2 2 2" xfId="47967"/>
    <cellStyle name="20% - Accent4 2 2 5 2 3 2 3" xfId="38323"/>
    <cellStyle name="20% - Accent4 2 2 5 2 3 3" xfId="23403"/>
    <cellStyle name="20% - Accent4 2 2 5 2 3 3 2" xfId="43158"/>
    <cellStyle name="20% - Accent4 2 2 5 2 3 4" xfId="33514"/>
    <cellStyle name="20% - Accent4 2 2 5 2 4" xfId="18494"/>
    <cellStyle name="20% - Accent4 2 2 5 2 4 2" xfId="28210"/>
    <cellStyle name="20% - Accent4 2 2 5 2 4 2 2" xfId="47964"/>
    <cellStyle name="20% - Accent4 2 2 5 2 4 3" xfId="38320"/>
    <cellStyle name="20% - Accent4 2 2 5 2 5" xfId="23400"/>
    <cellStyle name="20% - Accent4 2 2 5 2 5 2" xfId="43155"/>
    <cellStyle name="20% - Accent4 2 2 5 2 6" xfId="33511"/>
    <cellStyle name="20% - Accent4 2 2 5 3" xfId="3202"/>
    <cellStyle name="20% - Accent4 2 2 5 3 2" xfId="3203"/>
    <cellStyle name="20% - Accent4 2 2 5 3 2 2" xfId="18499"/>
    <cellStyle name="20% - Accent4 2 2 5 3 2 2 2" xfId="28215"/>
    <cellStyle name="20% - Accent4 2 2 5 3 2 2 2 2" xfId="47969"/>
    <cellStyle name="20% - Accent4 2 2 5 3 2 2 3" xfId="38325"/>
    <cellStyle name="20% - Accent4 2 2 5 3 2 3" xfId="23405"/>
    <cellStyle name="20% - Accent4 2 2 5 3 2 3 2" xfId="43160"/>
    <cellStyle name="20% - Accent4 2 2 5 3 2 4" xfId="33516"/>
    <cellStyle name="20% - Accent4 2 2 5 3 3" xfId="18498"/>
    <cellStyle name="20% - Accent4 2 2 5 3 3 2" xfId="28214"/>
    <cellStyle name="20% - Accent4 2 2 5 3 3 2 2" xfId="47968"/>
    <cellStyle name="20% - Accent4 2 2 5 3 3 3" xfId="38324"/>
    <cellStyle name="20% - Accent4 2 2 5 3 4" xfId="23404"/>
    <cellStyle name="20% - Accent4 2 2 5 3 4 2" xfId="43159"/>
    <cellStyle name="20% - Accent4 2 2 5 3 5" xfId="33515"/>
    <cellStyle name="20% - Accent4 2 2 5 4" xfId="3204"/>
    <cellStyle name="20% - Accent4 2 2 5 4 2" xfId="18500"/>
    <cellStyle name="20% - Accent4 2 2 5 4 2 2" xfId="28216"/>
    <cellStyle name="20% - Accent4 2 2 5 4 2 2 2" xfId="47970"/>
    <cellStyle name="20% - Accent4 2 2 5 4 2 3" xfId="38326"/>
    <cellStyle name="20% - Accent4 2 2 5 4 3" xfId="23406"/>
    <cellStyle name="20% - Accent4 2 2 5 4 3 2" xfId="43161"/>
    <cellStyle name="20% - Accent4 2 2 5 4 4" xfId="33517"/>
    <cellStyle name="20% - Accent4 2 2 5 5" xfId="18493"/>
    <cellStyle name="20% - Accent4 2 2 5 5 2" xfId="28209"/>
    <cellStyle name="20% - Accent4 2 2 5 5 2 2" xfId="47963"/>
    <cellStyle name="20% - Accent4 2 2 5 5 3" xfId="38319"/>
    <cellStyle name="20% - Accent4 2 2 5 6" xfId="23399"/>
    <cellStyle name="20% - Accent4 2 2 5 6 2" xfId="43154"/>
    <cellStyle name="20% - Accent4 2 2 5 7" xfId="33510"/>
    <cellStyle name="20% - Accent4 2 2 6" xfId="3205"/>
    <cellStyle name="20% - Accent4 2 2 7" xfId="3206"/>
    <cellStyle name="20% - Accent4 2 2 7 2" xfId="3207"/>
    <cellStyle name="20% - Accent4 2 2 7 2 2" xfId="3208"/>
    <cellStyle name="20% - Accent4 2 2 7 2 2 2" xfId="18503"/>
    <cellStyle name="20% - Accent4 2 2 7 2 2 2 2" xfId="28219"/>
    <cellStyle name="20% - Accent4 2 2 7 2 2 2 2 2" xfId="47973"/>
    <cellStyle name="20% - Accent4 2 2 7 2 2 2 3" xfId="38329"/>
    <cellStyle name="20% - Accent4 2 2 7 2 2 3" xfId="23409"/>
    <cellStyle name="20% - Accent4 2 2 7 2 2 3 2" xfId="43164"/>
    <cellStyle name="20% - Accent4 2 2 7 2 2 4" xfId="33520"/>
    <cellStyle name="20% - Accent4 2 2 7 2 3" xfId="18502"/>
    <cellStyle name="20% - Accent4 2 2 7 2 3 2" xfId="28218"/>
    <cellStyle name="20% - Accent4 2 2 7 2 3 2 2" xfId="47972"/>
    <cellStyle name="20% - Accent4 2 2 7 2 3 3" xfId="38328"/>
    <cellStyle name="20% - Accent4 2 2 7 2 4" xfId="23408"/>
    <cellStyle name="20% - Accent4 2 2 7 2 4 2" xfId="43163"/>
    <cellStyle name="20% - Accent4 2 2 7 2 5" xfId="33519"/>
    <cellStyle name="20% - Accent4 2 2 7 3" xfId="3209"/>
    <cellStyle name="20% - Accent4 2 2 7 3 2" xfId="18504"/>
    <cellStyle name="20% - Accent4 2 2 7 3 2 2" xfId="28220"/>
    <cellStyle name="20% - Accent4 2 2 7 3 2 2 2" xfId="47974"/>
    <cellStyle name="20% - Accent4 2 2 7 3 2 3" xfId="38330"/>
    <cellStyle name="20% - Accent4 2 2 7 3 3" xfId="23410"/>
    <cellStyle name="20% - Accent4 2 2 7 3 3 2" xfId="43165"/>
    <cellStyle name="20% - Accent4 2 2 7 3 4" xfId="33521"/>
    <cellStyle name="20% - Accent4 2 2 7 4" xfId="18501"/>
    <cellStyle name="20% - Accent4 2 2 7 4 2" xfId="28217"/>
    <cellStyle name="20% - Accent4 2 2 7 4 2 2" xfId="47971"/>
    <cellStyle name="20% - Accent4 2 2 7 4 3" xfId="38327"/>
    <cellStyle name="20% - Accent4 2 2 7 5" xfId="23407"/>
    <cellStyle name="20% - Accent4 2 2 7 5 2" xfId="43162"/>
    <cellStyle name="20% - Accent4 2 2 7 6" xfId="33518"/>
    <cellStyle name="20% - Accent4 2 2 8" xfId="3210"/>
    <cellStyle name="20% - Accent4 2 2 8 2" xfId="3211"/>
    <cellStyle name="20% - Accent4 2 2 8 2 2" xfId="18506"/>
    <cellStyle name="20% - Accent4 2 2 8 2 2 2" xfId="28222"/>
    <cellStyle name="20% - Accent4 2 2 8 2 2 2 2" xfId="47976"/>
    <cellStyle name="20% - Accent4 2 2 8 2 2 3" xfId="38332"/>
    <cellStyle name="20% - Accent4 2 2 8 2 3" xfId="23412"/>
    <cellStyle name="20% - Accent4 2 2 8 2 3 2" xfId="43167"/>
    <cellStyle name="20% - Accent4 2 2 8 2 4" xfId="33523"/>
    <cellStyle name="20% - Accent4 2 2 8 3" xfId="18505"/>
    <cellStyle name="20% - Accent4 2 2 8 3 2" xfId="28221"/>
    <cellStyle name="20% - Accent4 2 2 8 3 2 2" xfId="47975"/>
    <cellStyle name="20% - Accent4 2 2 8 3 3" xfId="38331"/>
    <cellStyle name="20% - Accent4 2 2 8 4" xfId="23411"/>
    <cellStyle name="20% - Accent4 2 2 8 4 2" xfId="43166"/>
    <cellStyle name="20% - Accent4 2 2 8 5" xfId="33522"/>
    <cellStyle name="20% - Accent4 2 2 9" xfId="3212"/>
    <cellStyle name="20% - Accent4 2 2 9 2" xfId="3213"/>
    <cellStyle name="20% - Accent4 2 2 9 2 2" xfId="18508"/>
    <cellStyle name="20% - Accent4 2 2 9 2 2 2" xfId="28224"/>
    <cellStyle name="20% - Accent4 2 2 9 2 2 2 2" xfId="47978"/>
    <cellStyle name="20% - Accent4 2 2 9 2 2 3" xfId="38334"/>
    <cellStyle name="20% - Accent4 2 2 9 2 3" xfId="23414"/>
    <cellStyle name="20% - Accent4 2 2 9 2 3 2" xfId="43169"/>
    <cellStyle name="20% - Accent4 2 2 9 2 4" xfId="33525"/>
    <cellStyle name="20% - Accent4 2 2 9 3" xfId="18507"/>
    <cellStyle name="20% - Accent4 2 2 9 3 2" xfId="28223"/>
    <cellStyle name="20% - Accent4 2 2 9 3 2 2" xfId="47977"/>
    <cellStyle name="20% - Accent4 2 2 9 3 3" xfId="38333"/>
    <cellStyle name="20% - Accent4 2 2 9 4" xfId="23413"/>
    <cellStyle name="20% - Accent4 2 2 9 4 2" xfId="43168"/>
    <cellStyle name="20% - Accent4 2 2 9 5" xfId="33524"/>
    <cellStyle name="20% - Accent4 2 3" xfId="66"/>
    <cellStyle name="20% - Accent4 2 3 10" xfId="3214"/>
    <cellStyle name="20% - Accent4 2 3 10 2" xfId="18509"/>
    <cellStyle name="20% - Accent4 2 3 10 2 2" xfId="28225"/>
    <cellStyle name="20% - Accent4 2 3 10 2 2 2" xfId="47979"/>
    <cellStyle name="20% - Accent4 2 3 10 2 3" xfId="38335"/>
    <cellStyle name="20% - Accent4 2 3 10 3" xfId="23415"/>
    <cellStyle name="20% - Accent4 2 3 10 3 2" xfId="43170"/>
    <cellStyle name="20% - Accent4 2 3 10 4" xfId="33526"/>
    <cellStyle name="20% - Accent4 2 3 11" xfId="15444"/>
    <cellStyle name="20% - Accent4 2 3 11 2" xfId="20316"/>
    <cellStyle name="20% - Accent4 2 3 11 2 2" xfId="30030"/>
    <cellStyle name="20% - Accent4 2 3 11 2 2 2" xfId="49783"/>
    <cellStyle name="20% - Accent4 2 3 11 2 3" xfId="40139"/>
    <cellStyle name="20% - Accent4 2 3 11 3" xfId="25218"/>
    <cellStyle name="20% - Accent4 2 3 11 3 2" xfId="44972"/>
    <cellStyle name="20% - Accent4 2 3 11 4" xfId="35328"/>
    <cellStyle name="20% - Accent4 2 3 12" xfId="15862"/>
    <cellStyle name="20% - Accent4 2 3 12 2" xfId="25578"/>
    <cellStyle name="20% - Accent4 2 3 12 2 2" xfId="45332"/>
    <cellStyle name="20% - Accent4 2 3 12 3" xfId="35688"/>
    <cellStyle name="20% - Accent4 2 3 13" xfId="20737"/>
    <cellStyle name="20% - Accent4 2 3 13 2" xfId="40517"/>
    <cellStyle name="20% - Accent4 2 3 14" xfId="30459"/>
    <cellStyle name="20% - Accent4 2 3 14 2" xfId="50207"/>
    <cellStyle name="20% - Accent4 2 3 15" xfId="30848"/>
    <cellStyle name="20% - Accent4 2 3 2" xfId="777"/>
    <cellStyle name="20% - Accent4 2 3 2 10" xfId="31141"/>
    <cellStyle name="20% - Accent4 2 3 2 2" xfId="3215"/>
    <cellStyle name="20% - Accent4 2 3 2 2 2" xfId="3216"/>
    <cellStyle name="20% - Accent4 2 3 2 2 2 2" xfId="3217"/>
    <cellStyle name="20% - Accent4 2 3 2 2 2 2 2" xfId="3218"/>
    <cellStyle name="20% - Accent4 2 3 2 2 2 2 2 2" xfId="18513"/>
    <cellStyle name="20% - Accent4 2 3 2 2 2 2 2 2 2" xfId="28229"/>
    <cellStyle name="20% - Accent4 2 3 2 2 2 2 2 2 2 2" xfId="47983"/>
    <cellStyle name="20% - Accent4 2 3 2 2 2 2 2 2 3" xfId="38339"/>
    <cellStyle name="20% - Accent4 2 3 2 2 2 2 2 3" xfId="23419"/>
    <cellStyle name="20% - Accent4 2 3 2 2 2 2 2 3 2" xfId="43174"/>
    <cellStyle name="20% - Accent4 2 3 2 2 2 2 2 4" xfId="33530"/>
    <cellStyle name="20% - Accent4 2 3 2 2 2 2 3" xfId="18512"/>
    <cellStyle name="20% - Accent4 2 3 2 2 2 2 3 2" xfId="28228"/>
    <cellStyle name="20% - Accent4 2 3 2 2 2 2 3 2 2" xfId="47982"/>
    <cellStyle name="20% - Accent4 2 3 2 2 2 2 3 3" xfId="38338"/>
    <cellStyle name="20% - Accent4 2 3 2 2 2 2 4" xfId="23418"/>
    <cellStyle name="20% - Accent4 2 3 2 2 2 2 4 2" xfId="43173"/>
    <cellStyle name="20% - Accent4 2 3 2 2 2 2 5" xfId="33529"/>
    <cellStyle name="20% - Accent4 2 3 2 2 2 3" xfId="3219"/>
    <cellStyle name="20% - Accent4 2 3 2 2 2 3 2" xfId="18514"/>
    <cellStyle name="20% - Accent4 2 3 2 2 2 3 2 2" xfId="28230"/>
    <cellStyle name="20% - Accent4 2 3 2 2 2 3 2 2 2" xfId="47984"/>
    <cellStyle name="20% - Accent4 2 3 2 2 2 3 2 3" xfId="38340"/>
    <cellStyle name="20% - Accent4 2 3 2 2 2 3 3" xfId="23420"/>
    <cellStyle name="20% - Accent4 2 3 2 2 2 3 3 2" xfId="43175"/>
    <cellStyle name="20% - Accent4 2 3 2 2 2 3 4" xfId="33531"/>
    <cellStyle name="20% - Accent4 2 3 2 2 2 4" xfId="18511"/>
    <cellStyle name="20% - Accent4 2 3 2 2 2 4 2" xfId="28227"/>
    <cellStyle name="20% - Accent4 2 3 2 2 2 4 2 2" xfId="47981"/>
    <cellStyle name="20% - Accent4 2 3 2 2 2 4 3" xfId="38337"/>
    <cellStyle name="20% - Accent4 2 3 2 2 2 5" xfId="23417"/>
    <cellStyle name="20% - Accent4 2 3 2 2 2 5 2" xfId="43172"/>
    <cellStyle name="20% - Accent4 2 3 2 2 2 6" xfId="33528"/>
    <cellStyle name="20% - Accent4 2 3 2 2 3" xfId="3220"/>
    <cellStyle name="20% - Accent4 2 3 2 2 3 2" xfId="3221"/>
    <cellStyle name="20% - Accent4 2 3 2 2 3 2 2" xfId="18516"/>
    <cellStyle name="20% - Accent4 2 3 2 2 3 2 2 2" xfId="28232"/>
    <cellStyle name="20% - Accent4 2 3 2 2 3 2 2 2 2" xfId="47986"/>
    <cellStyle name="20% - Accent4 2 3 2 2 3 2 2 3" xfId="38342"/>
    <cellStyle name="20% - Accent4 2 3 2 2 3 2 3" xfId="23422"/>
    <cellStyle name="20% - Accent4 2 3 2 2 3 2 3 2" xfId="43177"/>
    <cellStyle name="20% - Accent4 2 3 2 2 3 2 4" xfId="33533"/>
    <cellStyle name="20% - Accent4 2 3 2 2 3 3" xfId="18515"/>
    <cellStyle name="20% - Accent4 2 3 2 2 3 3 2" xfId="28231"/>
    <cellStyle name="20% - Accent4 2 3 2 2 3 3 2 2" xfId="47985"/>
    <cellStyle name="20% - Accent4 2 3 2 2 3 3 3" xfId="38341"/>
    <cellStyle name="20% - Accent4 2 3 2 2 3 4" xfId="23421"/>
    <cellStyle name="20% - Accent4 2 3 2 2 3 4 2" xfId="43176"/>
    <cellStyle name="20% - Accent4 2 3 2 2 3 5" xfId="33532"/>
    <cellStyle name="20% - Accent4 2 3 2 2 4" xfId="3222"/>
    <cellStyle name="20% - Accent4 2 3 2 2 4 2" xfId="18517"/>
    <cellStyle name="20% - Accent4 2 3 2 2 4 2 2" xfId="28233"/>
    <cellStyle name="20% - Accent4 2 3 2 2 4 2 2 2" xfId="47987"/>
    <cellStyle name="20% - Accent4 2 3 2 2 4 2 3" xfId="38343"/>
    <cellStyle name="20% - Accent4 2 3 2 2 4 3" xfId="23423"/>
    <cellStyle name="20% - Accent4 2 3 2 2 4 3 2" xfId="43178"/>
    <cellStyle name="20% - Accent4 2 3 2 2 4 4" xfId="33534"/>
    <cellStyle name="20% - Accent4 2 3 2 2 5" xfId="18510"/>
    <cellStyle name="20% - Accent4 2 3 2 2 5 2" xfId="28226"/>
    <cellStyle name="20% - Accent4 2 3 2 2 5 2 2" xfId="47980"/>
    <cellStyle name="20% - Accent4 2 3 2 2 5 3" xfId="38336"/>
    <cellStyle name="20% - Accent4 2 3 2 2 6" xfId="23416"/>
    <cellStyle name="20% - Accent4 2 3 2 2 6 2" xfId="43171"/>
    <cellStyle name="20% - Accent4 2 3 2 2 7" xfId="33527"/>
    <cellStyle name="20% - Accent4 2 3 2 3" xfId="3223"/>
    <cellStyle name="20% - Accent4 2 3 2 3 2" xfId="3224"/>
    <cellStyle name="20% - Accent4 2 3 2 3 2 2" xfId="3225"/>
    <cellStyle name="20% - Accent4 2 3 2 3 2 2 2" xfId="18520"/>
    <cellStyle name="20% - Accent4 2 3 2 3 2 2 2 2" xfId="28236"/>
    <cellStyle name="20% - Accent4 2 3 2 3 2 2 2 2 2" xfId="47990"/>
    <cellStyle name="20% - Accent4 2 3 2 3 2 2 2 3" xfId="38346"/>
    <cellStyle name="20% - Accent4 2 3 2 3 2 2 3" xfId="23426"/>
    <cellStyle name="20% - Accent4 2 3 2 3 2 2 3 2" xfId="43181"/>
    <cellStyle name="20% - Accent4 2 3 2 3 2 2 4" xfId="33537"/>
    <cellStyle name="20% - Accent4 2 3 2 3 2 3" xfId="18519"/>
    <cellStyle name="20% - Accent4 2 3 2 3 2 3 2" xfId="28235"/>
    <cellStyle name="20% - Accent4 2 3 2 3 2 3 2 2" xfId="47989"/>
    <cellStyle name="20% - Accent4 2 3 2 3 2 3 3" xfId="38345"/>
    <cellStyle name="20% - Accent4 2 3 2 3 2 4" xfId="23425"/>
    <cellStyle name="20% - Accent4 2 3 2 3 2 4 2" xfId="43180"/>
    <cellStyle name="20% - Accent4 2 3 2 3 2 5" xfId="33536"/>
    <cellStyle name="20% - Accent4 2 3 2 3 3" xfId="3226"/>
    <cellStyle name="20% - Accent4 2 3 2 3 3 2" xfId="18521"/>
    <cellStyle name="20% - Accent4 2 3 2 3 3 2 2" xfId="28237"/>
    <cellStyle name="20% - Accent4 2 3 2 3 3 2 2 2" xfId="47991"/>
    <cellStyle name="20% - Accent4 2 3 2 3 3 2 3" xfId="38347"/>
    <cellStyle name="20% - Accent4 2 3 2 3 3 3" xfId="23427"/>
    <cellStyle name="20% - Accent4 2 3 2 3 3 3 2" xfId="43182"/>
    <cellStyle name="20% - Accent4 2 3 2 3 3 4" xfId="33538"/>
    <cellStyle name="20% - Accent4 2 3 2 3 4" xfId="18518"/>
    <cellStyle name="20% - Accent4 2 3 2 3 4 2" xfId="28234"/>
    <cellStyle name="20% - Accent4 2 3 2 3 4 2 2" xfId="47988"/>
    <cellStyle name="20% - Accent4 2 3 2 3 4 3" xfId="38344"/>
    <cellStyle name="20% - Accent4 2 3 2 3 5" xfId="23424"/>
    <cellStyle name="20% - Accent4 2 3 2 3 5 2" xfId="43179"/>
    <cellStyle name="20% - Accent4 2 3 2 3 6" xfId="33535"/>
    <cellStyle name="20% - Accent4 2 3 2 4" xfId="3227"/>
    <cellStyle name="20% - Accent4 2 3 2 4 2" xfId="3228"/>
    <cellStyle name="20% - Accent4 2 3 2 4 2 2" xfId="18523"/>
    <cellStyle name="20% - Accent4 2 3 2 4 2 2 2" xfId="28239"/>
    <cellStyle name="20% - Accent4 2 3 2 4 2 2 2 2" xfId="47993"/>
    <cellStyle name="20% - Accent4 2 3 2 4 2 2 3" xfId="38349"/>
    <cellStyle name="20% - Accent4 2 3 2 4 2 3" xfId="23429"/>
    <cellStyle name="20% - Accent4 2 3 2 4 2 3 2" xfId="43184"/>
    <cellStyle name="20% - Accent4 2 3 2 4 2 4" xfId="33540"/>
    <cellStyle name="20% - Accent4 2 3 2 4 3" xfId="18522"/>
    <cellStyle name="20% - Accent4 2 3 2 4 3 2" xfId="28238"/>
    <cellStyle name="20% - Accent4 2 3 2 4 3 2 2" xfId="47992"/>
    <cellStyle name="20% - Accent4 2 3 2 4 3 3" xfId="38348"/>
    <cellStyle name="20% - Accent4 2 3 2 4 4" xfId="23428"/>
    <cellStyle name="20% - Accent4 2 3 2 4 4 2" xfId="43183"/>
    <cellStyle name="20% - Accent4 2 3 2 4 5" xfId="33539"/>
    <cellStyle name="20% - Accent4 2 3 2 5" xfId="3229"/>
    <cellStyle name="20% - Accent4 2 3 2 5 2" xfId="18524"/>
    <cellStyle name="20% - Accent4 2 3 2 5 2 2" xfId="28240"/>
    <cellStyle name="20% - Accent4 2 3 2 5 2 2 2" xfId="47994"/>
    <cellStyle name="20% - Accent4 2 3 2 5 2 3" xfId="38350"/>
    <cellStyle name="20% - Accent4 2 3 2 5 3" xfId="23430"/>
    <cellStyle name="20% - Accent4 2 3 2 5 3 2" xfId="43185"/>
    <cellStyle name="20% - Accent4 2 3 2 5 4" xfId="33541"/>
    <cellStyle name="20% - Accent4 2 3 2 6" xfId="3230"/>
    <cellStyle name="20% - Accent4 2 3 2 6 2" xfId="18525"/>
    <cellStyle name="20% - Accent4 2 3 2 6 2 2" xfId="28241"/>
    <cellStyle name="20% - Accent4 2 3 2 6 2 2 2" xfId="47995"/>
    <cellStyle name="20% - Accent4 2 3 2 6 2 3" xfId="38351"/>
    <cellStyle name="20% - Accent4 2 3 2 6 3" xfId="23431"/>
    <cellStyle name="20% - Accent4 2 3 2 6 3 2" xfId="43186"/>
    <cellStyle name="20% - Accent4 2 3 2 6 4" xfId="33542"/>
    <cellStyle name="20% - Accent4 2 3 2 7" xfId="3231"/>
    <cellStyle name="20% - Accent4 2 3 2 7 2" xfId="18526"/>
    <cellStyle name="20% - Accent4 2 3 2 7 2 2" xfId="28242"/>
    <cellStyle name="20% - Accent4 2 3 2 7 2 2 2" xfId="47996"/>
    <cellStyle name="20% - Accent4 2 3 2 7 2 3" xfId="38352"/>
    <cellStyle name="20% - Accent4 2 3 2 7 3" xfId="23432"/>
    <cellStyle name="20% - Accent4 2 3 2 7 3 2" xfId="43187"/>
    <cellStyle name="20% - Accent4 2 3 2 7 4" xfId="33543"/>
    <cellStyle name="20% - Accent4 2 3 2 8" xfId="16124"/>
    <cellStyle name="20% - Accent4 2 3 2 8 2" xfId="25840"/>
    <cellStyle name="20% - Accent4 2 3 2 8 2 2" xfId="45594"/>
    <cellStyle name="20% - Accent4 2 3 2 8 3" xfId="35950"/>
    <cellStyle name="20% - Accent4 2 3 2 9" xfId="21030"/>
    <cellStyle name="20% - Accent4 2 3 2 9 2" xfId="40785"/>
    <cellStyle name="20% - Accent4 2 3 3" xfId="3232"/>
    <cellStyle name="20% - Accent4 2 3 3 2" xfId="3233"/>
    <cellStyle name="20% - Accent4 2 3 3 2 2" xfId="3234"/>
    <cellStyle name="20% - Accent4 2 3 3 2 2 2" xfId="3235"/>
    <cellStyle name="20% - Accent4 2 3 3 2 2 2 2" xfId="18530"/>
    <cellStyle name="20% - Accent4 2 3 3 2 2 2 2 2" xfId="28246"/>
    <cellStyle name="20% - Accent4 2 3 3 2 2 2 2 2 2" xfId="48000"/>
    <cellStyle name="20% - Accent4 2 3 3 2 2 2 2 3" xfId="38356"/>
    <cellStyle name="20% - Accent4 2 3 3 2 2 2 3" xfId="23436"/>
    <cellStyle name="20% - Accent4 2 3 3 2 2 2 3 2" xfId="43191"/>
    <cellStyle name="20% - Accent4 2 3 3 2 2 2 4" xfId="33547"/>
    <cellStyle name="20% - Accent4 2 3 3 2 2 3" xfId="18529"/>
    <cellStyle name="20% - Accent4 2 3 3 2 2 3 2" xfId="28245"/>
    <cellStyle name="20% - Accent4 2 3 3 2 2 3 2 2" xfId="47999"/>
    <cellStyle name="20% - Accent4 2 3 3 2 2 3 3" xfId="38355"/>
    <cellStyle name="20% - Accent4 2 3 3 2 2 4" xfId="23435"/>
    <cellStyle name="20% - Accent4 2 3 3 2 2 4 2" xfId="43190"/>
    <cellStyle name="20% - Accent4 2 3 3 2 2 5" xfId="33546"/>
    <cellStyle name="20% - Accent4 2 3 3 2 3" xfId="3236"/>
    <cellStyle name="20% - Accent4 2 3 3 2 3 2" xfId="18531"/>
    <cellStyle name="20% - Accent4 2 3 3 2 3 2 2" xfId="28247"/>
    <cellStyle name="20% - Accent4 2 3 3 2 3 2 2 2" xfId="48001"/>
    <cellStyle name="20% - Accent4 2 3 3 2 3 2 3" xfId="38357"/>
    <cellStyle name="20% - Accent4 2 3 3 2 3 3" xfId="23437"/>
    <cellStyle name="20% - Accent4 2 3 3 2 3 3 2" xfId="43192"/>
    <cellStyle name="20% - Accent4 2 3 3 2 3 4" xfId="33548"/>
    <cellStyle name="20% - Accent4 2 3 3 2 4" xfId="18528"/>
    <cellStyle name="20% - Accent4 2 3 3 2 4 2" xfId="28244"/>
    <cellStyle name="20% - Accent4 2 3 3 2 4 2 2" xfId="47998"/>
    <cellStyle name="20% - Accent4 2 3 3 2 4 3" xfId="38354"/>
    <cellStyle name="20% - Accent4 2 3 3 2 5" xfId="23434"/>
    <cellStyle name="20% - Accent4 2 3 3 2 5 2" xfId="43189"/>
    <cellStyle name="20% - Accent4 2 3 3 2 6" xfId="33545"/>
    <cellStyle name="20% - Accent4 2 3 3 3" xfId="3237"/>
    <cellStyle name="20% - Accent4 2 3 3 3 2" xfId="3238"/>
    <cellStyle name="20% - Accent4 2 3 3 3 2 2" xfId="18533"/>
    <cellStyle name="20% - Accent4 2 3 3 3 2 2 2" xfId="28249"/>
    <cellStyle name="20% - Accent4 2 3 3 3 2 2 2 2" xfId="48003"/>
    <cellStyle name="20% - Accent4 2 3 3 3 2 2 3" xfId="38359"/>
    <cellStyle name="20% - Accent4 2 3 3 3 2 3" xfId="23439"/>
    <cellStyle name="20% - Accent4 2 3 3 3 2 3 2" xfId="43194"/>
    <cellStyle name="20% - Accent4 2 3 3 3 2 4" xfId="33550"/>
    <cellStyle name="20% - Accent4 2 3 3 3 3" xfId="18532"/>
    <cellStyle name="20% - Accent4 2 3 3 3 3 2" xfId="28248"/>
    <cellStyle name="20% - Accent4 2 3 3 3 3 2 2" xfId="48002"/>
    <cellStyle name="20% - Accent4 2 3 3 3 3 3" xfId="38358"/>
    <cellStyle name="20% - Accent4 2 3 3 3 4" xfId="23438"/>
    <cellStyle name="20% - Accent4 2 3 3 3 4 2" xfId="43193"/>
    <cellStyle name="20% - Accent4 2 3 3 3 5" xfId="33549"/>
    <cellStyle name="20% - Accent4 2 3 3 4" xfId="3239"/>
    <cellStyle name="20% - Accent4 2 3 3 4 2" xfId="18534"/>
    <cellStyle name="20% - Accent4 2 3 3 4 2 2" xfId="28250"/>
    <cellStyle name="20% - Accent4 2 3 3 4 2 2 2" xfId="48004"/>
    <cellStyle name="20% - Accent4 2 3 3 4 2 3" xfId="38360"/>
    <cellStyle name="20% - Accent4 2 3 3 4 3" xfId="23440"/>
    <cellStyle name="20% - Accent4 2 3 3 4 3 2" xfId="43195"/>
    <cellStyle name="20% - Accent4 2 3 3 4 4" xfId="33551"/>
    <cellStyle name="20% - Accent4 2 3 3 5" xfId="18527"/>
    <cellStyle name="20% - Accent4 2 3 3 5 2" xfId="28243"/>
    <cellStyle name="20% - Accent4 2 3 3 5 2 2" xfId="47997"/>
    <cellStyle name="20% - Accent4 2 3 3 5 3" xfId="38353"/>
    <cellStyle name="20% - Accent4 2 3 3 6" xfId="23433"/>
    <cellStyle name="20% - Accent4 2 3 3 6 2" xfId="43188"/>
    <cellStyle name="20% - Accent4 2 3 3 7" xfId="33544"/>
    <cellStyle name="20% - Accent4 2 3 4" xfId="3240"/>
    <cellStyle name="20% - Accent4 2 3 4 2" xfId="3241"/>
    <cellStyle name="20% - Accent4 2 3 4 2 2" xfId="3242"/>
    <cellStyle name="20% - Accent4 2 3 4 2 2 2" xfId="3243"/>
    <cellStyle name="20% - Accent4 2 3 4 2 2 2 2" xfId="18538"/>
    <cellStyle name="20% - Accent4 2 3 4 2 2 2 2 2" xfId="28254"/>
    <cellStyle name="20% - Accent4 2 3 4 2 2 2 2 2 2" xfId="48008"/>
    <cellStyle name="20% - Accent4 2 3 4 2 2 2 2 3" xfId="38364"/>
    <cellStyle name="20% - Accent4 2 3 4 2 2 2 3" xfId="23444"/>
    <cellStyle name="20% - Accent4 2 3 4 2 2 2 3 2" xfId="43199"/>
    <cellStyle name="20% - Accent4 2 3 4 2 2 2 4" xfId="33555"/>
    <cellStyle name="20% - Accent4 2 3 4 2 2 3" xfId="18537"/>
    <cellStyle name="20% - Accent4 2 3 4 2 2 3 2" xfId="28253"/>
    <cellStyle name="20% - Accent4 2 3 4 2 2 3 2 2" xfId="48007"/>
    <cellStyle name="20% - Accent4 2 3 4 2 2 3 3" xfId="38363"/>
    <cellStyle name="20% - Accent4 2 3 4 2 2 4" xfId="23443"/>
    <cellStyle name="20% - Accent4 2 3 4 2 2 4 2" xfId="43198"/>
    <cellStyle name="20% - Accent4 2 3 4 2 2 5" xfId="33554"/>
    <cellStyle name="20% - Accent4 2 3 4 2 3" xfId="3244"/>
    <cellStyle name="20% - Accent4 2 3 4 2 3 2" xfId="18539"/>
    <cellStyle name="20% - Accent4 2 3 4 2 3 2 2" xfId="28255"/>
    <cellStyle name="20% - Accent4 2 3 4 2 3 2 2 2" xfId="48009"/>
    <cellStyle name="20% - Accent4 2 3 4 2 3 2 3" xfId="38365"/>
    <cellStyle name="20% - Accent4 2 3 4 2 3 3" xfId="23445"/>
    <cellStyle name="20% - Accent4 2 3 4 2 3 3 2" xfId="43200"/>
    <cellStyle name="20% - Accent4 2 3 4 2 3 4" xfId="33556"/>
    <cellStyle name="20% - Accent4 2 3 4 2 4" xfId="18536"/>
    <cellStyle name="20% - Accent4 2 3 4 2 4 2" xfId="28252"/>
    <cellStyle name="20% - Accent4 2 3 4 2 4 2 2" xfId="48006"/>
    <cellStyle name="20% - Accent4 2 3 4 2 4 3" xfId="38362"/>
    <cellStyle name="20% - Accent4 2 3 4 2 5" xfId="23442"/>
    <cellStyle name="20% - Accent4 2 3 4 2 5 2" xfId="43197"/>
    <cellStyle name="20% - Accent4 2 3 4 2 6" xfId="33553"/>
    <cellStyle name="20% - Accent4 2 3 4 3" xfId="3245"/>
    <cellStyle name="20% - Accent4 2 3 4 3 2" xfId="3246"/>
    <cellStyle name="20% - Accent4 2 3 4 3 2 2" xfId="18541"/>
    <cellStyle name="20% - Accent4 2 3 4 3 2 2 2" xfId="28257"/>
    <cellStyle name="20% - Accent4 2 3 4 3 2 2 2 2" xfId="48011"/>
    <cellStyle name="20% - Accent4 2 3 4 3 2 2 3" xfId="38367"/>
    <cellStyle name="20% - Accent4 2 3 4 3 2 3" xfId="23447"/>
    <cellStyle name="20% - Accent4 2 3 4 3 2 3 2" xfId="43202"/>
    <cellStyle name="20% - Accent4 2 3 4 3 2 4" xfId="33558"/>
    <cellStyle name="20% - Accent4 2 3 4 3 3" xfId="18540"/>
    <cellStyle name="20% - Accent4 2 3 4 3 3 2" xfId="28256"/>
    <cellStyle name="20% - Accent4 2 3 4 3 3 2 2" xfId="48010"/>
    <cellStyle name="20% - Accent4 2 3 4 3 3 3" xfId="38366"/>
    <cellStyle name="20% - Accent4 2 3 4 3 4" xfId="23446"/>
    <cellStyle name="20% - Accent4 2 3 4 3 4 2" xfId="43201"/>
    <cellStyle name="20% - Accent4 2 3 4 3 5" xfId="33557"/>
    <cellStyle name="20% - Accent4 2 3 4 4" xfId="3247"/>
    <cellStyle name="20% - Accent4 2 3 4 4 2" xfId="18542"/>
    <cellStyle name="20% - Accent4 2 3 4 4 2 2" xfId="28258"/>
    <cellStyle name="20% - Accent4 2 3 4 4 2 2 2" xfId="48012"/>
    <cellStyle name="20% - Accent4 2 3 4 4 2 3" xfId="38368"/>
    <cellStyle name="20% - Accent4 2 3 4 4 3" xfId="23448"/>
    <cellStyle name="20% - Accent4 2 3 4 4 3 2" xfId="43203"/>
    <cellStyle name="20% - Accent4 2 3 4 4 4" xfId="33559"/>
    <cellStyle name="20% - Accent4 2 3 4 5" xfId="18535"/>
    <cellStyle name="20% - Accent4 2 3 4 5 2" xfId="28251"/>
    <cellStyle name="20% - Accent4 2 3 4 5 2 2" xfId="48005"/>
    <cellStyle name="20% - Accent4 2 3 4 5 3" xfId="38361"/>
    <cellStyle name="20% - Accent4 2 3 4 6" xfId="23441"/>
    <cellStyle name="20% - Accent4 2 3 4 6 2" xfId="43196"/>
    <cellStyle name="20% - Accent4 2 3 4 7" xfId="33552"/>
    <cellStyle name="20% - Accent4 2 3 5" xfId="3248"/>
    <cellStyle name="20% - Accent4 2 3 5 2" xfId="3249"/>
    <cellStyle name="20% - Accent4 2 3 5 2 2" xfId="3250"/>
    <cellStyle name="20% - Accent4 2 3 5 2 2 2" xfId="18545"/>
    <cellStyle name="20% - Accent4 2 3 5 2 2 2 2" xfId="28261"/>
    <cellStyle name="20% - Accent4 2 3 5 2 2 2 2 2" xfId="48015"/>
    <cellStyle name="20% - Accent4 2 3 5 2 2 2 3" xfId="38371"/>
    <cellStyle name="20% - Accent4 2 3 5 2 2 3" xfId="23451"/>
    <cellStyle name="20% - Accent4 2 3 5 2 2 3 2" xfId="43206"/>
    <cellStyle name="20% - Accent4 2 3 5 2 2 4" xfId="33562"/>
    <cellStyle name="20% - Accent4 2 3 5 2 3" xfId="18544"/>
    <cellStyle name="20% - Accent4 2 3 5 2 3 2" xfId="28260"/>
    <cellStyle name="20% - Accent4 2 3 5 2 3 2 2" xfId="48014"/>
    <cellStyle name="20% - Accent4 2 3 5 2 3 3" xfId="38370"/>
    <cellStyle name="20% - Accent4 2 3 5 2 4" xfId="23450"/>
    <cellStyle name="20% - Accent4 2 3 5 2 4 2" xfId="43205"/>
    <cellStyle name="20% - Accent4 2 3 5 2 5" xfId="33561"/>
    <cellStyle name="20% - Accent4 2 3 5 3" xfId="3251"/>
    <cellStyle name="20% - Accent4 2 3 5 3 2" xfId="18546"/>
    <cellStyle name="20% - Accent4 2 3 5 3 2 2" xfId="28262"/>
    <cellStyle name="20% - Accent4 2 3 5 3 2 2 2" xfId="48016"/>
    <cellStyle name="20% - Accent4 2 3 5 3 2 3" xfId="38372"/>
    <cellStyle name="20% - Accent4 2 3 5 3 3" xfId="23452"/>
    <cellStyle name="20% - Accent4 2 3 5 3 3 2" xfId="43207"/>
    <cellStyle name="20% - Accent4 2 3 5 3 4" xfId="33563"/>
    <cellStyle name="20% - Accent4 2 3 5 4" xfId="18543"/>
    <cellStyle name="20% - Accent4 2 3 5 4 2" xfId="28259"/>
    <cellStyle name="20% - Accent4 2 3 5 4 2 2" xfId="48013"/>
    <cellStyle name="20% - Accent4 2 3 5 4 3" xfId="38369"/>
    <cellStyle name="20% - Accent4 2 3 5 5" xfId="23449"/>
    <cellStyle name="20% - Accent4 2 3 5 5 2" xfId="43204"/>
    <cellStyle name="20% - Accent4 2 3 5 6" xfId="33560"/>
    <cellStyle name="20% - Accent4 2 3 6" xfId="3252"/>
    <cellStyle name="20% - Accent4 2 3 6 2" xfId="3253"/>
    <cellStyle name="20% - Accent4 2 3 6 2 2" xfId="18548"/>
    <cellStyle name="20% - Accent4 2 3 6 2 2 2" xfId="28264"/>
    <cellStyle name="20% - Accent4 2 3 6 2 2 2 2" xfId="48018"/>
    <cellStyle name="20% - Accent4 2 3 6 2 2 3" xfId="38374"/>
    <cellStyle name="20% - Accent4 2 3 6 2 3" xfId="23454"/>
    <cellStyle name="20% - Accent4 2 3 6 2 3 2" xfId="43209"/>
    <cellStyle name="20% - Accent4 2 3 6 2 4" xfId="33565"/>
    <cellStyle name="20% - Accent4 2 3 6 3" xfId="18547"/>
    <cellStyle name="20% - Accent4 2 3 6 3 2" xfId="28263"/>
    <cellStyle name="20% - Accent4 2 3 6 3 2 2" xfId="48017"/>
    <cellStyle name="20% - Accent4 2 3 6 3 3" xfId="38373"/>
    <cellStyle name="20% - Accent4 2 3 6 4" xfId="23453"/>
    <cellStyle name="20% - Accent4 2 3 6 4 2" xfId="43208"/>
    <cellStyle name="20% - Accent4 2 3 6 5" xfId="33564"/>
    <cellStyle name="20% - Accent4 2 3 7" xfId="3254"/>
    <cellStyle name="20% - Accent4 2 3 7 2" xfId="3255"/>
    <cellStyle name="20% - Accent4 2 3 7 2 2" xfId="18550"/>
    <cellStyle name="20% - Accent4 2 3 7 2 2 2" xfId="28266"/>
    <cellStyle name="20% - Accent4 2 3 7 2 2 2 2" xfId="48020"/>
    <cellStyle name="20% - Accent4 2 3 7 2 2 3" xfId="38376"/>
    <cellStyle name="20% - Accent4 2 3 7 2 3" xfId="23456"/>
    <cellStyle name="20% - Accent4 2 3 7 2 3 2" xfId="43211"/>
    <cellStyle name="20% - Accent4 2 3 7 2 4" xfId="33567"/>
    <cellStyle name="20% - Accent4 2 3 7 3" xfId="18549"/>
    <cellStyle name="20% - Accent4 2 3 7 3 2" xfId="28265"/>
    <cellStyle name="20% - Accent4 2 3 7 3 2 2" xfId="48019"/>
    <cellStyle name="20% - Accent4 2 3 7 3 3" xfId="38375"/>
    <cellStyle name="20% - Accent4 2 3 7 4" xfId="23455"/>
    <cellStyle name="20% - Accent4 2 3 7 4 2" xfId="43210"/>
    <cellStyle name="20% - Accent4 2 3 7 5" xfId="33566"/>
    <cellStyle name="20% - Accent4 2 3 8" xfId="3256"/>
    <cellStyle name="20% - Accent4 2 3 8 2" xfId="18551"/>
    <cellStyle name="20% - Accent4 2 3 8 2 2" xfId="28267"/>
    <cellStyle name="20% - Accent4 2 3 8 2 2 2" xfId="48021"/>
    <cellStyle name="20% - Accent4 2 3 8 2 3" xfId="38377"/>
    <cellStyle name="20% - Accent4 2 3 8 3" xfId="23457"/>
    <cellStyle name="20% - Accent4 2 3 8 3 2" xfId="43212"/>
    <cellStyle name="20% - Accent4 2 3 8 4" xfId="33568"/>
    <cellStyle name="20% - Accent4 2 3 9" xfId="3257"/>
    <cellStyle name="20% - Accent4 2 3 9 2" xfId="18552"/>
    <cellStyle name="20% - Accent4 2 3 9 2 2" xfId="28268"/>
    <cellStyle name="20% - Accent4 2 3 9 2 2 2" xfId="48022"/>
    <cellStyle name="20% - Accent4 2 3 9 2 3" xfId="38378"/>
    <cellStyle name="20% - Accent4 2 3 9 3" xfId="23458"/>
    <cellStyle name="20% - Accent4 2 3 9 3 2" xfId="43213"/>
    <cellStyle name="20% - Accent4 2 3 9 4" xfId="33569"/>
    <cellStyle name="20% - Accent4 2 4" xfId="3258"/>
    <cellStyle name="20% - Accent4 2 4 10" xfId="33570"/>
    <cellStyle name="20% - Accent4 2 4 2" xfId="3259"/>
    <cellStyle name="20% - Accent4 2 4 2 2" xfId="3260"/>
    <cellStyle name="20% - Accent4 2 4 2 2 2" xfId="3261"/>
    <cellStyle name="20% - Accent4 2 4 2 2 2 2" xfId="3262"/>
    <cellStyle name="20% - Accent4 2 4 2 2 2 2 2" xfId="18557"/>
    <cellStyle name="20% - Accent4 2 4 2 2 2 2 2 2" xfId="28273"/>
    <cellStyle name="20% - Accent4 2 4 2 2 2 2 2 2 2" xfId="48027"/>
    <cellStyle name="20% - Accent4 2 4 2 2 2 2 2 3" xfId="38383"/>
    <cellStyle name="20% - Accent4 2 4 2 2 2 2 3" xfId="23463"/>
    <cellStyle name="20% - Accent4 2 4 2 2 2 2 3 2" xfId="43218"/>
    <cellStyle name="20% - Accent4 2 4 2 2 2 2 4" xfId="33574"/>
    <cellStyle name="20% - Accent4 2 4 2 2 2 3" xfId="18556"/>
    <cellStyle name="20% - Accent4 2 4 2 2 2 3 2" xfId="28272"/>
    <cellStyle name="20% - Accent4 2 4 2 2 2 3 2 2" xfId="48026"/>
    <cellStyle name="20% - Accent4 2 4 2 2 2 3 3" xfId="38382"/>
    <cellStyle name="20% - Accent4 2 4 2 2 2 4" xfId="23462"/>
    <cellStyle name="20% - Accent4 2 4 2 2 2 4 2" xfId="43217"/>
    <cellStyle name="20% - Accent4 2 4 2 2 2 5" xfId="33573"/>
    <cellStyle name="20% - Accent4 2 4 2 2 3" xfId="3263"/>
    <cellStyle name="20% - Accent4 2 4 2 2 3 2" xfId="18558"/>
    <cellStyle name="20% - Accent4 2 4 2 2 3 2 2" xfId="28274"/>
    <cellStyle name="20% - Accent4 2 4 2 2 3 2 2 2" xfId="48028"/>
    <cellStyle name="20% - Accent4 2 4 2 2 3 2 3" xfId="38384"/>
    <cellStyle name="20% - Accent4 2 4 2 2 3 3" xfId="23464"/>
    <cellStyle name="20% - Accent4 2 4 2 2 3 3 2" xfId="43219"/>
    <cellStyle name="20% - Accent4 2 4 2 2 3 4" xfId="33575"/>
    <cellStyle name="20% - Accent4 2 4 2 2 4" xfId="18555"/>
    <cellStyle name="20% - Accent4 2 4 2 2 4 2" xfId="28271"/>
    <cellStyle name="20% - Accent4 2 4 2 2 4 2 2" xfId="48025"/>
    <cellStyle name="20% - Accent4 2 4 2 2 4 3" xfId="38381"/>
    <cellStyle name="20% - Accent4 2 4 2 2 5" xfId="23461"/>
    <cellStyle name="20% - Accent4 2 4 2 2 5 2" xfId="43216"/>
    <cellStyle name="20% - Accent4 2 4 2 2 6" xfId="33572"/>
    <cellStyle name="20% - Accent4 2 4 2 3" xfId="3264"/>
    <cellStyle name="20% - Accent4 2 4 2 3 2" xfId="3265"/>
    <cellStyle name="20% - Accent4 2 4 2 3 2 2" xfId="18560"/>
    <cellStyle name="20% - Accent4 2 4 2 3 2 2 2" xfId="28276"/>
    <cellStyle name="20% - Accent4 2 4 2 3 2 2 2 2" xfId="48030"/>
    <cellStyle name="20% - Accent4 2 4 2 3 2 2 3" xfId="38386"/>
    <cellStyle name="20% - Accent4 2 4 2 3 2 3" xfId="23466"/>
    <cellStyle name="20% - Accent4 2 4 2 3 2 3 2" xfId="43221"/>
    <cellStyle name="20% - Accent4 2 4 2 3 2 4" xfId="33577"/>
    <cellStyle name="20% - Accent4 2 4 2 3 3" xfId="18559"/>
    <cellStyle name="20% - Accent4 2 4 2 3 3 2" xfId="28275"/>
    <cellStyle name="20% - Accent4 2 4 2 3 3 2 2" xfId="48029"/>
    <cellStyle name="20% - Accent4 2 4 2 3 3 3" xfId="38385"/>
    <cellStyle name="20% - Accent4 2 4 2 3 4" xfId="23465"/>
    <cellStyle name="20% - Accent4 2 4 2 3 4 2" xfId="43220"/>
    <cellStyle name="20% - Accent4 2 4 2 3 5" xfId="33576"/>
    <cellStyle name="20% - Accent4 2 4 2 4" xfId="3266"/>
    <cellStyle name="20% - Accent4 2 4 2 4 2" xfId="18561"/>
    <cellStyle name="20% - Accent4 2 4 2 4 2 2" xfId="28277"/>
    <cellStyle name="20% - Accent4 2 4 2 4 2 2 2" xfId="48031"/>
    <cellStyle name="20% - Accent4 2 4 2 4 2 3" xfId="38387"/>
    <cellStyle name="20% - Accent4 2 4 2 4 3" xfId="23467"/>
    <cellStyle name="20% - Accent4 2 4 2 4 3 2" xfId="43222"/>
    <cellStyle name="20% - Accent4 2 4 2 4 4" xfId="33578"/>
    <cellStyle name="20% - Accent4 2 4 2 5" xfId="18554"/>
    <cellStyle name="20% - Accent4 2 4 2 5 2" xfId="28270"/>
    <cellStyle name="20% - Accent4 2 4 2 5 2 2" xfId="48024"/>
    <cellStyle name="20% - Accent4 2 4 2 5 3" xfId="38380"/>
    <cellStyle name="20% - Accent4 2 4 2 6" xfId="23460"/>
    <cellStyle name="20% - Accent4 2 4 2 6 2" xfId="43215"/>
    <cellStyle name="20% - Accent4 2 4 2 7" xfId="33571"/>
    <cellStyle name="20% - Accent4 2 4 3" xfId="3267"/>
    <cellStyle name="20% - Accent4 2 4 3 2" xfId="3268"/>
    <cellStyle name="20% - Accent4 2 4 3 2 2" xfId="3269"/>
    <cellStyle name="20% - Accent4 2 4 3 2 2 2" xfId="18564"/>
    <cellStyle name="20% - Accent4 2 4 3 2 2 2 2" xfId="28280"/>
    <cellStyle name="20% - Accent4 2 4 3 2 2 2 2 2" xfId="48034"/>
    <cellStyle name="20% - Accent4 2 4 3 2 2 2 3" xfId="38390"/>
    <cellStyle name="20% - Accent4 2 4 3 2 2 3" xfId="23470"/>
    <cellStyle name="20% - Accent4 2 4 3 2 2 3 2" xfId="43225"/>
    <cellStyle name="20% - Accent4 2 4 3 2 2 4" xfId="33581"/>
    <cellStyle name="20% - Accent4 2 4 3 2 3" xfId="18563"/>
    <cellStyle name="20% - Accent4 2 4 3 2 3 2" xfId="28279"/>
    <cellStyle name="20% - Accent4 2 4 3 2 3 2 2" xfId="48033"/>
    <cellStyle name="20% - Accent4 2 4 3 2 3 3" xfId="38389"/>
    <cellStyle name="20% - Accent4 2 4 3 2 4" xfId="23469"/>
    <cellStyle name="20% - Accent4 2 4 3 2 4 2" xfId="43224"/>
    <cellStyle name="20% - Accent4 2 4 3 2 5" xfId="33580"/>
    <cellStyle name="20% - Accent4 2 4 3 3" xfId="3270"/>
    <cellStyle name="20% - Accent4 2 4 3 3 2" xfId="18565"/>
    <cellStyle name="20% - Accent4 2 4 3 3 2 2" xfId="28281"/>
    <cellStyle name="20% - Accent4 2 4 3 3 2 2 2" xfId="48035"/>
    <cellStyle name="20% - Accent4 2 4 3 3 2 3" xfId="38391"/>
    <cellStyle name="20% - Accent4 2 4 3 3 3" xfId="23471"/>
    <cellStyle name="20% - Accent4 2 4 3 3 3 2" xfId="43226"/>
    <cellStyle name="20% - Accent4 2 4 3 3 4" xfId="33582"/>
    <cellStyle name="20% - Accent4 2 4 3 4" xfId="18562"/>
    <cellStyle name="20% - Accent4 2 4 3 4 2" xfId="28278"/>
    <cellStyle name="20% - Accent4 2 4 3 4 2 2" xfId="48032"/>
    <cellStyle name="20% - Accent4 2 4 3 4 3" xfId="38388"/>
    <cellStyle name="20% - Accent4 2 4 3 5" xfId="23468"/>
    <cellStyle name="20% - Accent4 2 4 3 5 2" xfId="43223"/>
    <cellStyle name="20% - Accent4 2 4 3 6" xfId="33579"/>
    <cellStyle name="20% - Accent4 2 4 4" xfId="3271"/>
    <cellStyle name="20% - Accent4 2 4 4 2" xfId="3272"/>
    <cellStyle name="20% - Accent4 2 4 4 2 2" xfId="18567"/>
    <cellStyle name="20% - Accent4 2 4 4 2 2 2" xfId="28283"/>
    <cellStyle name="20% - Accent4 2 4 4 2 2 2 2" xfId="48037"/>
    <cellStyle name="20% - Accent4 2 4 4 2 2 3" xfId="38393"/>
    <cellStyle name="20% - Accent4 2 4 4 2 3" xfId="23473"/>
    <cellStyle name="20% - Accent4 2 4 4 2 3 2" xfId="43228"/>
    <cellStyle name="20% - Accent4 2 4 4 2 4" xfId="33584"/>
    <cellStyle name="20% - Accent4 2 4 4 3" xfId="18566"/>
    <cellStyle name="20% - Accent4 2 4 4 3 2" xfId="28282"/>
    <cellStyle name="20% - Accent4 2 4 4 3 2 2" xfId="48036"/>
    <cellStyle name="20% - Accent4 2 4 4 3 3" xfId="38392"/>
    <cellStyle name="20% - Accent4 2 4 4 4" xfId="23472"/>
    <cellStyle name="20% - Accent4 2 4 4 4 2" xfId="43227"/>
    <cellStyle name="20% - Accent4 2 4 4 5" xfId="33583"/>
    <cellStyle name="20% - Accent4 2 4 5" xfId="3273"/>
    <cellStyle name="20% - Accent4 2 4 5 2" xfId="18568"/>
    <cellStyle name="20% - Accent4 2 4 5 2 2" xfId="28284"/>
    <cellStyle name="20% - Accent4 2 4 5 2 2 2" xfId="48038"/>
    <cellStyle name="20% - Accent4 2 4 5 2 3" xfId="38394"/>
    <cellStyle name="20% - Accent4 2 4 5 3" xfId="23474"/>
    <cellStyle name="20% - Accent4 2 4 5 3 2" xfId="43229"/>
    <cellStyle name="20% - Accent4 2 4 5 4" xfId="33585"/>
    <cellStyle name="20% - Accent4 2 4 6" xfId="3274"/>
    <cellStyle name="20% - Accent4 2 4 6 2" xfId="18569"/>
    <cellStyle name="20% - Accent4 2 4 6 2 2" xfId="28285"/>
    <cellStyle name="20% - Accent4 2 4 6 2 2 2" xfId="48039"/>
    <cellStyle name="20% - Accent4 2 4 6 2 3" xfId="38395"/>
    <cellStyle name="20% - Accent4 2 4 6 3" xfId="23475"/>
    <cellStyle name="20% - Accent4 2 4 6 3 2" xfId="43230"/>
    <cellStyle name="20% - Accent4 2 4 6 4" xfId="33586"/>
    <cellStyle name="20% - Accent4 2 4 7" xfId="3275"/>
    <cellStyle name="20% - Accent4 2 4 7 2" xfId="18570"/>
    <cellStyle name="20% - Accent4 2 4 7 2 2" xfId="28286"/>
    <cellStyle name="20% - Accent4 2 4 7 2 2 2" xfId="48040"/>
    <cellStyle name="20% - Accent4 2 4 7 2 3" xfId="38396"/>
    <cellStyle name="20% - Accent4 2 4 7 3" xfId="23476"/>
    <cellStyle name="20% - Accent4 2 4 7 3 2" xfId="43231"/>
    <cellStyle name="20% - Accent4 2 4 7 4" xfId="33587"/>
    <cellStyle name="20% - Accent4 2 4 8" xfId="18553"/>
    <cellStyle name="20% - Accent4 2 4 8 2" xfId="28269"/>
    <cellStyle name="20% - Accent4 2 4 8 2 2" xfId="48023"/>
    <cellStyle name="20% - Accent4 2 4 8 3" xfId="38379"/>
    <cellStyle name="20% - Accent4 2 4 9" xfId="23459"/>
    <cellStyle name="20% - Accent4 2 4 9 2" xfId="43214"/>
    <cellStyle name="20% - Accent4 2 5" xfId="3276"/>
    <cellStyle name="20% - Accent4 2 5 2" xfId="3277"/>
    <cellStyle name="20% - Accent4 2 5 2 2" xfId="3278"/>
    <cellStyle name="20% - Accent4 2 5 2 2 2" xfId="3279"/>
    <cellStyle name="20% - Accent4 2 5 2 2 2 2" xfId="18574"/>
    <cellStyle name="20% - Accent4 2 5 2 2 2 2 2" xfId="28290"/>
    <cellStyle name="20% - Accent4 2 5 2 2 2 2 2 2" xfId="48044"/>
    <cellStyle name="20% - Accent4 2 5 2 2 2 2 3" xfId="38400"/>
    <cellStyle name="20% - Accent4 2 5 2 2 2 3" xfId="23480"/>
    <cellStyle name="20% - Accent4 2 5 2 2 2 3 2" xfId="43235"/>
    <cellStyle name="20% - Accent4 2 5 2 2 2 4" xfId="33591"/>
    <cellStyle name="20% - Accent4 2 5 2 2 3" xfId="18573"/>
    <cellStyle name="20% - Accent4 2 5 2 2 3 2" xfId="28289"/>
    <cellStyle name="20% - Accent4 2 5 2 2 3 2 2" xfId="48043"/>
    <cellStyle name="20% - Accent4 2 5 2 2 3 3" xfId="38399"/>
    <cellStyle name="20% - Accent4 2 5 2 2 4" xfId="23479"/>
    <cellStyle name="20% - Accent4 2 5 2 2 4 2" xfId="43234"/>
    <cellStyle name="20% - Accent4 2 5 2 2 5" xfId="33590"/>
    <cellStyle name="20% - Accent4 2 5 2 3" xfId="3280"/>
    <cellStyle name="20% - Accent4 2 5 2 3 2" xfId="18575"/>
    <cellStyle name="20% - Accent4 2 5 2 3 2 2" xfId="28291"/>
    <cellStyle name="20% - Accent4 2 5 2 3 2 2 2" xfId="48045"/>
    <cellStyle name="20% - Accent4 2 5 2 3 2 3" xfId="38401"/>
    <cellStyle name="20% - Accent4 2 5 2 3 3" xfId="23481"/>
    <cellStyle name="20% - Accent4 2 5 2 3 3 2" xfId="43236"/>
    <cellStyle name="20% - Accent4 2 5 2 3 4" xfId="33592"/>
    <cellStyle name="20% - Accent4 2 5 2 4" xfId="18572"/>
    <cellStyle name="20% - Accent4 2 5 2 4 2" xfId="28288"/>
    <cellStyle name="20% - Accent4 2 5 2 4 2 2" xfId="48042"/>
    <cellStyle name="20% - Accent4 2 5 2 4 3" xfId="38398"/>
    <cellStyle name="20% - Accent4 2 5 2 5" xfId="23478"/>
    <cellStyle name="20% - Accent4 2 5 2 5 2" xfId="43233"/>
    <cellStyle name="20% - Accent4 2 5 2 6" xfId="33589"/>
    <cellStyle name="20% - Accent4 2 5 3" xfId="3281"/>
    <cellStyle name="20% - Accent4 2 5 3 2" xfId="3282"/>
    <cellStyle name="20% - Accent4 2 5 3 2 2" xfId="18577"/>
    <cellStyle name="20% - Accent4 2 5 3 2 2 2" xfId="28293"/>
    <cellStyle name="20% - Accent4 2 5 3 2 2 2 2" xfId="48047"/>
    <cellStyle name="20% - Accent4 2 5 3 2 2 3" xfId="38403"/>
    <cellStyle name="20% - Accent4 2 5 3 2 3" xfId="23483"/>
    <cellStyle name="20% - Accent4 2 5 3 2 3 2" xfId="43238"/>
    <cellStyle name="20% - Accent4 2 5 3 2 4" xfId="33594"/>
    <cellStyle name="20% - Accent4 2 5 3 3" xfId="18576"/>
    <cellStyle name="20% - Accent4 2 5 3 3 2" xfId="28292"/>
    <cellStyle name="20% - Accent4 2 5 3 3 2 2" xfId="48046"/>
    <cellStyle name="20% - Accent4 2 5 3 3 3" xfId="38402"/>
    <cellStyle name="20% - Accent4 2 5 3 4" xfId="23482"/>
    <cellStyle name="20% - Accent4 2 5 3 4 2" xfId="43237"/>
    <cellStyle name="20% - Accent4 2 5 3 5" xfId="33593"/>
    <cellStyle name="20% - Accent4 2 5 4" xfId="3283"/>
    <cellStyle name="20% - Accent4 2 5 4 2" xfId="18578"/>
    <cellStyle name="20% - Accent4 2 5 4 2 2" xfId="28294"/>
    <cellStyle name="20% - Accent4 2 5 4 2 2 2" xfId="48048"/>
    <cellStyle name="20% - Accent4 2 5 4 2 3" xfId="38404"/>
    <cellStyle name="20% - Accent4 2 5 4 3" xfId="23484"/>
    <cellStyle name="20% - Accent4 2 5 4 3 2" xfId="43239"/>
    <cellStyle name="20% - Accent4 2 5 4 4" xfId="33595"/>
    <cellStyle name="20% - Accent4 2 5 5" xfId="18571"/>
    <cellStyle name="20% - Accent4 2 5 5 2" xfId="28287"/>
    <cellStyle name="20% - Accent4 2 5 5 2 2" xfId="48041"/>
    <cellStyle name="20% - Accent4 2 5 5 3" xfId="38397"/>
    <cellStyle name="20% - Accent4 2 5 6" xfId="23477"/>
    <cellStyle name="20% - Accent4 2 5 6 2" xfId="43232"/>
    <cellStyle name="20% - Accent4 2 5 7" xfId="33588"/>
    <cellStyle name="20% - Accent4 2 6" xfId="3284"/>
    <cellStyle name="20% - Accent4 2 6 2" xfId="3285"/>
    <cellStyle name="20% - Accent4 2 6 2 2" xfId="3286"/>
    <cellStyle name="20% - Accent4 2 6 2 2 2" xfId="3287"/>
    <cellStyle name="20% - Accent4 2 6 2 2 2 2" xfId="18582"/>
    <cellStyle name="20% - Accent4 2 6 2 2 2 2 2" xfId="28298"/>
    <cellStyle name="20% - Accent4 2 6 2 2 2 2 2 2" xfId="48052"/>
    <cellStyle name="20% - Accent4 2 6 2 2 2 2 3" xfId="38408"/>
    <cellStyle name="20% - Accent4 2 6 2 2 2 3" xfId="23488"/>
    <cellStyle name="20% - Accent4 2 6 2 2 2 3 2" xfId="43243"/>
    <cellStyle name="20% - Accent4 2 6 2 2 2 4" xfId="33599"/>
    <cellStyle name="20% - Accent4 2 6 2 2 3" xfId="18581"/>
    <cellStyle name="20% - Accent4 2 6 2 2 3 2" xfId="28297"/>
    <cellStyle name="20% - Accent4 2 6 2 2 3 2 2" xfId="48051"/>
    <cellStyle name="20% - Accent4 2 6 2 2 3 3" xfId="38407"/>
    <cellStyle name="20% - Accent4 2 6 2 2 4" xfId="23487"/>
    <cellStyle name="20% - Accent4 2 6 2 2 4 2" xfId="43242"/>
    <cellStyle name="20% - Accent4 2 6 2 2 5" xfId="33598"/>
    <cellStyle name="20% - Accent4 2 6 2 3" xfId="3288"/>
    <cellStyle name="20% - Accent4 2 6 2 3 2" xfId="18583"/>
    <cellStyle name="20% - Accent4 2 6 2 3 2 2" xfId="28299"/>
    <cellStyle name="20% - Accent4 2 6 2 3 2 2 2" xfId="48053"/>
    <cellStyle name="20% - Accent4 2 6 2 3 2 3" xfId="38409"/>
    <cellStyle name="20% - Accent4 2 6 2 3 3" xfId="23489"/>
    <cellStyle name="20% - Accent4 2 6 2 3 3 2" xfId="43244"/>
    <cellStyle name="20% - Accent4 2 6 2 3 4" xfId="33600"/>
    <cellStyle name="20% - Accent4 2 6 2 4" xfId="18580"/>
    <cellStyle name="20% - Accent4 2 6 2 4 2" xfId="28296"/>
    <cellStyle name="20% - Accent4 2 6 2 4 2 2" xfId="48050"/>
    <cellStyle name="20% - Accent4 2 6 2 4 3" xfId="38406"/>
    <cellStyle name="20% - Accent4 2 6 2 5" xfId="23486"/>
    <cellStyle name="20% - Accent4 2 6 2 5 2" xfId="43241"/>
    <cellStyle name="20% - Accent4 2 6 2 6" xfId="33597"/>
    <cellStyle name="20% - Accent4 2 6 3" xfId="3289"/>
    <cellStyle name="20% - Accent4 2 6 3 2" xfId="3290"/>
    <cellStyle name="20% - Accent4 2 6 3 2 2" xfId="18585"/>
    <cellStyle name="20% - Accent4 2 6 3 2 2 2" xfId="28301"/>
    <cellStyle name="20% - Accent4 2 6 3 2 2 2 2" xfId="48055"/>
    <cellStyle name="20% - Accent4 2 6 3 2 2 3" xfId="38411"/>
    <cellStyle name="20% - Accent4 2 6 3 2 3" xfId="23491"/>
    <cellStyle name="20% - Accent4 2 6 3 2 3 2" xfId="43246"/>
    <cellStyle name="20% - Accent4 2 6 3 2 4" xfId="33602"/>
    <cellStyle name="20% - Accent4 2 6 3 3" xfId="18584"/>
    <cellStyle name="20% - Accent4 2 6 3 3 2" xfId="28300"/>
    <cellStyle name="20% - Accent4 2 6 3 3 2 2" xfId="48054"/>
    <cellStyle name="20% - Accent4 2 6 3 3 3" xfId="38410"/>
    <cellStyle name="20% - Accent4 2 6 3 4" xfId="23490"/>
    <cellStyle name="20% - Accent4 2 6 3 4 2" xfId="43245"/>
    <cellStyle name="20% - Accent4 2 6 3 5" xfId="33601"/>
    <cellStyle name="20% - Accent4 2 6 4" xfId="3291"/>
    <cellStyle name="20% - Accent4 2 6 4 2" xfId="18586"/>
    <cellStyle name="20% - Accent4 2 6 4 2 2" xfId="28302"/>
    <cellStyle name="20% - Accent4 2 6 4 2 2 2" xfId="48056"/>
    <cellStyle name="20% - Accent4 2 6 4 2 3" xfId="38412"/>
    <cellStyle name="20% - Accent4 2 6 4 3" xfId="23492"/>
    <cellStyle name="20% - Accent4 2 6 4 3 2" xfId="43247"/>
    <cellStyle name="20% - Accent4 2 6 4 4" xfId="33603"/>
    <cellStyle name="20% - Accent4 2 6 5" xfId="18579"/>
    <cellStyle name="20% - Accent4 2 6 5 2" xfId="28295"/>
    <cellStyle name="20% - Accent4 2 6 5 2 2" xfId="48049"/>
    <cellStyle name="20% - Accent4 2 6 5 3" xfId="38405"/>
    <cellStyle name="20% - Accent4 2 6 6" xfId="23485"/>
    <cellStyle name="20% - Accent4 2 6 6 2" xfId="43240"/>
    <cellStyle name="20% - Accent4 2 6 7" xfId="33596"/>
    <cellStyle name="20% - Accent4 2 7" xfId="3292"/>
    <cellStyle name="20% - Accent4 2 8" xfId="3293"/>
    <cellStyle name="20% - Accent4 2 8 2" xfId="3294"/>
    <cellStyle name="20% - Accent4 2 8 2 2" xfId="3295"/>
    <cellStyle name="20% - Accent4 2 8 2 2 2" xfId="18589"/>
    <cellStyle name="20% - Accent4 2 8 2 2 2 2" xfId="28305"/>
    <cellStyle name="20% - Accent4 2 8 2 2 2 2 2" xfId="48059"/>
    <cellStyle name="20% - Accent4 2 8 2 2 2 3" xfId="38415"/>
    <cellStyle name="20% - Accent4 2 8 2 2 3" xfId="23495"/>
    <cellStyle name="20% - Accent4 2 8 2 2 3 2" xfId="43250"/>
    <cellStyle name="20% - Accent4 2 8 2 2 4" xfId="33606"/>
    <cellStyle name="20% - Accent4 2 8 2 3" xfId="18588"/>
    <cellStyle name="20% - Accent4 2 8 2 3 2" xfId="28304"/>
    <cellStyle name="20% - Accent4 2 8 2 3 2 2" xfId="48058"/>
    <cellStyle name="20% - Accent4 2 8 2 3 3" xfId="38414"/>
    <cellStyle name="20% - Accent4 2 8 2 4" xfId="23494"/>
    <cellStyle name="20% - Accent4 2 8 2 4 2" xfId="43249"/>
    <cellStyle name="20% - Accent4 2 8 2 5" xfId="33605"/>
    <cellStyle name="20% - Accent4 2 8 3" xfId="3296"/>
    <cellStyle name="20% - Accent4 2 8 3 2" xfId="18590"/>
    <cellStyle name="20% - Accent4 2 8 3 2 2" xfId="28306"/>
    <cellStyle name="20% - Accent4 2 8 3 2 2 2" xfId="48060"/>
    <cellStyle name="20% - Accent4 2 8 3 2 3" xfId="38416"/>
    <cellStyle name="20% - Accent4 2 8 3 3" xfId="23496"/>
    <cellStyle name="20% - Accent4 2 8 3 3 2" xfId="43251"/>
    <cellStyle name="20% - Accent4 2 8 3 4" xfId="33607"/>
    <cellStyle name="20% - Accent4 2 8 4" xfId="18587"/>
    <cellStyle name="20% - Accent4 2 8 4 2" xfId="28303"/>
    <cellStyle name="20% - Accent4 2 8 4 2 2" xfId="48057"/>
    <cellStyle name="20% - Accent4 2 8 4 3" xfId="38413"/>
    <cellStyle name="20% - Accent4 2 8 5" xfId="23493"/>
    <cellStyle name="20% - Accent4 2 8 5 2" xfId="43248"/>
    <cellStyle name="20% - Accent4 2 8 6" xfId="33604"/>
    <cellStyle name="20% - Accent4 2 9" xfId="3297"/>
    <cellStyle name="20% - Accent4 2 9 2" xfId="3298"/>
    <cellStyle name="20% - Accent4 2 9 2 2" xfId="18592"/>
    <cellStyle name="20% - Accent4 2 9 2 2 2" xfId="28308"/>
    <cellStyle name="20% - Accent4 2 9 2 2 2 2" xfId="48062"/>
    <cellStyle name="20% - Accent4 2 9 2 2 3" xfId="38418"/>
    <cellStyle name="20% - Accent4 2 9 2 3" xfId="23498"/>
    <cellStyle name="20% - Accent4 2 9 2 3 2" xfId="43253"/>
    <cellStyle name="20% - Accent4 2 9 2 4" xfId="33609"/>
    <cellStyle name="20% - Accent4 2 9 3" xfId="18591"/>
    <cellStyle name="20% - Accent4 2 9 3 2" xfId="28307"/>
    <cellStyle name="20% - Accent4 2 9 3 2 2" xfId="48061"/>
    <cellStyle name="20% - Accent4 2 9 3 3" xfId="38417"/>
    <cellStyle name="20% - Accent4 2 9 4" xfId="23497"/>
    <cellStyle name="20% - Accent4 2 9 4 2" xfId="43252"/>
    <cellStyle name="20% - Accent4 2 9 5" xfId="33608"/>
    <cellStyle name="20% - Accent4 20" xfId="20734"/>
    <cellStyle name="20% - Accent4 20 2" xfId="40514"/>
    <cellStyle name="20% - Accent4 21" xfId="30363"/>
    <cellStyle name="20% - Accent4 21 2" xfId="50112"/>
    <cellStyle name="20% - Accent4 22" xfId="30773"/>
    <cellStyle name="20% - Accent4 22 2" xfId="50512"/>
    <cellStyle name="20% - Accent4 23" xfId="30845"/>
    <cellStyle name="20% - Accent4 24" xfId="30787"/>
    <cellStyle name="20% - Accent4 25" xfId="50528"/>
    <cellStyle name="20% - Accent4 3" xfId="67"/>
    <cellStyle name="20% - Accent4 3 10" xfId="3299"/>
    <cellStyle name="20% - Accent4 3 10 2" xfId="3300"/>
    <cellStyle name="20% - Accent4 3 10 2 2" xfId="18594"/>
    <cellStyle name="20% - Accent4 3 10 2 2 2" xfId="28310"/>
    <cellStyle name="20% - Accent4 3 10 2 2 2 2" xfId="48064"/>
    <cellStyle name="20% - Accent4 3 10 2 2 3" xfId="38420"/>
    <cellStyle name="20% - Accent4 3 10 2 3" xfId="23500"/>
    <cellStyle name="20% - Accent4 3 10 2 3 2" xfId="43255"/>
    <cellStyle name="20% - Accent4 3 10 2 4" xfId="33611"/>
    <cellStyle name="20% - Accent4 3 10 3" xfId="18593"/>
    <cellStyle name="20% - Accent4 3 10 3 2" xfId="28309"/>
    <cellStyle name="20% - Accent4 3 10 3 2 2" xfId="48063"/>
    <cellStyle name="20% - Accent4 3 10 3 3" xfId="38419"/>
    <cellStyle name="20% - Accent4 3 10 4" xfId="23499"/>
    <cellStyle name="20% - Accent4 3 10 4 2" xfId="43254"/>
    <cellStyle name="20% - Accent4 3 10 5" xfId="33610"/>
    <cellStyle name="20% - Accent4 3 11" xfId="3301"/>
    <cellStyle name="20% - Accent4 3 11 2" xfId="18595"/>
    <cellStyle name="20% - Accent4 3 11 2 2" xfId="28311"/>
    <cellStyle name="20% - Accent4 3 11 2 2 2" xfId="48065"/>
    <cellStyle name="20% - Accent4 3 11 2 3" xfId="38421"/>
    <cellStyle name="20% - Accent4 3 11 3" xfId="23501"/>
    <cellStyle name="20% - Accent4 3 11 3 2" xfId="43256"/>
    <cellStyle name="20% - Accent4 3 11 4" xfId="33612"/>
    <cellStyle name="20% - Accent4 3 12" xfId="3302"/>
    <cellStyle name="20% - Accent4 3 12 2" xfId="18596"/>
    <cellStyle name="20% - Accent4 3 12 2 2" xfId="28312"/>
    <cellStyle name="20% - Accent4 3 12 2 2 2" xfId="48066"/>
    <cellStyle name="20% - Accent4 3 12 2 3" xfId="38422"/>
    <cellStyle name="20% - Accent4 3 12 3" xfId="23502"/>
    <cellStyle name="20% - Accent4 3 12 3 2" xfId="43257"/>
    <cellStyle name="20% - Accent4 3 12 4" xfId="33613"/>
    <cellStyle name="20% - Accent4 3 13" xfId="3303"/>
    <cellStyle name="20% - Accent4 3 13 2" xfId="18597"/>
    <cellStyle name="20% - Accent4 3 13 2 2" xfId="28313"/>
    <cellStyle name="20% - Accent4 3 13 2 2 2" xfId="48067"/>
    <cellStyle name="20% - Accent4 3 13 2 3" xfId="38423"/>
    <cellStyle name="20% - Accent4 3 13 3" xfId="23503"/>
    <cellStyle name="20% - Accent4 3 13 3 2" xfId="43258"/>
    <cellStyle name="20% - Accent4 3 13 4" xfId="33614"/>
    <cellStyle name="20% - Accent4 3 2" xfId="3304"/>
    <cellStyle name="20% - Accent4 3 2 10" xfId="3305"/>
    <cellStyle name="20% - Accent4 3 2 10 2" xfId="18599"/>
    <cellStyle name="20% - Accent4 3 2 10 2 2" xfId="28315"/>
    <cellStyle name="20% - Accent4 3 2 10 2 2 2" xfId="48069"/>
    <cellStyle name="20% - Accent4 3 2 10 2 3" xfId="38425"/>
    <cellStyle name="20% - Accent4 3 2 10 3" xfId="23505"/>
    <cellStyle name="20% - Accent4 3 2 10 3 2" xfId="43260"/>
    <cellStyle name="20% - Accent4 3 2 10 4" xfId="33616"/>
    <cellStyle name="20% - Accent4 3 2 11" xfId="3306"/>
    <cellStyle name="20% - Accent4 3 2 11 2" xfId="18600"/>
    <cellStyle name="20% - Accent4 3 2 11 2 2" xfId="28316"/>
    <cellStyle name="20% - Accent4 3 2 11 2 2 2" xfId="48070"/>
    <cellStyle name="20% - Accent4 3 2 11 2 3" xfId="38426"/>
    <cellStyle name="20% - Accent4 3 2 11 3" xfId="23506"/>
    <cellStyle name="20% - Accent4 3 2 11 3 2" xfId="43261"/>
    <cellStyle name="20% - Accent4 3 2 11 4" xfId="33617"/>
    <cellStyle name="20% - Accent4 3 2 12" xfId="18598"/>
    <cellStyle name="20% - Accent4 3 2 12 2" xfId="28314"/>
    <cellStyle name="20% - Accent4 3 2 12 2 2" xfId="48068"/>
    <cellStyle name="20% - Accent4 3 2 12 3" xfId="38424"/>
    <cellStyle name="20% - Accent4 3 2 13" xfId="23504"/>
    <cellStyle name="20% - Accent4 3 2 13 2" xfId="43259"/>
    <cellStyle name="20% - Accent4 3 2 14" xfId="33615"/>
    <cellStyle name="20% - Accent4 3 2 2" xfId="3307"/>
    <cellStyle name="20% - Accent4 3 2 2 10" xfId="3308"/>
    <cellStyle name="20% - Accent4 3 2 2 10 2" xfId="18602"/>
    <cellStyle name="20% - Accent4 3 2 2 10 2 2" xfId="28318"/>
    <cellStyle name="20% - Accent4 3 2 2 10 2 2 2" xfId="48072"/>
    <cellStyle name="20% - Accent4 3 2 2 10 2 3" xfId="38428"/>
    <cellStyle name="20% - Accent4 3 2 2 10 3" xfId="23508"/>
    <cellStyle name="20% - Accent4 3 2 2 10 3 2" xfId="43263"/>
    <cellStyle name="20% - Accent4 3 2 2 10 4" xfId="33619"/>
    <cellStyle name="20% - Accent4 3 2 2 11" xfId="18601"/>
    <cellStyle name="20% - Accent4 3 2 2 11 2" xfId="28317"/>
    <cellStyle name="20% - Accent4 3 2 2 11 2 2" xfId="48071"/>
    <cellStyle name="20% - Accent4 3 2 2 11 3" xfId="38427"/>
    <cellStyle name="20% - Accent4 3 2 2 12" xfId="23507"/>
    <cellStyle name="20% - Accent4 3 2 2 12 2" xfId="43262"/>
    <cellStyle name="20% - Accent4 3 2 2 13" xfId="33618"/>
    <cellStyle name="20% - Accent4 3 2 2 2" xfId="3309"/>
    <cellStyle name="20% - Accent4 3 2 2 2 10" xfId="33620"/>
    <cellStyle name="20% - Accent4 3 2 2 2 2" xfId="3310"/>
    <cellStyle name="20% - Accent4 3 2 2 2 2 2" xfId="3311"/>
    <cellStyle name="20% - Accent4 3 2 2 2 2 2 2" xfId="3312"/>
    <cellStyle name="20% - Accent4 3 2 2 2 2 2 2 2" xfId="3313"/>
    <cellStyle name="20% - Accent4 3 2 2 2 2 2 2 2 2" xfId="18607"/>
    <cellStyle name="20% - Accent4 3 2 2 2 2 2 2 2 2 2" xfId="28323"/>
    <cellStyle name="20% - Accent4 3 2 2 2 2 2 2 2 2 2 2" xfId="48077"/>
    <cellStyle name="20% - Accent4 3 2 2 2 2 2 2 2 2 3" xfId="38433"/>
    <cellStyle name="20% - Accent4 3 2 2 2 2 2 2 2 3" xfId="23513"/>
    <cellStyle name="20% - Accent4 3 2 2 2 2 2 2 2 3 2" xfId="43268"/>
    <cellStyle name="20% - Accent4 3 2 2 2 2 2 2 2 4" xfId="33624"/>
    <cellStyle name="20% - Accent4 3 2 2 2 2 2 2 3" xfId="18606"/>
    <cellStyle name="20% - Accent4 3 2 2 2 2 2 2 3 2" xfId="28322"/>
    <cellStyle name="20% - Accent4 3 2 2 2 2 2 2 3 2 2" xfId="48076"/>
    <cellStyle name="20% - Accent4 3 2 2 2 2 2 2 3 3" xfId="38432"/>
    <cellStyle name="20% - Accent4 3 2 2 2 2 2 2 4" xfId="23512"/>
    <cellStyle name="20% - Accent4 3 2 2 2 2 2 2 4 2" xfId="43267"/>
    <cellStyle name="20% - Accent4 3 2 2 2 2 2 2 5" xfId="33623"/>
    <cellStyle name="20% - Accent4 3 2 2 2 2 2 3" xfId="3314"/>
    <cellStyle name="20% - Accent4 3 2 2 2 2 2 3 2" xfId="18608"/>
    <cellStyle name="20% - Accent4 3 2 2 2 2 2 3 2 2" xfId="28324"/>
    <cellStyle name="20% - Accent4 3 2 2 2 2 2 3 2 2 2" xfId="48078"/>
    <cellStyle name="20% - Accent4 3 2 2 2 2 2 3 2 3" xfId="38434"/>
    <cellStyle name="20% - Accent4 3 2 2 2 2 2 3 3" xfId="23514"/>
    <cellStyle name="20% - Accent4 3 2 2 2 2 2 3 3 2" xfId="43269"/>
    <cellStyle name="20% - Accent4 3 2 2 2 2 2 3 4" xfId="33625"/>
    <cellStyle name="20% - Accent4 3 2 2 2 2 2 4" xfId="18605"/>
    <cellStyle name="20% - Accent4 3 2 2 2 2 2 4 2" xfId="28321"/>
    <cellStyle name="20% - Accent4 3 2 2 2 2 2 4 2 2" xfId="48075"/>
    <cellStyle name="20% - Accent4 3 2 2 2 2 2 4 3" xfId="38431"/>
    <cellStyle name="20% - Accent4 3 2 2 2 2 2 5" xfId="23511"/>
    <cellStyle name="20% - Accent4 3 2 2 2 2 2 5 2" xfId="43266"/>
    <cellStyle name="20% - Accent4 3 2 2 2 2 2 6" xfId="33622"/>
    <cellStyle name="20% - Accent4 3 2 2 2 2 3" xfId="3315"/>
    <cellStyle name="20% - Accent4 3 2 2 2 2 3 2" xfId="3316"/>
    <cellStyle name="20% - Accent4 3 2 2 2 2 3 2 2" xfId="18610"/>
    <cellStyle name="20% - Accent4 3 2 2 2 2 3 2 2 2" xfId="28326"/>
    <cellStyle name="20% - Accent4 3 2 2 2 2 3 2 2 2 2" xfId="48080"/>
    <cellStyle name="20% - Accent4 3 2 2 2 2 3 2 2 3" xfId="38436"/>
    <cellStyle name="20% - Accent4 3 2 2 2 2 3 2 3" xfId="23516"/>
    <cellStyle name="20% - Accent4 3 2 2 2 2 3 2 3 2" xfId="43271"/>
    <cellStyle name="20% - Accent4 3 2 2 2 2 3 2 4" xfId="33627"/>
    <cellStyle name="20% - Accent4 3 2 2 2 2 3 3" xfId="18609"/>
    <cellStyle name="20% - Accent4 3 2 2 2 2 3 3 2" xfId="28325"/>
    <cellStyle name="20% - Accent4 3 2 2 2 2 3 3 2 2" xfId="48079"/>
    <cellStyle name="20% - Accent4 3 2 2 2 2 3 3 3" xfId="38435"/>
    <cellStyle name="20% - Accent4 3 2 2 2 2 3 4" xfId="23515"/>
    <cellStyle name="20% - Accent4 3 2 2 2 2 3 4 2" xfId="43270"/>
    <cellStyle name="20% - Accent4 3 2 2 2 2 3 5" xfId="33626"/>
    <cellStyle name="20% - Accent4 3 2 2 2 2 4" xfId="3317"/>
    <cellStyle name="20% - Accent4 3 2 2 2 2 4 2" xfId="18611"/>
    <cellStyle name="20% - Accent4 3 2 2 2 2 4 2 2" xfId="28327"/>
    <cellStyle name="20% - Accent4 3 2 2 2 2 4 2 2 2" xfId="48081"/>
    <cellStyle name="20% - Accent4 3 2 2 2 2 4 2 3" xfId="38437"/>
    <cellStyle name="20% - Accent4 3 2 2 2 2 4 3" xfId="23517"/>
    <cellStyle name="20% - Accent4 3 2 2 2 2 4 3 2" xfId="43272"/>
    <cellStyle name="20% - Accent4 3 2 2 2 2 4 4" xfId="33628"/>
    <cellStyle name="20% - Accent4 3 2 2 2 2 5" xfId="18604"/>
    <cellStyle name="20% - Accent4 3 2 2 2 2 5 2" xfId="28320"/>
    <cellStyle name="20% - Accent4 3 2 2 2 2 5 2 2" xfId="48074"/>
    <cellStyle name="20% - Accent4 3 2 2 2 2 5 3" xfId="38430"/>
    <cellStyle name="20% - Accent4 3 2 2 2 2 6" xfId="23510"/>
    <cellStyle name="20% - Accent4 3 2 2 2 2 6 2" xfId="43265"/>
    <cellStyle name="20% - Accent4 3 2 2 2 2 7" xfId="33621"/>
    <cellStyle name="20% - Accent4 3 2 2 2 3" xfId="3318"/>
    <cellStyle name="20% - Accent4 3 2 2 2 3 2" xfId="3319"/>
    <cellStyle name="20% - Accent4 3 2 2 2 3 2 2" xfId="3320"/>
    <cellStyle name="20% - Accent4 3 2 2 2 3 2 2 2" xfId="18614"/>
    <cellStyle name="20% - Accent4 3 2 2 2 3 2 2 2 2" xfId="28330"/>
    <cellStyle name="20% - Accent4 3 2 2 2 3 2 2 2 2 2" xfId="48084"/>
    <cellStyle name="20% - Accent4 3 2 2 2 3 2 2 2 3" xfId="38440"/>
    <cellStyle name="20% - Accent4 3 2 2 2 3 2 2 3" xfId="23520"/>
    <cellStyle name="20% - Accent4 3 2 2 2 3 2 2 3 2" xfId="43275"/>
    <cellStyle name="20% - Accent4 3 2 2 2 3 2 2 4" xfId="33631"/>
    <cellStyle name="20% - Accent4 3 2 2 2 3 2 3" xfId="18613"/>
    <cellStyle name="20% - Accent4 3 2 2 2 3 2 3 2" xfId="28329"/>
    <cellStyle name="20% - Accent4 3 2 2 2 3 2 3 2 2" xfId="48083"/>
    <cellStyle name="20% - Accent4 3 2 2 2 3 2 3 3" xfId="38439"/>
    <cellStyle name="20% - Accent4 3 2 2 2 3 2 4" xfId="23519"/>
    <cellStyle name="20% - Accent4 3 2 2 2 3 2 4 2" xfId="43274"/>
    <cellStyle name="20% - Accent4 3 2 2 2 3 2 5" xfId="33630"/>
    <cellStyle name="20% - Accent4 3 2 2 2 3 3" xfId="3321"/>
    <cellStyle name="20% - Accent4 3 2 2 2 3 3 2" xfId="18615"/>
    <cellStyle name="20% - Accent4 3 2 2 2 3 3 2 2" xfId="28331"/>
    <cellStyle name="20% - Accent4 3 2 2 2 3 3 2 2 2" xfId="48085"/>
    <cellStyle name="20% - Accent4 3 2 2 2 3 3 2 3" xfId="38441"/>
    <cellStyle name="20% - Accent4 3 2 2 2 3 3 3" xfId="23521"/>
    <cellStyle name="20% - Accent4 3 2 2 2 3 3 3 2" xfId="43276"/>
    <cellStyle name="20% - Accent4 3 2 2 2 3 3 4" xfId="33632"/>
    <cellStyle name="20% - Accent4 3 2 2 2 3 4" xfId="18612"/>
    <cellStyle name="20% - Accent4 3 2 2 2 3 4 2" xfId="28328"/>
    <cellStyle name="20% - Accent4 3 2 2 2 3 4 2 2" xfId="48082"/>
    <cellStyle name="20% - Accent4 3 2 2 2 3 4 3" xfId="38438"/>
    <cellStyle name="20% - Accent4 3 2 2 2 3 5" xfId="23518"/>
    <cellStyle name="20% - Accent4 3 2 2 2 3 5 2" xfId="43273"/>
    <cellStyle name="20% - Accent4 3 2 2 2 3 6" xfId="33629"/>
    <cellStyle name="20% - Accent4 3 2 2 2 4" xfId="3322"/>
    <cellStyle name="20% - Accent4 3 2 2 2 4 2" xfId="3323"/>
    <cellStyle name="20% - Accent4 3 2 2 2 4 2 2" xfId="18617"/>
    <cellStyle name="20% - Accent4 3 2 2 2 4 2 2 2" xfId="28333"/>
    <cellStyle name="20% - Accent4 3 2 2 2 4 2 2 2 2" xfId="48087"/>
    <cellStyle name="20% - Accent4 3 2 2 2 4 2 2 3" xfId="38443"/>
    <cellStyle name="20% - Accent4 3 2 2 2 4 2 3" xfId="23523"/>
    <cellStyle name="20% - Accent4 3 2 2 2 4 2 3 2" xfId="43278"/>
    <cellStyle name="20% - Accent4 3 2 2 2 4 2 4" xfId="33634"/>
    <cellStyle name="20% - Accent4 3 2 2 2 4 3" xfId="18616"/>
    <cellStyle name="20% - Accent4 3 2 2 2 4 3 2" xfId="28332"/>
    <cellStyle name="20% - Accent4 3 2 2 2 4 3 2 2" xfId="48086"/>
    <cellStyle name="20% - Accent4 3 2 2 2 4 3 3" xfId="38442"/>
    <cellStyle name="20% - Accent4 3 2 2 2 4 4" xfId="23522"/>
    <cellStyle name="20% - Accent4 3 2 2 2 4 4 2" xfId="43277"/>
    <cellStyle name="20% - Accent4 3 2 2 2 4 5" xfId="33633"/>
    <cellStyle name="20% - Accent4 3 2 2 2 5" xfId="3324"/>
    <cellStyle name="20% - Accent4 3 2 2 2 5 2" xfId="18618"/>
    <cellStyle name="20% - Accent4 3 2 2 2 5 2 2" xfId="28334"/>
    <cellStyle name="20% - Accent4 3 2 2 2 5 2 2 2" xfId="48088"/>
    <cellStyle name="20% - Accent4 3 2 2 2 5 2 3" xfId="38444"/>
    <cellStyle name="20% - Accent4 3 2 2 2 5 3" xfId="23524"/>
    <cellStyle name="20% - Accent4 3 2 2 2 5 3 2" xfId="43279"/>
    <cellStyle name="20% - Accent4 3 2 2 2 5 4" xfId="33635"/>
    <cellStyle name="20% - Accent4 3 2 2 2 6" xfId="3325"/>
    <cellStyle name="20% - Accent4 3 2 2 2 6 2" xfId="18619"/>
    <cellStyle name="20% - Accent4 3 2 2 2 6 2 2" xfId="28335"/>
    <cellStyle name="20% - Accent4 3 2 2 2 6 2 2 2" xfId="48089"/>
    <cellStyle name="20% - Accent4 3 2 2 2 6 2 3" xfId="38445"/>
    <cellStyle name="20% - Accent4 3 2 2 2 6 3" xfId="23525"/>
    <cellStyle name="20% - Accent4 3 2 2 2 6 3 2" xfId="43280"/>
    <cellStyle name="20% - Accent4 3 2 2 2 6 4" xfId="33636"/>
    <cellStyle name="20% - Accent4 3 2 2 2 7" xfId="3326"/>
    <cellStyle name="20% - Accent4 3 2 2 2 7 2" xfId="18620"/>
    <cellStyle name="20% - Accent4 3 2 2 2 7 2 2" xfId="28336"/>
    <cellStyle name="20% - Accent4 3 2 2 2 7 2 2 2" xfId="48090"/>
    <cellStyle name="20% - Accent4 3 2 2 2 7 2 3" xfId="38446"/>
    <cellStyle name="20% - Accent4 3 2 2 2 7 3" xfId="23526"/>
    <cellStyle name="20% - Accent4 3 2 2 2 7 3 2" xfId="43281"/>
    <cellStyle name="20% - Accent4 3 2 2 2 7 4" xfId="33637"/>
    <cellStyle name="20% - Accent4 3 2 2 2 8" xfId="18603"/>
    <cellStyle name="20% - Accent4 3 2 2 2 8 2" xfId="28319"/>
    <cellStyle name="20% - Accent4 3 2 2 2 8 2 2" xfId="48073"/>
    <cellStyle name="20% - Accent4 3 2 2 2 8 3" xfId="38429"/>
    <cellStyle name="20% - Accent4 3 2 2 2 9" xfId="23509"/>
    <cellStyle name="20% - Accent4 3 2 2 2 9 2" xfId="43264"/>
    <cellStyle name="20% - Accent4 3 2 2 3" xfId="3327"/>
    <cellStyle name="20% - Accent4 3 2 2 3 2" xfId="3328"/>
    <cellStyle name="20% - Accent4 3 2 2 3 2 2" xfId="3329"/>
    <cellStyle name="20% - Accent4 3 2 2 3 2 2 2" xfId="3330"/>
    <cellStyle name="20% - Accent4 3 2 2 3 2 2 2 2" xfId="18624"/>
    <cellStyle name="20% - Accent4 3 2 2 3 2 2 2 2 2" xfId="28340"/>
    <cellStyle name="20% - Accent4 3 2 2 3 2 2 2 2 2 2" xfId="48094"/>
    <cellStyle name="20% - Accent4 3 2 2 3 2 2 2 2 3" xfId="38450"/>
    <cellStyle name="20% - Accent4 3 2 2 3 2 2 2 3" xfId="23530"/>
    <cellStyle name="20% - Accent4 3 2 2 3 2 2 2 3 2" xfId="43285"/>
    <cellStyle name="20% - Accent4 3 2 2 3 2 2 2 4" xfId="33641"/>
    <cellStyle name="20% - Accent4 3 2 2 3 2 2 3" xfId="18623"/>
    <cellStyle name="20% - Accent4 3 2 2 3 2 2 3 2" xfId="28339"/>
    <cellStyle name="20% - Accent4 3 2 2 3 2 2 3 2 2" xfId="48093"/>
    <cellStyle name="20% - Accent4 3 2 2 3 2 2 3 3" xfId="38449"/>
    <cellStyle name="20% - Accent4 3 2 2 3 2 2 4" xfId="23529"/>
    <cellStyle name="20% - Accent4 3 2 2 3 2 2 4 2" xfId="43284"/>
    <cellStyle name="20% - Accent4 3 2 2 3 2 2 5" xfId="33640"/>
    <cellStyle name="20% - Accent4 3 2 2 3 2 3" xfId="3331"/>
    <cellStyle name="20% - Accent4 3 2 2 3 2 3 2" xfId="18625"/>
    <cellStyle name="20% - Accent4 3 2 2 3 2 3 2 2" xfId="28341"/>
    <cellStyle name="20% - Accent4 3 2 2 3 2 3 2 2 2" xfId="48095"/>
    <cellStyle name="20% - Accent4 3 2 2 3 2 3 2 3" xfId="38451"/>
    <cellStyle name="20% - Accent4 3 2 2 3 2 3 3" xfId="23531"/>
    <cellStyle name="20% - Accent4 3 2 2 3 2 3 3 2" xfId="43286"/>
    <cellStyle name="20% - Accent4 3 2 2 3 2 3 4" xfId="33642"/>
    <cellStyle name="20% - Accent4 3 2 2 3 2 4" xfId="18622"/>
    <cellStyle name="20% - Accent4 3 2 2 3 2 4 2" xfId="28338"/>
    <cellStyle name="20% - Accent4 3 2 2 3 2 4 2 2" xfId="48092"/>
    <cellStyle name="20% - Accent4 3 2 2 3 2 4 3" xfId="38448"/>
    <cellStyle name="20% - Accent4 3 2 2 3 2 5" xfId="23528"/>
    <cellStyle name="20% - Accent4 3 2 2 3 2 5 2" xfId="43283"/>
    <cellStyle name="20% - Accent4 3 2 2 3 2 6" xfId="33639"/>
    <cellStyle name="20% - Accent4 3 2 2 3 3" xfId="3332"/>
    <cellStyle name="20% - Accent4 3 2 2 3 3 2" xfId="3333"/>
    <cellStyle name="20% - Accent4 3 2 2 3 3 2 2" xfId="18627"/>
    <cellStyle name="20% - Accent4 3 2 2 3 3 2 2 2" xfId="28343"/>
    <cellStyle name="20% - Accent4 3 2 2 3 3 2 2 2 2" xfId="48097"/>
    <cellStyle name="20% - Accent4 3 2 2 3 3 2 2 3" xfId="38453"/>
    <cellStyle name="20% - Accent4 3 2 2 3 3 2 3" xfId="23533"/>
    <cellStyle name="20% - Accent4 3 2 2 3 3 2 3 2" xfId="43288"/>
    <cellStyle name="20% - Accent4 3 2 2 3 3 2 4" xfId="33644"/>
    <cellStyle name="20% - Accent4 3 2 2 3 3 3" xfId="18626"/>
    <cellStyle name="20% - Accent4 3 2 2 3 3 3 2" xfId="28342"/>
    <cellStyle name="20% - Accent4 3 2 2 3 3 3 2 2" xfId="48096"/>
    <cellStyle name="20% - Accent4 3 2 2 3 3 3 3" xfId="38452"/>
    <cellStyle name="20% - Accent4 3 2 2 3 3 4" xfId="23532"/>
    <cellStyle name="20% - Accent4 3 2 2 3 3 4 2" xfId="43287"/>
    <cellStyle name="20% - Accent4 3 2 2 3 3 5" xfId="33643"/>
    <cellStyle name="20% - Accent4 3 2 2 3 4" xfId="3334"/>
    <cellStyle name="20% - Accent4 3 2 2 3 4 2" xfId="18628"/>
    <cellStyle name="20% - Accent4 3 2 2 3 4 2 2" xfId="28344"/>
    <cellStyle name="20% - Accent4 3 2 2 3 4 2 2 2" xfId="48098"/>
    <cellStyle name="20% - Accent4 3 2 2 3 4 2 3" xfId="38454"/>
    <cellStyle name="20% - Accent4 3 2 2 3 4 3" xfId="23534"/>
    <cellStyle name="20% - Accent4 3 2 2 3 4 3 2" xfId="43289"/>
    <cellStyle name="20% - Accent4 3 2 2 3 4 4" xfId="33645"/>
    <cellStyle name="20% - Accent4 3 2 2 3 5" xfId="18621"/>
    <cellStyle name="20% - Accent4 3 2 2 3 5 2" xfId="28337"/>
    <cellStyle name="20% - Accent4 3 2 2 3 5 2 2" xfId="48091"/>
    <cellStyle name="20% - Accent4 3 2 2 3 5 3" xfId="38447"/>
    <cellStyle name="20% - Accent4 3 2 2 3 6" xfId="23527"/>
    <cellStyle name="20% - Accent4 3 2 2 3 6 2" xfId="43282"/>
    <cellStyle name="20% - Accent4 3 2 2 3 7" xfId="33638"/>
    <cellStyle name="20% - Accent4 3 2 2 4" xfId="3335"/>
    <cellStyle name="20% - Accent4 3 2 2 4 2" xfId="3336"/>
    <cellStyle name="20% - Accent4 3 2 2 4 2 2" xfId="3337"/>
    <cellStyle name="20% - Accent4 3 2 2 4 2 2 2" xfId="3338"/>
    <cellStyle name="20% - Accent4 3 2 2 4 2 2 2 2" xfId="18632"/>
    <cellStyle name="20% - Accent4 3 2 2 4 2 2 2 2 2" xfId="28348"/>
    <cellStyle name="20% - Accent4 3 2 2 4 2 2 2 2 2 2" xfId="48102"/>
    <cellStyle name="20% - Accent4 3 2 2 4 2 2 2 2 3" xfId="38458"/>
    <cellStyle name="20% - Accent4 3 2 2 4 2 2 2 3" xfId="23538"/>
    <cellStyle name="20% - Accent4 3 2 2 4 2 2 2 3 2" xfId="43293"/>
    <cellStyle name="20% - Accent4 3 2 2 4 2 2 2 4" xfId="33649"/>
    <cellStyle name="20% - Accent4 3 2 2 4 2 2 3" xfId="18631"/>
    <cellStyle name="20% - Accent4 3 2 2 4 2 2 3 2" xfId="28347"/>
    <cellStyle name="20% - Accent4 3 2 2 4 2 2 3 2 2" xfId="48101"/>
    <cellStyle name="20% - Accent4 3 2 2 4 2 2 3 3" xfId="38457"/>
    <cellStyle name="20% - Accent4 3 2 2 4 2 2 4" xfId="23537"/>
    <cellStyle name="20% - Accent4 3 2 2 4 2 2 4 2" xfId="43292"/>
    <cellStyle name="20% - Accent4 3 2 2 4 2 2 5" xfId="33648"/>
    <cellStyle name="20% - Accent4 3 2 2 4 2 3" xfId="3339"/>
    <cellStyle name="20% - Accent4 3 2 2 4 2 3 2" xfId="18633"/>
    <cellStyle name="20% - Accent4 3 2 2 4 2 3 2 2" xfId="28349"/>
    <cellStyle name="20% - Accent4 3 2 2 4 2 3 2 2 2" xfId="48103"/>
    <cellStyle name="20% - Accent4 3 2 2 4 2 3 2 3" xfId="38459"/>
    <cellStyle name="20% - Accent4 3 2 2 4 2 3 3" xfId="23539"/>
    <cellStyle name="20% - Accent4 3 2 2 4 2 3 3 2" xfId="43294"/>
    <cellStyle name="20% - Accent4 3 2 2 4 2 3 4" xfId="33650"/>
    <cellStyle name="20% - Accent4 3 2 2 4 2 4" xfId="18630"/>
    <cellStyle name="20% - Accent4 3 2 2 4 2 4 2" xfId="28346"/>
    <cellStyle name="20% - Accent4 3 2 2 4 2 4 2 2" xfId="48100"/>
    <cellStyle name="20% - Accent4 3 2 2 4 2 4 3" xfId="38456"/>
    <cellStyle name="20% - Accent4 3 2 2 4 2 5" xfId="23536"/>
    <cellStyle name="20% - Accent4 3 2 2 4 2 5 2" xfId="43291"/>
    <cellStyle name="20% - Accent4 3 2 2 4 2 6" xfId="33647"/>
    <cellStyle name="20% - Accent4 3 2 2 4 3" xfId="3340"/>
    <cellStyle name="20% - Accent4 3 2 2 4 3 2" xfId="3341"/>
    <cellStyle name="20% - Accent4 3 2 2 4 3 2 2" xfId="18635"/>
    <cellStyle name="20% - Accent4 3 2 2 4 3 2 2 2" xfId="28351"/>
    <cellStyle name="20% - Accent4 3 2 2 4 3 2 2 2 2" xfId="48105"/>
    <cellStyle name="20% - Accent4 3 2 2 4 3 2 2 3" xfId="38461"/>
    <cellStyle name="20% - Accent4 3 2 2 4 3 2 3" xfId="23541"/>
    <cellStyle name="20% - Accent4 3 2 2 4 3 2 3 2" xfId="43296"/>
    <cellStyle name="20% - Accent4 3 2 2 4 3 2 4" xfId="33652"/>
    <cellStyle name="20% - Accent4 3 2 2 4 3 3" xfId="18634"/>
    <cellStyle name="20% - Accent4 3 2 2 4 3 3 2" xfId="28350"/>
    <cellStyle name="20% - Accent4 3 2 2 4 3 3 2 2" xfId="48104"/>
    <cellStyle name="20% - Accent4 3 2 2 4 3 3 3" xfId="38460"/>
    <cellStyle name="20% - Accent4 3 2 2 4 3 4" xfId="23540"/>
    <cellStyle name="20% - Accent4 3 2 2 4 3 4 2" xfId="43295"/>
    <cellStyle name="20% - Accent4 3 2 2 4 3 5" xfId="33651"/>
    <cellStyle name="20% - Accent4 3 2 2 4 4" xfId="3342"/>
    <cellStyle name="20% - Accent4 3 2 2 4 4 2" xfId="18636"/>
    <cellStyle name="20% - Accent4 3 2 2 4 4 2 2" xfId="28352"/>
    <cellStyle name="20% - Accent4 3 2 2 4 4 2 2 2" xfId="48106"/>
    <cellStyle name="20% - Accent4 3 2 2 4 4 2 3" xfId="38462"/>
    <cellStyle name="20% - Accent4 3 2 2 4 4 3" xfId="23542"/>
    <cellStyle name="20% - Accent4 3 2 2 4 4 3 2" xfId="43297"/>
    <cellStyle name="20% - Accent4 3 2 2 4 4 4" xfId="33653"/>
    <cellStyle name="20% - Accent4 3 2 2 4 5" xfId="18629"/>
    <cellStyle name="20% - Accent4 3 2 2 4 5 2" xfId="28345"/>
    <cellStyle name="20% - Accent4 3 2 2 4 5 2 2" xfId="48099"/>
    <cellStyle name="20% - Accent4 3 2 2 4 5 3" xfId="38455"/>
    <cellStyle name="20% - Accent4 3 2 2 4 6" xfId="23535"/>
    <cellStyle name="20% - Accent4 3 2 2 4 6 2" xfId="43290"/>
    <cellStyle name="20% - Accent4 3 2 2 4 7" xfId="33646"/>
    <cellStyle name="20% - Accent4 3 2 2 5" xfId="3343"/>
    <cellStyle name="20% - Accent4 3 2 2 5 2" xfId="3344"/>
    <cellStyle name="20% - Accent4 3 2 2 5 2 2" xfId="3345"/>
    <cellStyle name="20% - Accent4 3 2 2 5 2 2 2" xfId="18639"/>
    <cellStyle name="20% - Accent4 3 2 2 5 2 2 2 2" xfId="28355"/>
    <cellStyle name="20% - Accent4 3 2 2 5 2 2 2 2 2" xfId="48109"/>
    <cellStyle name="20% - Accent4 3 2 2 5 2 2 2 3" xfId="38465"/>
    <cellStyle name="20% - Accent4 3 2 2 5 2 2 3" xfId="23545"/>
    <cellStyle name="20% - Accent4 3 2 2 5 2 2 3 2" xfId="43300"/>
    <cellStyle name="20% - Accent4 3 2 2 5 2 2 4" xfId="33656"/>
    <cellStyle name="20% - Accent4 3 2 2 5 2 3" xfId="18638"/>
    <cellStyle name="20% - Accent4 3 2 2 5 2 3 2" xfId="28354"/>
    <cellStyle name="20% - Accent4 3 2 2 5 2 3 2 2" xfId="48108"/>
    <cellStyle name="20% - Accent4 3 2 2 5 2 3 3" xfId="38464"/>
    <cellStyle name="20% - Accent4 3 2 2 5 2 4" xfId="23544"/>
    <cellStyle name="20% - Accent4 3 2 2 5 2 4 2" xfId="43299"/>
    <cellStyle name="20% - Accent4 3 2 2 5 2 5" xfId="33655"/>
    <cellStyle name="20% - Accent4 3 2 2 5 3" xfId="3346"/>
    <cellStyle name="20% - Accent4 3 2 2 5 3 2" xfId="18640"/>
    <cellStyle name="20% - Accent4 3 2 2 5 3 2 2" xfId="28356"/>
    <cellStyle name="20% - Accent4 3 2 2 5 3 2 2 2" xfId="48110"/>
    <cellStyle name="20% - Accent4 3 2 2 5 3 2 3" xfId="38466"/>
    <cellStyle name="20% - Accent4 3 2 2 5 3 3" xfId="23546"/>
    <cellStyle name="20% - Accent4 3 2 2 5 3 3 2" xfId="43301"/>
    <cellStyle name="20% - Accent4 3 2 2 5 3 4" xfId="33657"/>
    <cellStyle name="20% - Accent4 3 2 2 5 4" xfId="18637"/>
    <cellStyle name="20% - Accent4 3 2 2 5 4 2" xfId="28353"/>
    <cellStyle name="20% - Accent4 3 2 2 5 4 2 2" xfId="48107"/>
    <cellStyle name="20% - Accent4 3 2 2 5 4 3" xfId="38463"/>
    <cellStyle name="20% - Accent4 3 2 2 5 5" xfId="23543"/>
    <cellStyle name="20% - Accent4 3 2 2 5 5 2" xfId="43298"/>
    <cellStyle name="20% - Accent4 3 2 2 5 6" xfId="33654"/>
    <cellStyle name="20% - Accent4 3 2 2 6" xfId="3347"/>
    <cellStyle name="20% - Accent4 3 2 2 6 2" xfId="3348"/>
    <cellStyle name="20% - Accent4 3 2 2 6 2 2" xfId="18642"/>
    <cellStyle name="20% - Accent4 3 2 2 6 2 2 2" xfId="28358"/>
    <cellStyle name="20% - Accent4 3 2 2 6 2 2 2 2" xfId="48112"/>
    <cellStyle name="20% - Accent4 3 2 2 6 2 2 3" xfId="38468"/>
    <cellStyle name="20% - Accent4 3 2 2 6 2 3" xfId="23548"/>
    <cellStyle name="20% - Accent4 3 2 2 6 2 3 2" xfId="43303"/>
    <cellStyle name="20% - Accent4 3 2 2 6 2 4" xfId="33659"/>
    <cellStyle name="20% - Accent4 3 2 2 6 3" xfId="18641"/>
    <cellStyle name="20% - Accent4 3 2 2 6 3 2" xfId="28357"/>
    <cellStyle name="20% - Accent4 3 2 2 6 3 2 2" xfId="48111"/>
    <cellStyle name="20% - Accent4 3 2 2 6 3 3" xfId="38467"/>
    <cellStyle name="20% - Accent4 3 2 2 6 4" xfId="23547"/>
    <cellStyle name="20% - Accent4 3 2 2 6 4 2" xfId="43302"/>
    <cellStyle name="20% - Accent4 3 2 2 6 5" xfId="33658"/>
    <cellStyle name="20% - Accent4 3 2 2 7" xfId="3349"/>
    <cellStyle name="20% - Accent4 3 2 2 7 2" xfId="3350"/>
    <cellStyle name="20% - Accent4 3 2 2 7 2 2" xfId="18644"/>
    <cellStyle name="20% - Accent4 3 2 2 7 2 2 2" xfId="28360"/>
    <cellStyle name="20% - Accent4 3 2 2 7 2 2 2 2" xfId="48114"/>
    <cellStyle name="20% - Accent4 3 2 2 7 2 2 3" xfId="38470"/>
    <cellStyle name="20% - Accent4 3 2 2 7 2 3" xfId="23550"/>
    <cellStyle name="20% - Accent4 3 2 2 7 2 3 2" xfId="43305"/>
    <cellStyle name="20% - Accent4 3 2 2 7 2 4" xfId="33661"/>
    <cellStyle name="20% - Accent4 3 2 2 7 3" xfId="18643"/>
    <cellStyle name="20% - Accent4 3 2 2 7 3 2" xfId="28359"/>
    <cellStyle name="20% - Accent4 3 2 2 7 3 2 2" xfId="48113"/>
    <cellStyle name="20% - Accent4 3 2 2 7 3 3" xfId="38469"/>
    <cellStyle name="20% - Accent4 3 2 2 7 4" xfId="23549"/>
    <cellStyle name="20% - Accent4 3 2 2 7 4 2" xfId="43304"/>
    <cellStyle name="20% - Accent4 3 2 2 7 5" xfId="33660"/>
    <cellStyle name="20% - Accent4 3 2 2 8" xfId="3351"/>
    <cellStyle name="20% - Accent4 3 2 2 8 2" xfId="18645"/>
    <cellStyle name="20% - Accent4 3 2 2 8 2 2" xfId="28361"/>
    <cellStyle name="20% - Accent4 3 2 2 8 2 2 2" xfId="48115"/>
    <cellStyle name="20% - Accent4 3 2 2 8 2 3" xfId="38471"/>
    <cellStyle name="20% - Accent4 3 2 2 8 3" xfId="23551"/>
    <cellStyle name="20% - Accent4 3 2 2 8 3 2" xfId="43306"/>
    <cellStyle name="20% - Accent4 3 2 2 8 4" xfId="33662"/>
    <cellStyle name="20% - Accent4 3 2 2 9" xfId="3352"/>
    <cellStyle name="20% - Accent4 3 2 2 9 2" xfId="18646"/>
    <cellStyle name="20% - Accent4 3 2 2 9 2 2" xfId="28362"/>
    <cellStyle name="20% - Accent4 3 2 2 9 2 2 2" xfId="48116"/>
    <cellStyle name="20% - Accent4 3 2 2 9 2 3" xfId="38472"/>
    <cellStyle name="20% - Accent4 3 2 2 9 3" xfId="23552"/>
    <cellStyle name="20% - Accent4 3 2 2 9 3 2" xfId="43307"/>
    <cellStyle name="20% - Accent4 3 2 2 9 4" xfId="33663"/>
    <cellStyle name="20% - Accent4 3 2 3" xfId="3353"/>
    <cellStyle name="20% - Accent4 3 2 3 10" xfId="33664"/>
    <cellStyle name="20% - Accent4 3 2 3 2" xfId="3354"/>
    <cellStyle name="20% - Accent4 3 2 3 2 2" xfId="3355"/>
    <cellStyle name="20% - Accent4 3 2 3 2 2 2" xfId="3356"/>
    <cellStyle name="20% - Accent4 3 2 3 2 2 2 2" xfId="3357"/>
    <cellStyle name="20% - Accent4 3 2 3 2 2 2 2 2" xfId="18651"/>
    <cellStyle name="20% - Accent4 3 2 3 2 2 2 2 2 2" xfId="28367"/>
    <cellStyle name="20% - Accent4 3 2 3 2 2 2 2 2 2 2" xfId="48121"/>
    <cellStyle name="20% - Accent4 3 2 3 2 2 2 2 2 3" xfId="38477"/>
    <cellStyle name="20% - Accent4 3 2 3 2 2 2 2 3" xfId="23557"/>
    <cellStyle name="20% - Accent4 3 2 3 2 2 2 2 3 2" xfId="43312"/>
    <cellStyle name="20% - Accent4 3 2 3 2 2 2 2 4" xfId="33668"/>
    <cellStyle name="20% - Accent4 3 2 3 2 2 2 3" xfId="18650"/>
    <cellStyle name="20% - Accent4 3 2 3 2 2 2 3 2" xfId="28366"/>
    <cellStyle name="20% - Accent4 3 2 3 2 2 2 3 2 2" xfId="48120"/>
    <cellStyle name="20% - Accent4 3 2 3 2 2 2 3 3" xfId="38476"/>
    <cellStyle name="20% - Accent4 3 2 3 2 2 2 4" xfId="23556"/>
    <cellStyle name="20% - Accent4 3 2 3 2 2 2 4 2" xfId="43311"/>
    <cellStyle name="20% - Accent4 3 2 3 2 2 2 5" xfId="33667"/>
    <cellStyle name="20% - Accent4 3 2 3 2 2 3" xfId="3358"/>
    <cellStyle name="20% - Accent4 3 2 3 2 2 3 2" xfId="18652"/>
    <cellStyle name="20% - Accent4 3 2 3 2 2 3 2 2" xfId="28368"/>
    <cellStyle name="20% - Accent4 3 2 3 2 2 3 2 2 2" xfId="48122"/>
    <cellStyle name="20% - Accent4 3 2 3 2 2 3 2 3" xfId="38478"/>
    <cellStyle name="20% - Accent4 3 2 3 2 2 3 3" xfId="23558"/>
    <cellStyle name="20% - Accent4 3 2 3 2 2 3 3 2" xfId="43313"/>
    <cellStyle name="20% - Accent4 3 2 3 2 2 3 4" xfId="33669"/>
    <cellStyle name="20% - Accent4 3 2 3 2 2 4" xfId="18649"/>
    <cellStyle name="20% - Accent4 3 2 3 2 2 4 2" xfId="28365"/>
    <cellStyle name="20% - Accent4 3 2 3 2 2 4 2 2" xfId="48119"/>
    <cellStyle name="20% - Accent4 3 2 3 2 2 4 3" xfId="38475"/>
    <cellStyle name="20% - Accent4 3 2 3 2 2 5" xfId="23555"/>
    <cellStyle name="20% - Accent4 3 2 3 2 2 5 2" xfId="43310"/>
    <cellStyle name="20% - Accent4 3 2 3 2 2 6" xfId="33666"/>
    <cellStyle name="20% - Accent4 3 2 3 2 3" xfId="3359"/>
    <cellStyle name="20% - Accent4 3 2 3 2 3 2" xfId="3360"/>
    <cellStyle name="20% - Accent4 3 2 3 2 3 2 2" xfId="18654"/>
    <cellStyle name="20% - Accent4 3 2 3 2 3 2 2 2" xfId="28370"/>
    <cellStyle name="20% - Accent4 3 2 3 2 3 2 2 2 2" xfId="48124"/>
    <cellStyle name="20% - Accent4 3 2 3 2 3 2 2 3" xfId="38480"/>
    <cellStyle name="20% - Accent4 3 2 3 2 3 2 3" xfId="23560"/>
    <cellStyle name="20% - Accent4 3 2 3 2 3 2 3 2" xfId="43315"/>
    <cellStyle name="20% - Accent4 3 2 3 2 3 2 4" xfId="33671"/>
    <cellStyle name="20% - Accent4 3 2 3 2 3 3" xfId="18653"/>
    <cellStyle name="20% - Accent4 3 2 3 2 3 3 2" xfId="28369"/>
    <cellStyle name="20% - Accent4 3 2 3 2 3 3 2 2" xfId="48123"/>
    <cellStyle name="20% - Accent4 3 2 3 2 3 3 3" xfId="38479"/>
    <cellStyle name="20% - Accent4 3 2 3 2 3 4" xfId="23559"/>
    <cellStyle name="20% - Accent4 3 2 3 2 3 4 2" xfId="43314"/>
    <cellStyle name="20% - Accent4 3 2 3 2 3 5" xfId="33670"/>
    <cellStyle name="20% - Accent4 3 2 3 2 4" xfId="3361"/>
    <cellStyle name="20% - Accent4 3 2 3 2 4 2" xfId="18655"/>
    <cellStyle name="20% - Accent4 3 2 3 2 4 2 2" xfId="28371"/>
    <cellStyle name="20% - Accent4 3 2 3 2 4 2 2 2" xfId="48125"/>
    <cellStyle name="20% - Accent4 3 2 3 2 4 2 3" xfId="38481"/>
    <cellStyle name="20% - Accent4 3 2 3 2 4 3" xfId="23561"/>
    <cellStyle name="20% - Accent4 3 2 3 2 4 3 2" xfId="43316"/>
    <cellStyle name="20% - Accent4 3 2 3 2 4 4" xfId="33672"/>
    <cellStyle name="20% - Accent4 3 2 3 2 5" xfId="18648"/>
    <cellStyle name="20% - Accent4 3 2 3 2 5 2" xfId="28364"/>
    <cellStyle name="20% - Accent4 3 2 3 2 5 2 2" xfId="48118"/>
    <cellStyle name="20% - Accent4 3 2 3 2 5 3" xfId="38474"/>
    <cellStyle name="20% - Accent4 3 2 3 2 6" xfId="23554"/>
    <cellStyle name="20% - Accent4 3 2 3 2 6 2" xfId="43309"/>
    <cellStyle name="20% - Accent4 3 2 3 2 7" xfId="33665"/>
    <cellStyle name="20% - Accent4 3 2 3 3" xfId="3362"/>
    <cellStyle name="20% - Accent4 3 2 3 3 2" xfId="3363"/>
    <cellStyle name="20% - Accent4 3 2 3 3 2 2" xfId="3364"/>
    <cellStyle name="20% - Accent4 3 2 3 3 2 2 2" xfId="18658"/>
    <cellStyle name="20% - Accent4 3 2 3 3 2 2 2 2" xfId="28374"/>
    <cellStyle name="20% - Accent4 3 2 3 3 2 2 2 2 2" xfId="48128"/>
    <cellStyle name="20% - Accent4 3 2 3 3 2 2 2 3" xfId="38484"/>
    <cellStyle name="20% - Accent4 3 2 3 3 2 2 3" xfId="23564"/>
    <cellStyle name="20% - Accent4 3 2 3 3 2 2 3 2" xfId="43319"/>
    <cellStyle name="20% - Accent4 3 2 3 3 2 2 4" xfId="33675"/>
    <cellStyle name="20% - Accent4 3 2 3 3 2 3" xfId="18657"/>
    <cellStyle name="20% - Accent4 3 2 3 3 2 3 2" xfId="28373"/>
    <cellStyle name="20% - Accent4 3 2 3 3 2 3 2 2" xfId="48127"/>
    <cellStyle name="20% - Accent4 3 2 3 3 2 3 3" xfId="38483"/>
    <cellStyle name="20% - Accent4 3 2 3 3 2 4" xfId="23563"/>
    <cellStyle name="20% - Accent4 3 2 3 3 2 4 2" xfId="43318"/>
    <cellStyle name="20% - Accent4 3 2 3 3 2 5" xfId="33674"/>
    <cellStyle name="20% - Accent4 3 2 3 3 3" xfId="3365"/>
    <cellStyle name="20% - Accent4 3 2 3 3 3 2" xfId="18659"/>
    <cellStyle name="20% - Accent4 3 2 3 3 3 2 2" xfId="28375"/>
    <cellStyle name="20% - Accent4 3 2 3 3 3 2 2 2" xfId="48129"/>
    <cellStyle name="20% - Accent4 3 2 3 3 3 2 3" xfId="38485"/>
    <cellStyle name="20% - Accent4 3 2 3 3 3 3" xfId="23565"/>
    <cellStyle name="20% - Accent4 3 2 3 3 3 3 2" xfId="43320"/>
    <cellStyle name="20% - Accent4 3 2 3 3 3 4" xfId="33676"/>
    <cellStyle name="20% - Accent4 3 2 3 3 4" xfId="18656"/>
    <cellStyle name="20% - Accent4 3 2 3 3 4 2" xfId="28372"/>
    <cellStyle name="20% - Accent4 3 2 3 3 4 2 2" xfId="48126"/>
    <cellStyle name="20% - Accent4 3 2 3 3 4 3" xfId="38482"/>
    <cellStyle name="20% - Accent4 3 2 3 3 5" xfId="23562"/>
    <cellStyle name="20% - Accent4 3 2 3 3 5 2" xfId="43317"/>
    <cellStyle name="20% - Accent4 3 2 3 3 6" xfId="33673"/>
    <cellStyle name="20% - Accent4 3 2 3 4" xfId="3366"/>
    <cellStyle name="20% - Accent4 3 2 3 4 2" xfId="3367"/>
    <cellStyle name="20% - Accent4 3 2 3 4 2 2" xfId="18661"/>
    <cellStyle name="20% - Accent4 3 2 3 4 2 2 2" xfId="28377"/>
    <cellStyle name="20% - Accent4 3 2 3 4 2 2 2 2" xfId="48131"/>
    <cellStyle name="20% - Accent4 3 2 3 4 2 2 3" xfId="38487"/>
    <cellStyle name="20% - Accent4 3 2 3 4 2 3" xfId="23567"/>
    <cellStyle name="20% - Accent4 3 2 3 4 2 3 2" xfId="43322"/>
    <cellStyle name="20% - Accent4 3 2 3 4 2 4" xfId="33678"/>
    <cellStyle name="20% - Accent4 3 2 3 4 3" xfId="18660"/>
    <cellStyle name="20% - Accent4 3 2 3 4 3 2" xfId="28376"/>
    <cellStyle name="20% - Accent4 3 2 3 4 3 2 2" xfId="48130"/>
    <cellStyle name="20% - Accent4 3 2 3 4 3 3" xfId="38486"/>
    <cellStyle name="20% - Accent4 3 2 3 4 4" xfId="23566"/>
    <cellStyle name="20% - Accent4 3 2 3 4 4 2" xfId="43321"/>
    <cellStyle name="20% - Accent4 3 2 3 4 5" xfId="33677"/>
    <cellStyle name="20% - Accent4 3 2 3 5" xfId="3368"/>
    <cellStyle name="20% - Accent4 3 2 3 5 2" xfId="18662"/>
    <cellStyle name="20% - Accent4 3 2 3 5 2 2" xfId="28378"/>
    <cellStyle name="20% - Accent4 3 2 3 5 2 2 2" xfId="48132"/>
    <cellStyle name="20% - Accent4 3 2 3 5 2 3" xfId="38488"/>
    <cellStyle name="20% - Accent4 3 2 3 5 3" xfId="23568"/>
    <cellStyle name="20% - Accent4 3 2 3 5 3 2" xfId="43323"/>
    <cellStyle name="20% - Accent4 3 2 3 5 4" xfId="33679"/>
    <cellStyle name="20% - Accent4 3 2 3 6" xfId="3369"/>
    <cellStyle name="20% - Accent4 3 2 3 6 2" xfId="18663"/>
    <cellStyle name="20% - Accent4 3 2 3 6 2 2" xfId="28379"/>
    <cellStyle name="20% - Accent4 3 2 3 6 2 2 2" xfId="48133"/>
    <cellStyle name="20% - Accent4 3 2 3 6 2 3" xfId="38489"/>
    <cellStyle name="20% - Accent4 3 2 3 6 3" xfId="23569"/>
    <cellStyle name="20% - Accent4 3 2 3 6 3 2" xfId="43324"/>
    <cellStyle name="20% - Accent4 3 2 3 6 4" xfId="33680"/>
    <cellStyle name="20% - Accent4 3 2 3 7" xfId="3370"/>
    <cellStyle name="20% - Accent4 3 2 3 7 2" xfId="18664"/>
    <cellStyle name="20% - Accent4 3 2 3 7 2 2" xfId="28380"/>
    <cellStyle name="20% - Accent4 3 2 3 7 2 2 2" xfId="48134"/>
    <cellStyle name="20% - Accent4 3 2 3 7 2 3" xfId="38490"/>
    <cellStyle name="20% - Accent4 3 2 3 7 3" xfId="23570"/>
    <cellStyle name="20% - Accent4 3 2 3 7 3 2" xfId="43325"/>
    <cellStyle name="20% - Accent4 3 2 3 7 4" xfId="33681"/>
    <cellStyle name="20% - Accent4 3 2 3 8" xfId="18647"/>
    <cellStyle name="20% - Accent4 3 2 3 8 2" xfId="28363"/>
    <cellStyle name="20% - Accent4 3 2 3 8 2 2" xfId="48117"/>
    <cellStyle name="20% - Accent4 3 2 3 8 3" xfId="38473"/>
    <cellStyle name="20% - Accent4 3 2 3 9" xfId="23553"/>
    <cellStyle name="20% - Accent4 3 2 3 9 2" xfId="43308"/>
    <cellStyle name="20% - Accent4 3 2 4" xfId="3371"/>
    <cellStyle name="20% - Accent4 3 2 4 2" xfId="3372"/>
    <cellStyle name="20% - Accent4 3 2 4 2 2" xfId="3373"/>
    <cellStyle name="20% - Accent4 3 2 4 2 2 2" xfId="3374"/>
    <cellStyle name="20% - Accent4 3 2 4 2 2 2 2" xfId="18668"/>
    <cellStyle name="20% - Accent4 3 2 4 2 2 2 2 2" xfId="28384"/>
    <cellStyle name="20% - Accent4 3 2 4 2 2 2 2 2 2" xfId="48138"/>
    <cellStyle name="20% - Accent4 3 2 4 2 2 2 2 3" xfId="38494"/>
    <cellStyle name="20% - Accent4 3 2 4 2 2 2 3" xfId="23574"/>
    <cellStyle name="20% - Accent4 3 2 4 2 2 2 3 2" xfId="43329"/>
    <cellStyle name="20% - Accent4 3 2 4 2 2 2 4" xfId="33685"/>
    <cellStyle name="20% - Accent4 3 2 4 2 2 3" xfId="18667"/>
    <cellStyle name="20% - Accent4 3 2 4 2 2 3 2" xfId="28383"/>
    <cellStyle name="20% - Accent4 3 2 4 2 2 3 2 2" xfId="48137"/>
    <cellStyle name="20% - Accent4 3 2 4 2 2 3 3" xfId="38493"/>
    <cellStyle name="20% - Accent4 3 2 4 2 2 4" xfId="23573"/>
    <cellStyle name="20% - Accent4 3 2 4 2 2 4 2" xfId="43328"/>
    <cellStyle name="20% - Accent4 3 2 4 2 2 5" xfId="33684"/>
    <cellStyle name="20% - Accent4 3 2 4 2 3" xfId="3375"/>
    <cellStyle name="20% - Accent4 3 2 4 2 3 2" xfId="18669"/>
    <cellStyle name="20% - Accent4 3 2 4 2 3 2 2" xfId="28385"/>
    <cellStyle name="20% - Accent4 3 2 4 2 3 2 2 2" xfId="48139"/>
    <cellStyle name="20% - Accent4 3 2 4 2 3 2 3" xfId="38495"/>
    <cellStyle name="20% - Accent4 3 2 4 2 3 3" xfId="23575"/>
    <cellStyle name="20% - Accent4 3 2 4 2 3 3 2" xfId="43330"/>
    <cellStyle name="20% - Accent4 3 2 4 2 3 4" xfId="33686"/>
    <cellStyle name="20% - Accent4 3 2 4 2 4" xfId="18666"/>
    <cellStyle name="20% - Accent4 3 2 4 2 4 2" xfId="28382"/>
    <cellStyle name="20% - Accent4 3 2 4 2 4 2 2" xfId="48136"/>
    <cellStyle name="20% - Accent4 3 2 4 2 4 3" xfId="38492"/>
    <cellStyle name="20% - Accent4 3 2 4 2 5" xfId="23572"/>
    <cellStyle name="20% - Accent4 3 2 4 2 5 2" xfId="43327"/>
    <cellStyle name="20% - Accent4 3 2 4 2 6" xfId="33683"/>
    <cellStyle name="20% - Accent4 3 2 4 3" xfId="3376"/>
    <cellStyle name="20% - Accent4 3 2 4 3 2" xfId="3377"/>
    <cellStyle name="20% - Accent4 3 2 4 3 2 2" xfId="18671"/>
    <cellStyle name="20% - Accent4 3 2 4 3 2 2 2" xfId="28387"/>
    <cellStyle name="20% - Accent4 3 2 4 3 2 2 2 2" xfId="48141"/>
    <cellStyle name="20% - Accent4 3 2 4 3 2 2 3" xfId="38497"/>
    <cellStyle name="20% - Accent4 3 2 4 3 2 3" xfId="23577"/>
    <cellStyle name="20% - Accent4 3 2 4 3 2 3 2" xfId="43332"/>
    <cellStyle name="20% - Accent4 3 2 4 3 2 4" xfId="33688"/>
    <cellStyle name="20% - Accent4 3 2 4 3 3" xfId="18670"/>
    <cellStyle name="20% - Accent4 3 2 4 3 3 2" xfId="28386"/>
    <cellStyle name="20% - Accent4 3 2 4 3 3 2 2" xfId="48140"/>
    <cellStyle name="20% - Accent4 3 2 4 3 3 3" xfId="38496"/>
    <cellStyle name="20% - Accent4 3 2 4 3 4" xfId="23576"/>
    <cellStyle name="20% - Accent4 3 2 4 3 4 2" xfId="43331"/>
    <cellStyle name="20% - Accent4 3 2 4 3 5" xfId="33687"/>
    <cellStyle name="20% - Accent4 3 2 4 4" xfId="3378"/>
    <cellStyle name="20% - Accent4 3 2 4 4 2" xfId="18672"/>
    <cellStyle name="20% - Accent4 3 2 4 4 2 2" xfId="28388"/>
    <cellStyle name="20% - Accent4 3 2 4 4 2 2 2" xfId="48142"/>
    <cellStyle name="20% - Accent4 3 2 4 4 2 3" xfId="38498"/>
    <cellStyle name="20% - Accent4 3 2 4 4 3" xfId="23578"/>
    <cellStyle name="20% - Accent4 3 2 4 4 3 2" xfId="43333"/>
    <cellStyle name="20% - Accent4 3 2 4 4 4" xfId="33689"/>
    <cellStyle name="20% - Accent4 3 2 4 5" xfId="18665"/>
    <cellStyle name="20% - Accent4 3 2 4 5 2" xfId="28381"/>
    <cellStyle name="20% - Accent4 3 2 4 5 2 2" xfId="48135"/>
    <cellStyle name="20% - Accent4 3 2 4 5 3" xfId="38491"/>
    <cellStyle name="20% - Accent4 3 2 4 6" xfId="23571"/>
    <cellStyle name="20% - Accent4 3 2 4 6 2" xfId="43326"/>
    <cellStyle name="20% - Accent4 3 2 4 7" xfId="33682"/>
    <cellStyle name="20% - Accent4 3 2 5" xfId="3379"/>
    <cellStyle name="20% - Accent4 3 2 5 2" xfId="3380"/>
    <cellStyle name="20% - Accent4 3 2 5 2 2" xfId="3381"/>
    <cellStyle name="20% - Accent4 3 2 5 2 2 2" xfId="3382"/>
    <cellStyle name="20% - Accent4 3 2 5 2 2 2 2" xfId="18676"/>
    <cellStyle name="20% - Accent4 3 2 5 2 2 2 2 2" xfId="28392"/>
    <cellStyle name="20% - Accent4 3 2 5 2 2 2 2 2 2" xfId="48146"/>
    <cellStyle name="20% - Accent4 3 2 5 2 2 2 2 3" xfId="38502"/>
    <cellStyle name="20% - Accent4 3 2 5 2 2 2 3" xfId="23582"/>
    <cellStyle name="20% - Accent4 3 2 5 2 2 2 3 2" xfId="43337"/>
    <cellStyle name="20% - Accent4 3 2 5 2 2 2 4" xfId="33693"/>
    <cellStyle name="20% - Accent4 3 2 5 2 2 3" xfId="18675"/>
    <cellStyle name="20% - Accent4 3 2 5 2 2 3 2" xfId="28391"/>
    <cellStyle name="20% - Accent4 3 2 5 2 2 3 2 2" xfId="48145"/>
    <cellStyle name="20% - Accent4 3 2 5 2 2 3 3" xfId="38501"/>
    <cellStyle name="20% - Accent4 3 2 5 2 2 4" xfId="23581"/>
    <cellStyle name="20% - Accent4 3 2 5 2 2 4 2" xfId="43336"/>
    <cellStyle name="20% - Accent4 3 2 5 2 2 5" xfId="33692"/>
    <cellStyle name="20% - Accent4 3 2 5 2 3" xfId="3383"/>
    <cellStyle name="20% - Accent4 3 2 5 2 3 2" xfId="18677"/>
    <cellStyle name="20% - Accent4 3 2 5 2 3 2 2" xfId="28393"/>
    <cellStyle name="20% - Accent4 3 2 5 2 3 2 2 2" xfId="48147"/>
    <cellStyle name="20% - Accent4 3 2 5 2 3 2 3" xfId="38503"/>
    <cellStyle name="20% - Accent4 3 2 5 2 3 3" xfId="23583"/>
    <cellStyle name="20% - Accent4 3 2 5 2 3 3 2" xfId="43338"/>
    <cellStyle name="20% - Accent4 3 2 5 2 3 4" xfId="33694"/>
    <cellStyle name="20% - Accent4 3 2 5 2 4" xfId="18674"/>
    <cellStyle name="20% - Accent4 3 2 5 2 4 2" xfId="28390"/>
    <cellStyle name="20% - Accent4 3 2 5 2 4 2 2" xfId="48144"/>
    <cellStyle name="20% - Accent4 3 2 5 2 4 3" xfId="38500"/>
    <cellStyle name="20% - Accent4 3 2 5 2 5" xfId="23580"/>
    <cellStyle name="20% - Accent4 3 2 5 2 5 2" xfId="43335"/>
    <cellStyle name="20% - Accent4 3 2 5 2 6" xfId="33691"/>
    <cellStyle name="20% - Accent4 3 2 5 3" xfId="3384"/>
    <cellStyle name="20% - Accent4 3 2 5 3 2" xfId="3385"/>
    <cellStyle name="20% - Accent4 3 2 5 3 2 2" xfId="18679"/>
    <cellStyle name="20% - Accent4 3 2 5 3 2 2 2" xfId="28395"/>
    <cellStyle name="20% - Accent4 3 2 5 3 2 2 2 2" xfId="48149"/>
    <cellStyle name="20% - Accent4 3 2 5 3 2 2 3" xfId="38505"/>
    <cellStyle name="20% - Accent4 3 2 5 3 2 3" xfId="23585"/>
    <cellStyle name="20% - Accent4 3 2 5 3 2 3 2" xfId="43340"/>
    <cellStyle name="20% - Accent4 3 2 5 3 2 4" xfId="33696"/>
    <cellStyle name="20% - Accent4 3 2 5 3 3" xfId="18678"/>
    <cellStyle name="20% - Accent4 3 2 5 3 3 2" xfId="28394"/>
    <cellStyle name="20% - Accent4 3 2 5 3 3 2 2" xfId="48148"/>
    <cellStyle name="20% - Accent4 3 2 5 3 3 3" xfId="38504"/>
    <cellStyle name="20% - Accent4 3 2 5 3 4" xfId="23584"/>
    <cellStyle name="20% - Accent4 3 2 5 3 4 2" xfId="43339"/>
    <cellStyle name="20% - Accent4 3 2 5 3 5" xfId="33695"/>
    <cellStyle name="20% - Accent4 3 2 5 4" xfId="3386"/>
    <cellStyle name="20% - Accent4 3 2 5 4 2" xfId="18680"/>
    <cellStyle name="20% - Accent4 3 2 5 4 2 2" xfId="28396"/>
    <cellStyle name="20% - Accent4 3 2 5 4 2 2 2" xfId="48150"/>
    <cellStyle name="20% - Accent4 3 2 5 4 2 3" xfId="38506"/>
    <cellStyle name="20% - Accent4 3 2 5 4 3" xfId="23586"/>
    <cellStyle name="20% - Accent4 3 2 5 4 3 2" xfId="43341"/>
    <cellStyle name="20% - Accent4 3 2 5 4 4" xfId="33697"/>
    <cellStyle name="20% - Accent4 3 2 5 5" xfId="18673"/>
    <cellStyle name="20% - Accent4 3 2 5 5 2" xfId="28389"/>
    <cellStyle name="20% - Accent4 3 2 5 5 2 2" xfId="48143"/>
    <cellStyle name="20% - Accent4 3 2 5 5 3" xfId="38499"/>
    <cellStyle name="20% - Accent4 3 2 5 6" xfId="23579"/>
    <cellStyle name="20% - Accent4 3 2 5 6 2" xfId="43334"/>
    <cellStyle name="20% - Accent4 3 2 5 7" xfId="33690"/>
    <cellStyle name="20% - Accent4 3 2 6" xfId="3387"/>
    <cellStyle name="20% - Accent4 3 2 6 2" xfId="3388"/>
    <cellStyle name="20% - Accent4 3 2 6 2 2" xfId="3389"/>
    <cellStyle name="20% - Accent4 3 2 6 2 2 2" xfId="18683"/>
    <cellStyle name="20% - Accent4 3 2 6 2 2 2 2" xfId="28399"/>
    <cellStyle name="20% - Accent4 3 2 6 2 2 2 2 2" xfId="48153"/>
    <cellStyle name="20% - Accent4 3 2 6 2 2 2 3" xfId="38509"/>
    <cellStyle name="20% - Accent4 3 2 6 2 2 3" xfId="23589"/>
    <cellStyle name="20% - Accent4 3 2 6 2 2 3 2" xfId="43344"/>
    <cellStyle name="20% - Accent4 3 2 6 2 2 4" xfId="33700"/>
    <cellStyle name="20% - Accent4 3 2 6 2 3" xfId="18682"/>
    <cellStyle name="20% - Accent4 3 2 6 2 3 2" xfId="28398"/>
    <cellStyle name="20% - Accent4 3 2 6 2 3 2 2" xfId="48152"/>
    <cellStyle name="20% - Accent4 3 2 6 2 3 3" xfId="38508"/>
    <cellStyle name="20% - Accent4 3 2 6 2 4" xfId="23588"/>
    <cellStyle name="20% - Accent4 3 2 6 2 4 2" xfId="43343"/>
    <cellStyle name="20% - Accent4 3 2 6 2 5" xfId="33699"/>
    <cellStyle name="20% - Accent4 3 2 6 3" xfId="3390"/>
    <cellStyle name="20% - Accent4 3 2 6 3 2" xfId="18684"/>
    <cellStyle name="20% - Accent4 3 2 6 3 2 2" xfId="28400"/>
    <cellStyle name="20% - Accent4 3 2 6 3 2 2 2" xfId="48154"/>
    <cellStyle name="20% - Accent4 3 2 6 3 2 3" xfId="38510"/>
    <cellStyle name="20% - Accent4 3 2 6 3 3" xfId="23590"/>
    <cellStyle name="20% - Accent4 3 2 6 3 3 2" xfId="43345"/>
    <cellStyle name="20% - Accent4 3 2 6 3 4" xfId="33701"/>
    <cellStyle name="20% - Accent4 3 2 6 4" xfId="18681"/>
    <cellStyle name="20% - Accent4 3 2 6 4 2" xfId="28397"/>
    <cellStyle name="20% - Accent4 3 2 6 4 2 2" xfId="48151"/>
    <cellStyle name="20% - Accent4 3 2 6 4 3" xfId="38507"/>
    <cellStyle name="20% - Accent4 3 2 6 5" xfId="23587"/>
    <cellStyle name="20% - Accent4 3 2 6 5 2" xfId="43342"/>
    <cellStyle name="20% - Accent4 3 2 6 6" xfId="33698"/>
    <cellStyle name="20% - Accent4 3 2 7" xfId="3391"/>
    <cellStyle name="20% - Accent4 3 2 7 2" xfId="3392"/>
    <cellStyle name="20% - Accent4 3 2 7 2 2" xfId="18686"/>
    <cellStyle name="20% - Accent4 3 2 7 2 2 2" xfId="28402"/>
    <cellStyle name="20% - Accent4 3 2 7 2 2 2 2" xfId="48156"/>
    <cellStyle name="20% - Accent4 3 2 7 2 2 3" xfId="38512"/>
    <cellStyle name="20% - Accent4 3 2 7 2 3" xfId="23592"/>
    <cellStyle name="20% - Accent4 3 2 7 2 3 2" xfId="43347"/>
    <cellStyle name="20% - Accent4 3 2 7 2 4" xfId="33703"/>
    <cellStyle name="20% - Accent4 3 2 7 3" xfId="18685"/>
    <cellStyle name="20% - Accent4 3 2 7 3 2" xfId="28401"/>
    <cellStyle name="20% - Accent4 3 2 7 3 2 2" xfId="48155"/>
    <cellStyle name="20% - Accent4 3 2 7 3 3" xfId="38511"/>
    <cellStyle name="20% - Accent4 3 2 7 4" xfId="23591"/>
    <cellStyle name="20% - Accent4 3 2 7 4 2" xfId="43346"/>
    <cellStyle name="20% - Accent4 3 2 7 5" xfId="33702"/>
    <cellStyle name="20% - Accent4 3 2 8" xfId="3393"/>
    <cellStyle name="20% - Accent4 3 2 8 2" xfId="3394"/>
    <cellStyle name="20% - Accent4 3 2 8 2 2" xfId="18688"/>
    <cellStyle name="20% - Accent4 3 2 8 2 2 2" xfId="28404"/>
    <cellStyle name="20% - Accent4 3 2 8 2 2 2 2" xfId="48158"/>
    <cellStyle name="20% - Accent4 3 2 8 2 2 3" xfId="38514"/>
    <cellStyle name="20% - Accent4 3 2 8 2 3" xfId="23594"/>
    <cellStyle name="20% - Accent4 3 2 8 2 3 2" xfId="43349"/>
    <cellStyle name="20% - Accent4 3 2 8 2 4" xfId="33705"/>
    <cellStyle name="20% - Accent4 3 2 8 3" xfId="18687"/>
    <cellStyle name="20% - Accent4 3 2 8 3 2" xfId="28403"/>
    <cellStyle name="20% - Accent4 3 2 8 3 2 2" xfId="48157"/>
    <cellStyle name="20% - Accent4 3 2 8 3 3" xfId="38513"/>
    <cellStyle name="20% - Accent4 3 2 8 4" xfId="23593"/>
    <cellStyle name="20% - Accent4 3 2 8 4 2" xfId="43348"/>
    <cellStyle name="20% - Accent4 3 2 8 5" xfId="33704"/>
    <cellStyle name="20% - Accent4 3 2 9" xfId="3395"/>
    <cellStyle name="20% - Accent4 3 2 9 2" xfId="18689"/>
    <cellStyle name="20% - Accent4 3 2 9 2 2" xfId="28405"/>
    <cellStyle name="20% - Accent4 3 2 9 2 2 2" xfId="48159"/>
    <cellStyle name="20% - Accent4 3 2 9 2 3" xfId="38515"/>
    <cellStyle name="20% - Accent4 3 2 9 3" xfId="23595"/>
    <cellStyle name="20% - Accent4 3 2 9 3 2" xfId="43350"/>
    <cellStyle name="20% - Accent4 3 2 9 4" xfId="33706"/>
    <cellStyle name="20% - Accent4 3 3" xfId="3396"/>
    <cellStyle name="20% - Accent4 3 3 10" xfId="3397"/>
    <cellStyle name="20% - Accent4 3 3 10 2" xfId="18691"/>
    <cellStyle name="20% - Accent4 3 3 10 2 2" xfId="28407"/>
    <cellStyle name="20% - Accent4 3 3 10 2 2 2" xfId="48161"/>
    <cellStyle name="20% - Accent4 3 3 10 2 3" xfId="38517"/>
    <cellStyle name="20% - Accent4 3 3 10 3" xfId="23597"/>
    <cellStyle name="20% - Accent4 3 3 10 3 2" xfId="43352"/>
    <cellStyle name="20% - Accent4 3 3 10 4" xfId="33708"/>
    <cellStyle name="20% - Accent4 3 3 11" xfId="18690"/>
    <cellStyle name="20% - Accent4 3 3 11 2" xfId="28406"/>
    <cellStyle name="20% - Accent4 3 3 11 2 2" xfId="48160"/>
    <cellStyle name="20% - Accent4 3 3 11 3" xfId="38516"/>
    <cellStyle name="20% - Accent4 3 3 12" xfId="23596"/>
    <cellStyle name="20% - Accent4 3 3 12 2" xfId="43351"/>
    <cellStyle name="20% - Accent4 3 3 13" xfId="33707"/>
    <cellStyle name="20% - Accent4 3 3 2" xfId="3398"/>
    <cellStyle name="20% - Accent4 3 3 2 10" xfId="33709"/>
    <cellStyle name="20% - Accent4 3 3 2 2" xfId="3399"/>
    <cellStyle name="20% - Accent4 3 3 2 2 2" xfId="3400"/>
    <cellStyle name="20% - Accent4 3 3 2 2 2 2" xfId="3401"/>
    <cellStyle name="20% - Accent4 3 3 2 2 2 2 2" xfId="3402"/>
    <cellStyle name="20% - Accent4 3 3 2 2 2 2 2 2" xfId="18696"/>
    <cellStyle name="20% - Accent4 3 3 2 2 2 2 2 2 2" xfId="28412"/>
    <cellStyle name="20% - Accent4 3 3 2 2 2 2 2 2 2 2" xfId="48166"/>
    <cellStyle name="20% - Accent4 3 3 2 2 2 2 2 2 3" xfId="38522"/>
    <cellStyle name="20% - Accent4 3 3 2 2 2 2 2 3" xfId="23602"/>
    <cellStyle name="20% - Accent4 3 3 2 2 2 2 2 3 2" xfId="43357"/>
    <cellStyle name="20% - Accent4 3 3 2 2 2 2 2 4" xfId="33713"/>
    <cellStyle name="20% - Accent4 3 3 2 2 2 2 3" xfId="18695"/>
    <cellStyle name="20% - Accent4 3 3 2 2 2 2 3 2" xfId="28411"/>
    <cellStyle name="20% - Accent4 3 3 2 2 2 2 3 2 2" xfId="48165"/>
    <cellStyle name="20% - Accent4 3 3 2 2 2 2 3 3" xfId="38521"/>
    <cellStyle name="20% - Accent4 3 3 2 2 2 2 4" xfId="23601"/>
    <cellStyle name="20% - Accent4 3 3 2 2 2 2 4 2" xfId="43356"/>
    <cellStyle name="20% - Accent4 3 3 2 2 2 2 5" xfId="33712"/>
    <cellStyle name="20% - Accent4 3 3 2 2 2 3" xfId="3403"/>
    <cellStyle name="20% - Accent4 3 3 2 2 2 3 2" xfId="18697"/>
    <cellStyle name="20% - Accent4 3 3 2 2 2 3 2 2" xfId="28413"/>
    <cellStyle name="20% - Accent4 3 3 2 2 2 3 2 2 2" xfId="48167"/>
    <cellStyle name="20% - Accent4 3 3 2 2 2 3 2 3" xfId="38523"/>
    <cellStyle name="20% - Accent4 3 3 2 2 2 3 3" xfId="23603"/>
    <cellStyle name="20% - Accent4 3 3 2 2 2 3 3 2" xfId="43358"/>
    <cellStyle name="20% - Accent4 3 3 2 2 2 3 4" xfId="33714"/>
    <cellStyle name="20% - Accent4 3 3 2 2 2 4" xfId="18694"/>
    <cellStyle name="20% - Accent4 3 3 2 2 2 4 2" xfId="28410"/>
    <cellStyle name="20% - Accent4 3 3 2 2 2 4 2 2" xfId="48164"/>
    <cellStyle name="20% - Accent4 3 3 2 2 2 4 3" xfId="38520"/>
    <cellStyle name="20% - Accent4 3 3 2 2 2 5" xfId="23600"/>
    <cellStyle name="20% - Accent4 3 3 2 2 2 5 2" xfId="43355"/>
    <cellStyle name="20% - Accent4 3 3 2 2 2 6" xfId="33711"/>
    <cellStyle name="20% - Accent4 3 3 2 2 3" xfId="3404"/>
    <cellStyle name="20% - Accent4 3 3 2 2 3 2" xfId="3405"/>
    <cellStyle name="20% - Accent4 3 3 2 2 3 2 2" xfId="18699"/>
    <cellStyle name="20% - Accent4 3 3 2 2 3 2 2 2" xfId="28415"/>
    <cellStyle name="20% - Accent4 3 3 2 2 3 2 2 2 2" xfId="48169"/>
    <cellStyle name="20% - Accent4 3 3 2 2 3 2 2 3" xfId="38525"/>
    <cellStyle name="20% - Accent4 3 3 2 2 3 2 3" xfId="23605"/>
    <cellStyle name="20% - Accent4 3 3 2 2 3 2 3 2" xfId="43360"/>
    <cellStyle name="20% - Accent4 3 3 2 2 3 2 4" xfId="33716"/>
    <cellStyle name="20% - Accent4 3 3 2 2 3 3" xfId="18698"/>
    <cellStyle name="20% - Accent4 3 3 2 2 3 3 2" xfId="28414"/>
    <cellStyle name="20% - Accent4 3 3 2 2 3 3 2 2" xfId="48168"/>
    <cellStyle name="20% - Accent4 3 3 2 2 3 3 3" xfId="38524"/>
    <cellStyle name="20% - Accent4 3 3 2 2 3 4" xfId="23604"/>
    <cellStyle name="20% - Accent4 3 3 2 2 3 4 2" xfId="43359"/>
    <cellStyle name="20% - Accent4 3 3 2 2 3 5" xfId="33715"/>
    <cellStyle name="20% - Accent4 3 3 2 2 4" xfId="3406"/>
    <cellStyle name="20% - Accent4 3 3 2 2 4 2" xfId="18700"/>
    <cellStyle name="20% - Accent4 3 3 2 2 4 2 2" xfId="28416"/>
    <cellStyle name="20% - Accent4 3 3 2 2 4 2 2 2" xfId="48170"/>
    <cellStyle name="20% - Accent4 3 3 2 2 4 2 3" xfId="38526"/>
    <cellStyle name="20% - Accent4 3 3 2 2 4 3" xfId="23606"/>
    <cellStyle name="20% - Accent4 3 3 2 2 4 3 2" xfId="43361"/>
    <cellStyle name="20% - Accent4 3 3 2 2 4 4" xfId="33717"/>
    <cellStyle name="20% - Accent4 3 3 2 2 5" xfId="18693"/>
    <cellStyle name="20% - Accent4 3 3 2 2 5 2" xfId="28409"/>
    <cellStyle name="20% - Accent4 3 3 2 2 5 2 2" xfId="48163"/>
    <cellStyle name="20% - Accent4 3 3 2 2 5 3" xfId="38519"/>
    <cellStyle name="20% - Accent4 3 3 2 2 6" xfId="23599"/>
    <cellStyle name="20% - Accent4 3 3 2 2 6 2" xfId="43354"/>
    <cellStyle name="20% - Accent4 3 3 2 2 7" xfId="33710"/>
    <cellStyle name="20% - Accent4 3 3 2 3" xfId="3407"/>
    <cellStyle name="20% - Accent4 3 3 2 3 2" xfId="3408"/>
    <cellStyle name="20% - Accent4 3 3 2 3 2 2" xfId="3409"/>
    <cellStyle name="20% - Accent4 3 3 2 3 2 2 2" xfId="18703"/>
    <cellStyle name="20% - Accent4 3 3 2 3 2 2 2 2" xfId="28419"/>
    <cellStyle name="20% - Accent4 3 3 2 3 2 2 2 2 2" xfId="48173"/>
    <cellStyle name="20% - Accent4 3 3 2 3 2 2 2 3" xfId="38529"/>
    <cellStyle name="20% - Accent4 3 3 2 3 2 2 3" xfId="23609"/>
    <cellStyle name="20% - Accent4 3 3 2 3 2 2 3 2" xfId="43364"/>
    <cellStyle name="20% - Accent4 3 3 2 3 2 2 4" xfId="33720"/>
    <cellStyle name="20% - Accent4 3 3 2 3 2 3" xfId="18702"/>
    <cellStyle name="20% - Accent4 3 3 2 3 2 3 2" xfId="28418"/>
    <cellStyle name="20% - Accent4 3 3 2 3 2 3 2 2" xfId="48172"/>
    <cellStyle name="20% - Accent4 3 3 2 3 2 3 3" xfId="38528"/>
    <cellStyle name="20% - Accent4 3 3 2 3 2 4" xfId="23608"/>
    <cellStyle name="20% - Accent4 3 3 2 3 2 4 2" xfId="43363"/>
    <cellStyle name="20% - Accent4 3 3 2 3 2 5" xfId="33719"/>
    <cellStyle name="20% - Accent4 3 3 2 3 3" xfId="3410"/>
    <cellStyle name="20% - Accent4 3 3 2 3 3 2" xfId="18704"/>
    <cellStyle name="20% - Accent4 3 3 2 3 3 2 2" xfId="28420"/>
    <cellStyle name="20% - Accent4 3 3 2 3 3 2 2 2" xfId="48174"/>
    <cellStyle name="20% - Accent4 3 3 2 3 3 2 3" xfId="38530"/>
    <cellStyle name="20% - Accent4 3 3 2 3 3 3" xfId="23610"/>
    <cellStyle name="20% - Accent4 3 3 2 3 3 3 2" xfId="43365"/>
    <cellStyle name="20% - Accent4 3 3 2 3 3 4" xfId="33721"/>
    <cellStyle name="20% - Accent4 3 3 2 3 4" xfId="18701"/>
    <cellStyle name="20% - Accent4 3 3 2 3 4 2" xfId="28417"/>
    <cellStyle name="20% - Accent4 3 3 2 3 4 2 2" xfId="48171"/>
    <cellStyle name="20% - Accent4 3 3 2 3 4 3" xfId="38527"/>
    <cellStyle name="20% - Accent4 3 3 2 3 5" xfId="23607"/>
    <cellStyle name="20% - Accent4 3 3 2 3 5 2" xfId="43362"/>
    <cellStyle name="20% - Accent4 3 3 2 3 6" xfId="33718"/>
    <cellStyle name="20% - Accent4 3 3 2 4" xfId="3411"/>
    <cellStyle name="20% - Accent4 3 3 2 4 2" xfId="3412"/>
    <cellStyle name="20% - Accent4 3 3 2 4 2 2" xfId="18706"/>
    <cellStyle name="20% - Accent4 3 3 2 4 2 2 2" xfId="28422"/>
    <cellStyle name="20% - Accent4 3 3 2 4 2 2 2 2" xfId="48176"/>
    <cellStyle name="20% - Accent4 3 3 2 4 2 2 3" xfId="38532"/>
    <cellStyle name="20% - Accent4 3 3 2 4 2 3" xfId="23612"/>
    <cellStyle name="20% - Accent4 3 3 2 4 2 3 2" xfId="43367"/>
    <cellStyle name="20% - Accent4 3 3 2 4 2 4" xfId="33723"/>
    <cellStyle name="20% - Accent4 3 3 2 4 3" xfId="18705"/>
    <cellStyle name="20% - Accent4 3 3 2 4 3 2" xfId="28421"/>
    <cellStyle name="20% - Accent4 3 3 2 4 3 2 2" xfId="48175"/>
    <cellStyle name="20% - Accent4 3 3 2 4 3 3" xfId="38531"/>
    <cellStyle name="20% - Accent4 3 3 2 4 4" xfId="23611"/>
    <cellStyle name="20% - Accent4 3 3 2 4 4 2" xfId="43366"/>
    <cellStyle name="20% - Accent4 3 3 2 4 5" xfId="33722"/>
    <cellStyle name="20% - Accent4 3 3 2 5" xfId="3413"/>
    <cellStyle name="20% - Accent4 3 3 2 5 2" xfId="18707"/>
    <cellStyle name="20% - Accent4 3 3 2 5 2 2" xfId="28423"/>
    <cellStyle name="20% - Accent4 3 3 2 5 2 2 2" xfId="48177"/>
    <cellStyle name="20% - Accent4 3 3 2 5 2 3" xfId="38533"/>
    <cellStyle name="20% - Accent4 3 3 2 5 3" xfId="23613"/>
    <cellStyle name="20% - Accent4 3 3 2 5 3 2" xfId="43368"/>
    <cellStyle name="20% - Accent4 3 3 2 5 4" xfId="33724"/>
    <cellStyle name="20% - Accent4 3 3 2 6" xfId="3414"/>
    <cellStyle name="20% - Accent4 3 3 2 6 2" xfId="18708"/>
    <cellStyle name="20% - Accent4 3 3 2 6 2 2" xfId="28424"/>
    <cellStyle name="20% - Accent4 3 3 2 6 2 2 2" xfId="48178"/>
    <cellStyle name="20% - Accent4 3 3 2 6 2 3" xfId="38534"/>
    <cellStyle name="20% - Accent4 3 3 2 6 3" xfId="23614"/>
    <cellStyle name="20% - Accent4 3 3 2 6 3 2" xfId="43369"/>
    <cellStyle name="20% - Accent4 3 3 2 6 4" xfId="33725"/>
    <cellStyle name="20% - Accent4 3 3 2 7" xfId="3415"/>
    <cellStyle name="20% - Accent4 3 3 2 7 2" xfId="18709"/>
    <cellStyle name="20% - Accent4 3 3 2 7 2 2" xfId="28425"/>
    <cellStyle name="20% - Accent4 3 3 2 7 2 2 2" xfId="48179"/>
    <cellStyle name="20% - Accent4 3 3 2 7 2 3" xfId="38535"/>
    <cellStyle name="20% - Accent4 3 3 2 7 3" xfId="23615"/>
    <cellStyle name="20% - Accent4 3 3 2 7 3 2" xfId="43370"/>
    <cellStyle name="20% - Accent4 3 3 2 7 4" xfId="33726"/>
    <cellStyle name="20% - Accent4 3 3 2 8" xfId="18692"/>
    <cellStyle name="20% - Accent4 3 3 2 8 2" xfId="28408"/>
    <cellStyle name="20% - Accent4 3 3 2 8 2 2" xfId="48162"/>
    <cellStyle name="20% - Accent4 3 3 2 8 3" xfId="38518"/>
    <cellStyle name="20% - Accent4 3 3 2 9" xfId="23598"/>
    <cellStyle name="20% - Accent4 3 3 2 9 2" xfId="43353"/>
    <cellStyle name="20% - Accent4 3 3 3" xfId="3416"/>
    <cellStyle name="20% - Accent4 3 3 3 2" xfId="3417"/>
    <cellStyle name="20% - Accent4 3 3 3 2 2" xfId="3418"/>
    <cellStyle name="20% - Accent4 3 3 3 2 2 2" xfId="3419"/>
    <cellStyle name="20% - Accent4 3 3 3 2 2 2 2" xfId="18713"/>
    <cellStyle name="20% - Accent4 3 3 3 2 2 2 2 2" xfId="28429"/>
    <cellStyle name="20% - Accent4 3 3 3 2 2 2 2 2 2" xfId="48183"/>
    <cellStyle name="20% - Accent4 3 3 3 2 2 2 2 3" xfId="38539"/>
    <cellStyle name="20% - Accent4 3 3 3 2 2 2 3" xfId="23619"/>
    <cellStyle name="20% - Accent4 3 3 3 2 2 2 3 2" xfId="43374"/>
    <cellStyle name="20% - Accent4 3 3 3 2 2 2 4" xfId="33730"/>
    <cellStyle name="20% - Accent4 3 3 3 2 2 3" xfId="18712"/>
    <cellStyle name="20% - Accent4 3 3 3 2 2 3 2" xfId="28428"/>
    <cellStyle name="20% - Accent4 3 3 3 2 2 3 2 2" xfId="48182"/>
    <cellStyle name="20% - Accent4 3 3 3 2 2 3 3" xfId="38538"/>
    <cellStyle name="20% - Accent4 3 3 3 2 2 4" xfId="23618"/>
    <cellStyle name="20% - Accent4 3 3 3 2 2 4 2" xfId="43373"/>
    <cellStyle name="20% - Accent4 3 3 3 2 2 5" xfId="33729"/>
    <cellStyle name="20% - Accent4 3 3 3 2 3" xfId="3420"/>
    <cellStyle name="20% - Accent4 3 3 3 2 3 2" xfId="18714"/>
    <cellStyle name="20% - Accent4 3 3 3 2 3 2 2" xfId="28430"/>
    <cellStyle name="20% - Accent4 3 3 3 2 3 2 2 2" xfId="48184"/>
    <cellStyle name="20% - Accent4 3 3 3 2 3 2 3" xfId="38540"/>
    <cellStyle name="20% - Accent4 3 3 3 2 3 3" xfId="23620"/>
    <cellStyle name="20% - Accent4 3 3 3 2 3 3 2" xfId="43375"/>
    <cellStyle name="20% - Accent4 3 3 3 2 3 4" xfId="33731"/>
    <cellStyle name="20% - Accent4 3 3 3 2 4" xfId="18711"/>
    <cellStyle name="20% - Accent4 3 3 3 2 4 2" xfId="28427"/>
    <cellStyle name="20% - Accent4 3 3 3 2 4 2 2" xfId="48181"/>
    <cellStyle name="20% - Accent4 3 3 3 2 4 3" xfId="38537"/>
    <cellStyle name="20% - Accent4 3 3 3 2 5" xfId="23617"/>
    <cellStyle name="20% - Accent4 3 3 3 2 5 2" xfId="43372"/>
    <cellStyle name="20% - Accent4 3 3 3 2 6" xfId="33728"/>
    <cellStyle name="20% - Accent4 3 3 3 3" xfId="3421"/>
    <cellStyle name="20% - Accent4 3 3 3 3 2" xfId="3422"/>
    <cellStyle name="20% - Accent4 3 3 3 3 2 2" xfId="18716"/>
    <cellStyle name="20% - Accent4 3 3 3 3 2 2 2" xfId="28432"/>
    <cellStyle name="20% - Accent4 3 3 3 3 2 2 2 2" xfId="48186"/>
    <cellStyle name="20% - Accent4 3 3 3 3 2 2 3" xfId="38542"/>
    <cellStyle name="20% - Accent4 3 3 3 3 2 3" xfId="23622"/>
    <cellStyle name="20% - Accent4 3 3 3 3 2 3 2" xfId="43377"/>
    <cellStyle name="20% - Accent4 3 3 3 3 2 4" xfId="33733"/>
    <cellStyle name="20% - Accent4 3 3 3 3 3" xfId="18715"/>
    <cellStyle name="20% - Accent4 3 3 3 3 3 2" xfId="28431"/>
    <cellStyle name="20% - Accent4 3 3 3 3 3 2 2" xfId="48185"/>
    <cellStyle name="20% - Accent4 3 3 3 3 3 3" xfId="38541"/>
    <cellStyle name="20% - Accent4 3 3 3 3 4" xfId="23621"/>
    <cellStyle name="20% - Accent4 3 3 3 3 4 2" xfId="43376"/>
    <cellStyle name="20% - Accent4 3 3 3 3 5" xfId="33732"/>
    <cellStyle name="20% - Accent4 3 3 3 4" xfId="3423"/>
    <cellStyle name="20% - Accent4 3 3 3 4 2" xfId="18717"/>
    <cellStyle name="20% - Accent4 3 3 3 4 2 2" xfId="28433"/>
    <cellStyle name="20% - Accent4 3 3 3 4 2 2 2" xfId="48187"/>
    <cellStyle name="20% - Accent4 3 3 3 4 2 3" xfId="38543"/>
    <cellStyle name="20% - Accent4 3 3 3 4 3" xfId="23623"/>
    <cellStyle name="20% - Accent4 3 3 3 4 3 2" xfId="43378"/>
    <cellStyle name="20% - Accent4 3 3 3 4 4" xfId="33734"/>
    <cellStyle name="20% - Accent4 3 3 3 5" xfId="18710"/>
    <cellStyle name="20% - Accent4 3 3 3 5 2" xfId="28426"/>
    <cellStyle name="20% - Accent4 3 3 3 5 2 2" xfId="48180"/>
    <cellStyle name="20% - Accent4 3 3 3 5 3" xfId="38536"/>
    <cellStyle name="20% - Accent4 3 3 3 6" xfId="23616"/>
    <cellStyle name="20% - Accent4 3 3 3 6 2" xfId="43371"/>
    <cellStyle name="20% - Accent4 3 3 3 7" xfId="33727"/>
    <cellStyle name="20% - Accent4 3 3 4" xfId="3424"/>
    <cellStyle name="20% - Accent4 3 3 4 2" xfId="3425"/>
    <cellStyle name="20% - Accent4 3 3 4 2 2" xfId="3426"/>
    <cellStyle name="20% - Accent4 3 3 4 2 2 2" xfId="3427"/>
    <cellStyle name="20% - Accent4 3 3 4 2 2 2 2" xfId="18721"/>
    <cellStyle name="20% - Accent4 3 3 4 2 2 2 2 2" xfId="28437"/>
    <cellStyle name="20% - Accent4 3 3 4 2 2 2 2 2 2" xfId="48191"/>
    <cellStyle name="20% - Accent4 3 3 4 2 2 2 2 3" xfId="38547"/>
    <cellStyle name="20% - Accent4 3 3 4 2 2 2 3" xfId="23627"/>
    <cellStyle name="20% - Accent4 3 3 4 2 2 2 3 2" xfId="43382"/>
    <cellStyle name="20% - Accent4 3 3 4 2 2 2 4" xfId="33738"/>
    <cellStyle name="20% - Accent4 3 3 4 2 2 3" xfId="18720"/>
    <cellStyle name="20% - Accent4 3 3 4 2 2 3 2" xfId="28436"/>
    <cellStyle name="20% - Accent4 3 3 4 2 2 3 2 2" xfId="48190"/>
    <cellStyle name="20% - Accent4 3 3 4 2 2 3 3" xfId="38546"/>
    <cellStyle name="20% - Accent4 3 3 4 2 2 4" xfId="23626"/>
    <cellStyle name="20% - Accent4 3 3 4 2 2 4 2" xfId="43381"/>
    <cellStyle name="20% - Accent4 3 3 4 2 2 5" xfId="33737"/>
    <cellStyle name="20% - Accent4 3 3 4 2 3" xfId="3428"/>
    <cellStyle name="20% - Accent4 3 3 4 2 3 2" xfId="18722"/>
    <cellStyle name="20% - Accent4 3 3 4 2 3 2 2" xfId="28438"/>
    <cellStyle name="20% - Accent4 3 3 4 2 3 2 2 2" xfId="48192"/>
    <cellStyle name="20% - Accent4 3 3 4 2 3 2 3" xfId="38548"/>
    <cellStyle name="20% - Accent4 3 3 4 2 3 3" xfId="23628"/>
    <cellStyle name="20% - Accent4 3 3 4 2 3 3 2" xfId="43383"/>
    <cellStyle name="20% - Accent4 3 3 4 2 3 4" xfId="33739"/>
    <cellStyle name="20% - Accent4 3 3 4 2 4" xfId="18719"/>
    <cellStyle name="20% - Accent4 3 3 4 2 4 2" xfId="28435"/>
    <cellStyle name="20% - Accent4 3 3 4 2 4 2 2" xfId="48189"/>
    <cellStyle name="20% - Accent4 3 3 4 2 4 3" xfId="38545"/>
    <cellStyle name="20% - Accent4 3 3 4 2 5" xfId="23625"/>
    <cellStyle name="20% - Accent4 3 3 4 2 5 2" xfId="43380"/>
    <cellStyle name="20% - Accent4 3 3 4 2 6" xfId="33736"/>
    <cellStyle name="20% - Accent4 3 3 4 3" xfId="3429"/>
    <cellStyle name="20% - Accent4 3 3 4 3 2" xfId="3430"/>
    <cellStyle name="20% - Accent4 3 3 4 3 2 2" xfId="18724"/>
    <cellStyle name="20% - Accent4 3 3 4 3 2 2 2" xfId="28440"/>
    <cellStyle name="20% - Accent4 3 3 4 3 2 2 2 2" xfId="48194"/>
    <cellStyle name="20% - Accent4 3 3 4 3 2 2 3" xfId="38550"/>
    <cellStyle name="20% - Accent4 3 3 4 3 2 3" xfId="23630"/>
    <cellStyle name="20% - Accent4 3 3 4 3 2 3 2" xfId="43385"/>
    <cellStyle name="20% - Accent4 3 3 4 3 2 4" xfId="33741"/>
    <cellStyle name="20% - Accent4 3 3 4 3 3" xfId="18723"/>
    <cellStyle name="20% - Accent4 3 3 4 3 3 2" xfId="28439"/>
    <cellStyle name="20% - Accent4 3 3 4 3 3 2 2" xfId="48193"/>
    <cellStyle name="20% - Accent4 3 3 4 3 3 3" xfId="38549"/>
    <cellStyle name="20% - Accent4 3 3 4 3 4" xfId="23629"/>
    <cellStyle name="20% - Accent4 3 3 4 3 4 2" xfId="43384"/>
    <cellStyle name="20% - Accent4 3 3 4 3 5" xfId="33740"/>
    <cellStyle name="20% - Accent4 3 3 4 4" xfId="3431"/>
    <cellStyle name="20% - Accent4 3 3 4 4 2" xfId="18725"/>
    <cellStyle name="20% - Accent4 3 3 4 4 2 2" xfId="28441"/>
    <cellStyle name="20% - Accent4 3 3 4 4 2 2 2" xfId="48195"/>
    <cellStyle name="20% - Accent4 3 3 4 4 2 3" xfId="38551"/>
    <cellStyle name="20% - Accent4 3 3 4 4 3" xfId="23631"/>
    <cellStyle name="20% - Accent4 3 3 4 4 3 2" xfId="43386"/>
    <cellStyle name="20% - Accent4 3 3 4 4 4" xfId="33742"/>
    <cellStyle name="20% - Accent4 3 3 4 5" xfId="18718"/>
    <cellStyle name="20% - Accent4 3 3 4 5 2" xfId="28434"/>
    <cellStyle name="20% - Accent4 3 3 4 5 2 2" xfId="48188"/>
    <cellStyle name="20% - Accent4 3 3 4 5 3" xfId="38544"/>
    <cellStyle name="20% - Accent4 3 3 4 6" xfId="23624"/>
    <cellStyle name="20% - Accent4 3 3 4 6 2" xfId="43379"/>
    <cellStyle name="20% - Accent4 3 3 4 7" xfId="33735"/>
    <cellStyle name="20% - Accent4 3 3 5" xfId="3432"/>
    <cellStyle name="20% - Accent4 3 3 5 2" xfId="3433"/>
    <cellStyle name="20% - Accent4 3 3 5 2 2" xfId="3434"/>
    <cellStyle name="20% - Accent4 3 3 5 2 2 2" xfId="18728"/>
    <cellStyle name="20% - Accent4 3 3 5 2 2 2 2" xfId="28444"/>
    <cellStyle name="20% - Accent4 3 3 5 2 2 2 2 2" xfId="48198"/>
    <cellStyle name="20% - Accent4 3 3 5 2 2 2 3" xfId="38554"/>
    <cellStyle name="20% - Accent4 3 3 5 2 2 3" xfId="23634"/>
    <cellStyle name="20% - Accent4 3 3 5 2 2 3 2" xfId="43389"/>
    <cellStyle name="20% - Accent4 3 3 5 2 2 4" xfId="33745"/>
    <cellStyle name="20% - Accent4 3 3 5 2 3" xfId="18727"/>
    <cellStyle name="20% - Accent4 3 3 5 2 3 2" xfId="28443"/>
    <cellStyle name="20% - Accent4 3 3 5 2 3 2 2" xfId="48197"/>
    <cellStyle name="20% - Accent4 3 3 5 2 3 3" xfId="38553"/>
    <cellStyle name="20% - Accent4 3 3 5 2 4" xfId="23633"/>
    <cellStyle name="20% - Accent4 3 3 5 2 4 2" xfId="43388"/>
    <cellStyle name="20% - Accent4 3 3 5 2 5" xfId="33744"/>
    <cellStyle name="20% - Accent4 3 3 5 3" xfId="3435"/>
    <cellStyle name="20% - Accent4 3 3 5 3 2" xfId="18729"/>
    <cellStyle name="20% - Accent4 3 3 5 3 2 2" xfId="28445"/>
    <cellStyle name="20% - Accent4 3 3 5 3 2 2 2" xfId="48199"/>
    <cellStyle name="20% - Accent4 3 3 5 3 2 3" xfId="38555"/>
    <cellStyle name="20% - Accent4 3 3 5 3 3" xfId="23635"/>
    <cellStyle name="20% - Accent4 3 3 5 3 3 2" xfId="43390"/>
    <cellStyle name="20% - Accent4 3 3 5 3 4" xfId="33746"/>
    <cellStyle name="20% - Accent4 3 3 5 4" xfId="18726"/>
    <cellStyle name="20% - Accent4 3 3 5 4 2" xfId="28442"/>
    <cellStyle name="20% - Accent4 3 3 5 4 2 2" xfId="48196"/>
    <cellStyle name="20% - Accent4 3 3 5 4 3" xfId="38552"/>
    <cellStyle name="20% - Accent4 3 3 5 5" xfId="23632"/>
    <cellStyle name="20% - Accent4 3 3 5 5 2" xfId="43387"/>
    <cellStyle name="20% - Accent4 3 3 5 6" xfId="33743"/>
    <cellStyle name="20% - Accent4 3 3 6" xfId="3436"/>
    <cellStyle name="20% - Accent4 3 3 6 2" xfId="3437"/>
    <cellStyle name="20% - Accent4 3 3 6 2 2" xfId="18731"/>
    <cellStyle name="20% - Accent4 3 3 6 2 2 2" xfId="28447"/>
    <cellStyle name="20% - Accent4 3 3 6 2 2 2 2" xfId="48201"/>
    <cellStyle name="20% - Accent4 3 3 6 2 2 3" xfId="38557"/>
    <cellStyle name="20% - Accent4 3 3 6 2 3" xfId="23637"/>
    <cellStyle name="20% - Accent4 3 3 6 2 3 2" xfId="43392"/>
    <cellStyle name="20% - Accent4 3 3 6 2 4" xfId="33748"/>
    <cellStyle name="20% - Accent4 3 3 6 3" xfId="18730"/>
    <cellStyle name="20% - Accent4 3 3 6 3 2" xfId="28446"/>
    <cellStyle name="20% - Accent4 3 3 6 3 2 2" xfId="48200"/>
    <cellStyle name="20% - Accent4 3 3 6 3 3" xfId="38556"/>
    <cellStyle name="20% - Accent4 3 3 6 4" xfId="23636"/>
    <cellStyle name="20% - Accent4 3 3 6 4 2" xfId="43391"/>
    <cellStyle name="20% - Accent4 3 3 6 5" xfId="33747"/>
    <cellStyle name="20% - Accent4 3 3 7" xfId="3438"/>
    <cellStyle name="20% - Accent4 3 3 7 2" xfId="3439"/>
    <cellStyle name="20% - Accent4 3 3 7 2 2" xfId="18733"/>
    <cellStyle name="20% - Accent4 3 3 7 2 2 2" xfId="28449"/>
    <cellStyle name="20% - Accent4 3 3 7 2 2 2 2" xfId="48203"/>
    <cellStyle name="20% - Accent4 3 3 7 2 2 3" xfId="38559"/>
    <cellStyle name="20% - Accent4 3 3 7 2 3" xfId="23639"/>
    <cellStyle name="20% - Accent4 3 3 7 2 3 2" xfId="43394"/>
    <cellStyle name="20% - Accent4 3 3 7 2 4" xfId="33750"/>
    <cellStyle name="20% - Accent4 3 3 7 3" xfId="18732"/>
    <cellStyle name="20% - Accent4 3 3 7 3 2" xfId="28448"/>
    <cellStyle name="20% - Accent4 3 3 7 3 2 2" xfId="48202"/>
    <cellStyle name="20% - Accent4 3 3 7 3 3" xfId="38558"/>
    <cellStyle name="20% - Accent4 3 3 7 4" xfId="23638"/>
    <cellStyle name="20% - Accent4 3 3 7 4 2" xfId="43393"/>
    <cellStyle name="20% - Accent4 3 3 7 5" xfId="33749"/>
    <cellStyle name="20% - Accent4 3 3 8" xfId="3440"/>
    <cellStyle name="20% - Accent4 3 3 8 2" xfId="18734"/>
    <cellStyle name="20% - Accent4 3 3 8 2 2" xfId="28450"/>
    <cellStyle name="20% - Accent4 3 3 8 2 2 2" xfId="48204"/>
    <cellStyle name="20% - Accent4 3 3 8 2 3" xfId="38560"/>
    <cellStyle name="20% - Accent4 3 3 8 3" xfId="23640"/>
    <cellStyle name="20% - Accent4 3 3 8 3 2" xfId="43395"/>
    <cellStyle name="20% - Accent4 3 3 8 4" xfId="33751"/>
    <cellStyle name="20% - Accent4 3 3 9" xfId="3441"/>
    <cellStyle name="20% - Accent4 3 3 9 2" xfId="18735"/>
    <cellStyle name="20% - Accent4 3 3 9 2 2" xfId="28451"/>
    <cellStyle name="20% - Accent4 3 3 9 2 2 2" xfId="48205"/>
    <cellStyle name="20% - Accent4 3 3 9 2 3" xfId="38561"/>
    <cellStyle name="20% - Accent4 3 3 9 3" xfId="23641"/>
    <cellStyle name="20% - Accent4 3 3 9 3 2" xfId="43396"/>
    <cellStyle name="20% - Accent4 3 3 9 4" xfId="33752"/>
    <cellStyle name="20% - Accent4 3 4" xfId="3442"/>
    <cellStyle name="20% - Accent4 3 4 10" xfId="33753"/>
    <cellStyle name="20% - Accent4 3 4 2" xfId="3443"/>
    <cellStyle name="20% - Accent4 3 4 2 2" xfId="3444"/>
    <cellStyle name="20% - Accent4 3 4 2 2 2" xfId="3445"/>
    <cellStyle name="20% - Accent4 3 4 2 2 2 2" xfId="3446"/>
    <cellStyle name="20% - Accent4 3 4 2 2 2 2 2" xfId="18740"/>
    <cellStyle name="20% - Accent4 3 4 2 2 2 2 2 2" xfId="28456"/>
    <cellStyle name="20% - Accent4 3 4 2 2 2 2 2 2 2" xfId="48210"/>
    <cellStyle name="20% - Accent4 3 4 2 2 2 2 2 3" xfId="38566"/>
    <cellStyle name="20% - Accent4 3 4 2 2 2 2 3" xfId="23646"/>
    <cellStyle name="20% - Accent4 3 4 2 2 2 2 3 2" xfId="43401"/>
    <cellStyle name="20% - Accent4 3 4 2 2 2 2 4" xfId="33757"/>
    <cellStyle name="20% - Accent4 3 4 2 2 2 3" xfId="18739"/>
    <cellStyle name="20% - Accent4 3 4 2 2 2 3 2" xfId="28455"/>
    <cellStyle name="20% - Accent4 3 4 2 2 2 3 2 2" xfId="48209"/>
    <cellStyle name="20% - Accent4 3 4 2 2 2 3 3" xfId="38565"/>
    <cellStyle name="20% - Accent4 3 4 2 2 2 4" xfId="23645"/>
    <cellStyle name="20% - Accent4 3 4 2 2 2 4 2" xfId="43400"/>
    <cellStyle name="20% - Accent4 3 4 2 2 2 5" xfId="33756"/>
    <cellStyle name="20% - Accent4 3 4 2 2 3" xfId="3447"/>
    <cellStyle name="20% - Accent4 3 4 2 2 3 2" xfId="18741"/>
    <cellStyle name="20% - Accent4 3 4 2 2 3 2 2" xfId="28457"/>
    <cellStyle name="20% - Accent4 3 4 2 2 3 2 2 2" xfId="48211"/>
    <cellStyle name="20% - Accent4 3 4 2 2 3 2 3" xfId="38567"/>
    <cellStyle name="20% - Accent4 3 4 2 2 3 3" xfId="23647"/>
    <cellStyle name="20% - Accent4 3 4 2 2 3 3 2" xfId="43402"/>
    <cellStyle name="20% - Accent4 3 4 2 2 3 4" xfId="33758"/>
    <cellStyle name="20% - Accent4 3 4 2 2 4" xfId="18738"/>
    <cellStyle name="20% - Accent4 3 4 2 2 4 2" xfId="28454"/>
    <cellStyle name="20% - Accent4 3 4 2 2 4 2 2" xfId="48208"/>
    <cellStyle name="20% - Accent4 3 4 2 2 4 3" xfId="38564"/>
    <cellStyle name="20% - Accent4 3 4 2 2 5" xfId="23644"/>
    <cellStyle name="20% - Accent4 3 4 2 2 5 2" xfId="43399"/>
    <cellStyle name="20% - Accent4 3 4 2 2 6" xfId="33755"/>
    <cellStyle name="20% - Accent4 3 4 2 3" xfId="3448"/>
    <cellStyle name="20% - Accent4 3 4 2 3 2" xfId="3449"/>
    <cellStyle name="20% - Accent4 3 4 2 3 2 2" xfId="18743"/>
    <cellStyle name="20% - Accent4 3 4 2 3 2 2 2" xfId="28459"/>
    <cellStyle name="20% - Accent4 3 4 2 3 2 2 2 2" xfId="48213"/>
    <cellStyle name="20% - Accent4 3 4 2 3 2 2 3" xfId="38569"/>
    <cellStyle name="20% - Accent4 3 4 2 3 2 3" xfId="23649"/>
    <cellStyle name="20% - Accent4 3 4 2 3 2 3 2" xfId="43404"/>
    <cellStyle name="20% - Accent4 3 4 2 3 2 4" xfId="33760"/>
    <cellStyle name="20% - Accent4 3 4 2 3 3" xfId="18742"/>
    <cellStyle name="20% - Accent4 3 4 2 3 3 2" xfId="28458"/>
    <cellStyle name="20% - Accent4 3 4 2 3 3 2 2" xfId="48212"/>
    <cellStyle name="20% - Accent4 3 4 2 3 3 3" xfId="38568"/>
    <cellStyle name="20% - Accent4 3 4 2 3 4" xfId="23648"/>
    <cellStyle name="20% - Accent4 3 4 2 3 4 2" xfId="43403"/>
    <cellStyle name="20% - Accent4 3 4 2 3 5" xfId="33759"/>
    <cellStyle name="20% - Accent4 3 4 2 4" xfId="3450"/>
    <cellStyle name="20% - Accent4 3 4 2 4 2" xfId="18744"/>
    <cellStyle name="20% - Accent4 3 4 2 4 2 2" xfId="28460"/>
    <cellStyle name="20% - Accent4 3 4 2 4 2 2 2" xfId="48214"/>
    <cellStyle name="20% - Accent4 3 4 2 4 2 3" xfId="38570"/>
    <cellStyle name="20% - Accent4 3 4 2 4 3" xfId="23650"/>
    <cellStyle name="20% - Accent4 3 4 2 4 3 2" xfId="43405"/>
    <cellStyle name="20% - Accent4 3 4 2 4 4" xfId="33761"/>
    <cellStyle name="20% - Accent4 3 4 2 5" xfId="18737"/>
    <cellStyle name="20% - Accent4 3 4 2 5 2" xfId="28453"/>
    <cellStyle name="20% - Accent4 3 4 2 5 2 2" xfId="48207"/>
    <cellStyle name="20% - Accent4 3 4 2 5 3" xfId="38563"/>
    <cellStyle name="20% - Accent4 3 4 2 6" xfId="23643"/>
    <cellStyle name="20% - Accent4 3 4 2 6 2" xfId="43398"/>
    <cellStyle name="20% - Accent4 3 4 2 7" xfId="33754"/>
    <cellStyle name="20% - Accent4 3 4 3" xfId="3451"/>
    <cellStyle name="20% - Accent4 3 4 3 2" xfId="3452"/>
    <cellStyle name="20% - Accent4 3 4 3 2 2" xfId="3453"/>
    <cellStyle name="20% - Accent4 3 4 3 2 2 2" xfId="18747"/>
    <cellStyle name="20% - Accent4 3 4 3 2 2 2 2" xfId="28463"/>
    <cellStyle name="20% - Accent4 3 4 3 2 2 2 2 2" xfId="48217"/>
    <cellStyle name="20% - Accent4 3 4 3 2 2 2 3" xfId="38573"/>
    <cellStyle name="20% - Accent4 3 4 3 2 2 3" xfId="23653"/>
    <cellStyle name="20% - Accent4 3 4 3 2 2 3 2" xfId="43408"/>
    <cellStyle name="20% - Accent4 3 4 3 2 2 4" xfId="33764"/>
    <cellStyle name="20% - Accent4 3 4 3 2 3" xfId="18746"/>
    <cellStyle name="20% - Accent4 3 4 3 2 3 2" xfId="28462"/>
    <cellStyle name="20% - Accent4 3 4 3 2 3 2 2" xfId="48216"/>
    <cellStyle name="20% - Accent4 3 4 3 2 3 3" xfId="38572"/>
    <cellStyle name="20% - Accent4 3 4 3 2 4" xfId="23652"/>
    <cellStyle name="20% - Accent4 3 4 3 2 4 2" xfId="43407"/>
    <cellStyle name="20% - Accent4 3 4 3 2 5" xfId="33763"/>
    <cellStyle name="20% - Accent4 3 4 3 3" xfId="3454"/>
    <cellStyle name="20% - Accent4 3 4 3 3 2" xfId="18748"/>
    <cellStyle name="20% - Accent4 3 4 3 3 2 2" xfId="28464"/>
    <cellStyle name="20% - Accent4 3 4 3 3 2 2 2" xfId="48218"/>
    <cellStyle name="20% - Accent4 3 4 3 3 2 3" xfId="38574"/>
    <cellStyle name="20% - Accent4 3 4 3 3 3" xfId="23654"/>
    <cellStyle name="20% - Accent4 3 4 3 3 3 2" xfId="43409"/>
    <cellStyle name="20% - Accent4 3 4 3 3 4" xfId="33765"/>
    <cellStyle name="20% - Accent4 3 4 3 4" xfId="18745"/>
    <cellStyle name="20% - Accent4 3 4 3 4 2" xfId="28461"/>
    <cellStyle name="20% - Accent4 3 4 3 4 2 2" xfId="48215"/>
    <cellStyle name="20% - Accent4 3 4 3 4 3" xfId="38571"/>
    <cellStyle name="20% - Accent4 3 4 3 5" xfId="23651"/>
    <cellStyle name="20% - Accent4 3 4 3 5 2" xfId="43406"/>
    <cellStyle name="20% - Accent4 3 4 3 6" xfId="33762"/>
    <cellStyle name="20% - Accent4 3 4 4" xfId="3455"/>
    <cellStyle name="20% - Accent4 3 4 4 2" xfId="3456"/>
    <cellStyle name="20% - Accent4 3 4 4 2 2" xfId="18750"/>
    <cellStyle name="20% - Accent4 3 4 4 2 2 2" xfId="28466"/>
    <cellStyle name="20% - Accent4 3 4 4 2 2 2 2" xfId="48220"/>
    <cellStyle name="20% - Accent4 3 4 4 2 2 3" xfId="38576"/>
    <cellStyle name="20% - Accent4 3 4 4 2 3" xfId="23656"/>
    <cellStyle name="20% - Accent4 3 4 4 2 3 2" xfId="43411"/>
    <cellStyle name="20% - Accent4 3 4 4 2 4" xfId="33767"/>
    <cellStyle name="20% - Accent4 3 4 4 3" xfId="18749"/>
    <cellStyle name="20% - Accent4 3 4 4 3 2" xfId="28465"/>
    <cellStyle name="20% - Accent4 3 4 4 3 2 2" xfId="48219"/>
    <cellStyle name="20% - Accent4 3 4 4 3 3" xfId="38575"/>
    <cellStyle name="20% - Accent4 3 4 4 4" xfId="23655"/>
    <cellStyle name="20% - Accent4 3 4 4 4 2" xfId="43410"/>
    <cellStyle name="20% - Accent4 3 4 4 5" xfId="33766"/>
    <cellStyle name="20% - Accent4 3 4 5" xfId="3457"/>
    <cellStyle name="20% - Accent4 3 4 5 2" xfId="18751"/>
    <cellStyle name="20% - Accent4 3 4 5 2 2" xfId="28467"/>
    <cellStyle name="20% - Accent4 3 4 5 2 2 2" xfId="48221"/>
    <cellStyle name="20% - Accent4 3 4 5 2 3" xfId="38577"/>
    <cellStyle name="20% - Accent4 3 4 5 3" xfId="23657"/>
    <cellStyle name="20% - Accent4 3 4 5 3 2" xfId="43412"/>
    <cellStyle name="20% - Accent4 3 4 5 4" xfId="33768"/>
    <cellStyle name="20% - Accent4 3 4 6" xfId="3458"/>
    <cellStyle name="20% - Accent4 3 4 6 2" xfId="18752"/>
    <cellStyle name="20% - Accent4 3 4 6 2 2" xfId="28468"/>
    <cellStyle name="20% - Accent4 3 4 6 2 2 2" xfId="48222"/>
    <cellStyle name="20% - Accent4 3 4 6 2 3" xfId="38578"/>
    <cellStyle name="20% - Accent4 3 4 6 3" xfId="23658"/>
    <cellStyle name="20% - Accent4 3 4 6 3 2" xfId="43413"/>
    <cellStyle name="20% - Accent4 3 4 6 4" xfId="33769"/>
    <cellStyle name="20% - Accent4 3 4 7" xfId="3459"/>
    <cellStyle name="20% - Accent4 3 4 7 2" xfId="18753"/>
    <cellStyle name="20% - Accent4 3 4 7 2 2" xfId="28469"/>
    <cellStyle name="20% - Accent4 3 4 7 2 2 2" xfId="48223"/>
    <cellStyle name="20% - Accent4 3 4 7 2 3" xfId="38579"/>
    <cellStyle name="20% - Accent4 3 4 7 3" xfId="23659"/>
    <cellStyle name="20% - Accent4 3 4 7 3 2" xfId="43414"/>
    <cellStyle name="20% - Accent4 3 4 7 4" xfId="33770"/>
    <cellStyle name="20% - Accent4 3 4 8" xfId="18736"/>
    <cellStyle name="20% - Accent4 3 4 8 2" xfId="28452"/>
    <cellStyle name="20% - Accent4 3 4 8 2 2" xfId="48206"/>
    <cellStyle name="20% - Accent4 3 4 8 3" xfId="38562"/>
    <cellStyle name="20% - Accent4 3 4 9" xfId="23642"/>
    <cellStyle name="20% - Accent4 3 4 9 2" xfId="43397"/>
    <cellStyle name="20% - Accent4 3 5" xfId="3460"/>
    <cellStyle name="20% - Accent4 3 5 2" xfId="3461"/>
    <cellStyle name="20% - Accent4 3 5 2 2" xfId="3462"/>
    <cellStyle name="20% - Accent4 3 5 2 2 2" xfId="3463"/>
    <cellStyle name="20% - Accent4 3 5 2 2 2 2" xfId="18757"/>
    <cellStyle name="20% - Accent4 3 5 2 2 2 2 2" xfId="28473"/>
    <cellStyle name="20% - Accent4 3 5 2 2 2 2 2 2" xfId="48227"/>
    <cellStyle name="20% - Accent4 3 5 2 2 2 2 3" xfId="38583"/>
    <cellStyle name="20% - Accent4 3 5 2 2 2 3" xfId="23663"/>
    <cellStyle name="20% - Accent4 3 5 2 2 2 3 2" xfId="43418"/>
    <cellStyle name="20% - Accent4 3 5 2 2 2 4" xfId="33774"/>
    <cellStyle name="20% - Accent4 3 5 2 2 3" xfId="18756"/>
    <cellStyle name="20% - Accent4 3 5 2 2 3 2" xfId="28472"/>
    <cellStyle name="20% - Accent4 3 5 2 2 3 2 2" xfId="48226"/>
    <cellStyle name="20% - Accent4 3 5 2 2 3 3" xfId="38582"/>
    <cellStyle name="20% - Accent4 3 5 2 2 4" xfId="23662"/>
    <cellStyle name="20% - Accent4 3 5 2 2 4 2" xfId="43417"/>
    <cellStyle name="20% - Accent4 3 5 2 2 5" xfId="33773"/>
    <cellStyle name="20% - Accent4 3 5 2 3" xfId="3464"/>
    <cellStyle name="20% - Accent4 3 5 2 3 2" xfId="18758"/>
    <cellStyle name="20% - Accent4 3 5 2 3 2 2" xfId="28474"/>
    <cellStyle name="20% - Accent4 3 5 2 3 2 2 2" xfId="48228"/>
    <cellStyle name="20% - Accent4 3 5 2 3 2 3" xfId="38584"/>
    <cellStyle name="20% - Accent4 3 5 2 3 3" xfId="23664"/>
    <cellStyle name="20% - Accent4 3 5 2 3 3 2" xfId="43419"/>
    <cellStyle name="20% - Accent4 3 5 2 3 4" xfId="33775"/>
    <cellStyle name="20% - Accent4 3 5 2 4" xfId="18755"/>
    <cellStyle name="20% - Accent4 3 5 2 4 2" xfId="28471"/>
    <cellStyle name="20% - Accent4 3 5 2 4 2 2" xfId="48225"/>
    <cellStyle name="20% - Accent4 3 5 2 4 3" xfId="38581"/>
    <cellStyle name="20% - Accent4 3 5 2 5" xfId="23661"/>
    <cellStyle name="20% - Accent4 3 5 2 5 2" xfId="43416"/>
    <cellStyle name="20% - Accent4 3 5 2 6" xfId="33772"/>
    <cellStyle name="20% - Accent4 3 5 3" xfId="3465"/>
    <cellStyle name="20% - Accent4 3 5 3 2" xfId="3466"/>
    <cellStyle name="20% - Accent4 3 5 3 2 2" xfId="18760"/>
    <cellStyle name="20% - Accent4 3 5 3 2 2 2" xfId="28476"/>
    <cellStyle name="20% - Accent4 3 5 3 2 2 2 2" xfId="48230"/>
    <cellStyle name="20% - Accent4 3 5 3 2 2 3" xfId="38586"/>
    <cellStyle name="20% - Accent4 3 5 3 2 3" xfId="23666"/>
    <cellStyle name="20% - Accent4 3 5 3 2 3 2" xfId="43421"/>
    <cellStyle name="20% - Accent4 3 5 3 2 4" xfId="33777"/>
    <cellStyle name="20% - Accent4 3 5 3 3" xfId="18759"/>
    <cellStyle name="20% - Accent4 3 5 3 3 2" xfId="28475"/>
    <cellStyle name="20% - Accent4 3 5 3 3 2 2" xfId="48229"/>
    <cellStyle name="20% - Accent4 3 5 3 3 3" xfId="38585"/>
    <cellStyle name="20% - Accent4 3 5 3 4" xfId="23665"/>
    <cellStyle name="20% - Accent4 3 5 3 4 2" xfId="43420"/>
    <cellStyle name="20% - Accent4 3 5 3 5" xfId="33776"/>
    <cellStyle name="20% - Accent4 3 5 4" xfId="3467"/>
    <cellStyle name="20% - Accent4 3 5 4 2" xfId="18761"/>
    <cellStyle name="20% - Accent4 3 5 4 2 2" xfId="28477"/>
    <cellStyle name="20% - Accent4 3 5 4 2 2 2" xfId="48231"/>
    <cellStyle name="20% - Accent4 3 5 4 2 3" xfId="38587"/>
    <cellStyle name="20% - Accent4 3 5 4 3" xfId="23667"/>
    <cellStyle name="20% - Accent4 3 5 4 3 2" xfId="43422"/>
    <cellStyle name="20% - Accent4 3 5 4 4" xfId="33778"/>
    <cellStyle name="20% - Accent4 3 5 5" xfId="18754"/>
    <cellStyle name="20% - Accent4 3 5 5 2" xfId="28470"/>
    <cellStyle name="20% - Accent4 3 5 5 2 2" xfId="48224"/>
    <cellStyle name="20% - Accent4 3 5 5 3" xfId="38580"/>
    <cellStyle name="20% - Accent4 3 5 6" xfId="23660"/>
    <cellStyle name="20% - Accent4 3 5 6 2" xfId="43415"/>
    <cellStyle name="20% - Accent4 3 5 7" xfId="33771"/>
    <cellStyle name="20% - Accent4 3 6" xfId="3468"/>
    <cellStyle name="20% - Accent4 3 6 2" xfId="3469"/>
    <cellStyle name="20% - Accent4 3 6 2 2" xfId="3470"/>
    <cellStyle name="20% - Accent4 3 6 2 2 2" xfId="3471"/>
    <cellStyle name="20% - Accent4 3 6 2 2 2 2" xfId="18765"/>
    <cellStyle name="20% - Accent4 3 6 2 2 2 2 2" xfId="28481"/>
    <cellStyle name="20% - Accent4 3 6 2 2 2 2 2 2" xfId="48235"/>
    <cellStyle name="20% - Accent4 3 6 2 2 2 2 3" xfId="38591"/>
    <cellStyle name="20% - Accent4 3 6 2 2 2 3" xfId="23671"/>
    <cellStyle name="20% - Accent4 3 6 2 2 2 3 2" xfId="43426"/>
    <cellStyle name="20% - Accent4 3 6 2 2 2 4" xfId="33782"/>
    <cellStyle name="20% - Accent4 3 6 2 2 3" xfId="18764"/>
    <cellStyle name="20% - Accent4 3 6 2 2 3 2" xfId="28480"/>
    <cellStyle name="20% - Accent4 3 6 2 2 3 2 2" xfId="48234"/>
    <cellStyle name="20% - Accent4 3 6 2 2 3 3" xfId="38590"/>
    <cellStyle name="20% - Accent4 3 6 2 2 4" xfId="23670"/>
    <cellStyle name="20% - Accent4 3 6 2 2 4 2" xfId="43425"/>
    <cellStyle name="20% - Accent4 3 6 2 2 5" xfId="33781"/>
    <cellStyle name="20% - Accent4 3 6 2 3" xfId="3472"/>
    <cellStyle name="20% - Accent4 3 6 2 3 2" xfId="18766"/>
    <cellStyle name="20% - Accent4 3 6 2 3 2 2" xfId="28482"/>
    <cellStyle name="20% - Accent4 3 6 2 3 2 2 2" xfId="48236"/>
    <cellStyle name="20% - Accent4 3 6 2 3 2 3" xfId="38592"/>
    <cellStyle name="20% - Accent4 3 6 2 3 3" xfId="23672"/>
    <cellStyle name="20% - Accent4 3 6 2 3 3 2" xfId="43427"/>
    <cellStyle name="20% - Accent4 3 6 2 3 4" xfId="33783"/>
    <cellStyle name="20% - Accent4 3 6 2 4" xfId="18763"/>
    <cellStyle name="20% - Accent4 3 6 2 4 2" xfId="28479"/>
    <cellStyle name="20% - Accent4 3 6 2 4 2 2" xfId="48233"/>
    <cellStyle name="20% - Accent4 3 6 2 4 3" xfId="38589"/>
    <cellStyle name="20% - Accent4 3 6 2 5" xfId="23669"/>
    <cellStyle name="20% - Accent4 3 6 2 5 2" xfId="43424"/>
    <cellStyle name="20% - Accent4 3 6 2 6" xfId="33780"/>
    <cellStyle name="20% - Accent4 3 6 3" xfId="3473"/>
    <cellStyle name="20% - Accent4 3 6 3 2" xfId="3474"/>
    <cellStyle name="20% - Accent4 3 6 3 2 2" xfId="18768"/>
    <cellStyle name="20% - Accent4 3 6 3 2 2 2" xfId="28484"/>
    <cellStyle name="20% - Accent4 3 6 3 2 2 2 2" xfId="48238"/>
    <cellStyle name="20% - Accent4 3 6 3 2 2 3" xfId="38594"/>
    <cellStyle name="20% - Accent4 3 6 3 2 3" xfId="23674"/>
    <cellStyle name="20% - Accent4 3 6 3 2 3 2" xfId="43429"/>
    <cellStyle name="20% - Accent4 3 6 3 2 4" xfId="33785"/>
    <cellStyle name="20% - Accent4 3 6 3 3" xfId="18767"/>
    <cellStyle name="20% - Accent4 3 6 3 3 2" xfId="28483"/>
    <cellStyle name="20% - Accent4 3 6 3 3 2 2" xfId="48237"/>
    <cellStyle name="20% - Accent4 3 6 3 3 3" xfId="38593"/>
    <cellStyle name="20% - Accent4 3 6 3 4" xfId="23673"/>
    <cellStyle name="20% - Accent4 3 6 3 4 2" xfId="43428"/>
    <cellStyle name="20% - Accent4 3 6 3 5" xfId="33784"/>
    <cellStyle name="20% - Accent4 3 6 4" xfId="3475"/>
    <cellStyle name="20% - Accent4 3 6 4 2" xfId="18769"/>
    <cellStyle name="20% - Accent4 3 6 4 2 2" xfId="28485"/>
    <cellStyle name="20% - Accent4 3 6 4 2 2 2" xfId="48239"/>
    <cellStyle name="20% - Accent4 3 6 4 2 3" xfId="38595"/>
    <cellStyle name="20% - Accent4 3 6 4 3" xfId="23675"/>
    <cellStyle name="20% - Accent4 3 6 4 3 2" xfId="43430"/>
    <cellStyle name="20% - Accent4 3 6 4 4" xfId="33786"/>
    <cellStyle name="20% - Accent4 3 6 5" xfId="18762"/>
    <cellStyle name="20% - Accent4 3 6 5 2" xfId="28478"/>
    <cellStyle name="20% - Accent4 3 6 5 2 2" xfId="48232"/>
    <cellStyle name="20% - Accent4 3 6 5 3" xfId="38588"/>
    <cellStyle name="20% - Accent4 3 6 6" xfId="23668"/>
    <cellStyle name="20% - Accent4 3 6 6 2" xfId="43423"/>
    <cellStyle name="20% - Accent4 3 6 7" xfId="33779"/>
    <cellStyle name="20% - Accent4 3 7" xfId="3476"/>
    <cellStyle name="20% - Accent4 3 8" xfId="3477"/>
    <cellStyle name="20% - Accent4 3 8 2" xfId="3478"/>
    <cellStyle name="20% - Accent4 3 8 2 2" xfId="3479"/>
    <cellStyle name="20% - Accent4 3 8 2 2 2" xfId="18772"/>
    <cellStyle name="20% - Accent4 3 8 2 2 2 2" xfId="28488"/>
    <cellStyle name="20% - Accent4 3 8 2 2 2 2 2" xfId="48242"/>
    <cellStyle name="20% - Accent4 3 8 2 2 2 3" xfId="38598"/>
    <cellStyle name="20% - Accent4 3 8 2 2 3" xfId="23678"/>
    <cellStyle name="20% - Accent4 3 8 2 2 3 2" xfId="43433"/>
    <cellStyle name="20% - Accent4 3 8 2 2 4" xfId="33789"/>
    <cellStyle name="20% - Accent4 3 8 2 3" xfId="18771"/>
    <cellStyle name="20% - Accent4 3 8 2 3 2" xfId="28487"/>
    <cellStyle name="20% - Accent4 3 8 2 3 2 2" xfId="48241"/>
    <cellStyle name="20% - Accent4 3 8 2 3 3" xfId="38597"/>
    <cellStyle name="20% - Accent4 3 8 2 4" xfId="23677"/>
    <cellStyle name="20% - Accent4 3 8 2 4 2" xfId="43432"/>
    <cellStyle name="20% - Accent4 3 8 2 5" xfId="33788"/>
    <cellStyle name="20% - Accent4 3 8 3" xfId="3480"/>
    <cellStyle name="20% - Accent4 3 8 3 2" xfId="18773"/>
    <cellStyle name="20% - Accent4 3 8 3 2 2" xfId="28489"/>
    <cellStyle name="20% - Accent4 3 8 3 2 2 2" xfId="48243"/>
    <cellStyle name="20% - Accent4 3 8 3 2 3" xfId="38599"/>
    <cellStyle name="20% - Accent4 3 8 3 3" xfId="23679"/>
    <cellStyle name="20% - Accent4 3 8 3 3 2" xfId="43434"/>
    <cellStyle name="20% - Accent4 3 8 3 4" xfId="33790"/>
    <cellStyle name="20% - Accent4 3 8 4" xfId="18770"/>
    <cellStyle name="20% - Accent4 3 8 4 2" xfId="28486"/>
    <cellStyle name="20% - Accent4 3 8 4 2 2" xfId="48240"/>
    <cellStyle name="20% - Accent4 3 8 4 3" xfId="38596"/>
    <cellStyle name="20% - Accent4 3 8 5" xfId="23676"/>
    <cellStyle name="20% - Accent4 3 8 5 2" xfId="43431"/>
    <cellStyle name="20% - Accent4 3 8 6" xfId="33787"/>
    <cellStyle name="20% - Accent4 3 9" xfId="3481"/>
    <cellStyle name="20% - Accent4 3 9 2" xfId="3482"/>
    <cellStyle name="20% - Accent4 3 9 2 2" xfId="18775"/>
    <cellStyle name="20% - Accent4 3 9 2 2 2" xfId="28491"/>
    <cellStyle name="20% - Accent4 3 9 2 2 2 2" xfId="48245"/>
    <cellStyle name="20% - Accent4 3 9 2 2 3" xfId="38601"/>
    <cellStyle name="20% - Accent4 3 9 2 3" xfId="23681"/>
    <cellStyle name="20% - Accent4 3 9 2 3 2" xfId="43436"/>
    <cellStyle name="20% - Accent4 3 9 2 4" xfId="33792"/>
    <cellStyle name="20% - Accent4 3 9 3" xfId="18774"/>
    <cellStyle name="20% - Accent4 3 9 3 2" xfId="28490"/>
    <cellStyle name="20% - Accent4 3 9 3 2 2" xfId="48244"/>
    <cellStyle name="20% - Accent4 3 9 3 3" xfId="38600"/>
    <cellStyle name="20% - Accent4 3 9 4" xfId="23680"/>
    <cellStyle name="20% - Accent4 3 9 4 2" xfId="43435"/>
    <cellStyle name="20% - Accent4 3 9 5" xfId="33791"/>
    <cellStyle name="20% - Accent4 4" xfId="68"/>
    <cellStyle name="20% - Accent4 4 10" xfId="3483"/>
    <cellStyle name="20% - Accent4 4 10 2" xfId="18776"/>
    <cellStyle name="20% - Accent4 4 10 2 2" xfId="28492"/>
    <cellStyle name="20% - Accent4 4 10 2 2 2" xfId="48246"/>
    <cellStyle name="20% - Accent4 4 10 2 3" xfId="38602"/>
    <cellStyle name="20% - Accent4 4 10 3" xfId="23682"/>
    <cellStyle name="20% - Accent4 4 10 3 2" xfId="43437"/>
    <cellStyle name="20% - Accent4 4 10 4" xfId="33793"/>
    <cellStyle name="20% - Accent4 4 11" xfId="3484"/>
    <cellStyle name="20% - Accent4 4 11 2" xfId="18777"/>
    <cellStyle name="20% - Accent4 4 11 2 2" xfId="28493"/>
    <cellStyle name="20% - Accent4 4 11 2 2 2" xfId="48247"/>
    <cellStyle name="20% - Accent4 4 11 2 3" xfId="38603"/>
    <cellStyle name="20% - Accent4 4 11 3" xfId="23683"/>
    <cellStyle name="20% - Accent4 4 11 3 2" xfId="43438"/>
    <cellStyle name="20% - Accent4 4 11 4" xfId="33794"/>
    <cellStyle name="20% - Accent4 4 12" xfId="3485"/>
    <cellStyle name="20% - Accent4 4 12 2" xfId="18778"/>
    <cellStyle name="20% - Accent4 4 12 2 2" xfId="28494"/>
    <cellStyle name="20% - Accent4 4 12 2 2 2" xfId="48248"/>
    <cellStyle name="20% - Accent4 4 12 2 3" xfId="38604"/>
    <cellStyle name="20% - Accent4 4 12 3" xfId="23684"/>
    <cellStyle name="20% - Accent4 4 12 3 2" xfId="43439"/>
    <cellStyle name="20% - Accent4 4 12 4" xfId="33795"/>
    <cellStyle name="20% - Accent4 4 13" xfId="15445"/>
    <cellStyle name="20% - Accent4 4 13 2" xfId="20317"/>
    <cellStyle name="20% - Accent4 4 13 2 2" xfId="30031"/>
    <cellStyle name="20% - Accent4 4 13 2 2 2" xfId="49784"/>
    <cellStyle name="20% - Accent4 4 13 2 3" xfId="40140"/>
    <cellStyle name="20% - Accent4 4 13 3" xfId="25219"/>
    <cellStyle name="20% - Accent4 4 13 3 2" xfId="44973"/>
    <cellStyle name="20% - Accent4 4 13 4" xfId="35329"/>
    <cellStyle name="20% - Accent4 4 14" xfId="15863"/>
    <cellStyle name="20% - Accent4 4 14 2" xfId="25579"/>
    <cellStyle name="20% - Accent4 4 14 2 2" xfId="45333"/>
    <cellStyle name="20% - Accent4 4 14 3" xfId="35689"/>
    <cellStyle name="20% - Accent4 4 15" xfId="20738"/>
    <cellStyle name="20% - Accent4 4 15 2" xfId="40518"/>
    <cellStyle name="20% - Accent4 4 16" xfId="30460"/>
    <cellStyle name="20% - Accent4 4 16 2" xfId="50208"/>
    <cellStyle name="20% - Accent4 4 17" xfId="30849"/>
    <cellStyle name="20% - Accent4 4 2" xfId="69"/>
    <cellStyle name="20% - Accent4 4 2 10" xfId="3486"/>
    <cellStyle name="20% - Accent4 4 2 10 2" xfId="18779"/>
    <cellStyle name="20% - Accent4 4 2 10 2 2" xfId="28495"/>
    <cellStyle name="20% - Accent4 4 2 10 2 2 2" xfId="48249"/>
    <cellStyle name="20% - Accent4 4 2 10 2 3" xfId="38605"/>
    <cellStyle name="20% - Accent4 4 2 10 3" xfId="23685"/>
    <cellStyle name="20% - Accent4 4 2 10 3 2" xfId="43440"/>
    <cellStyle name="20% - Accent4 4 2 10 4" xfId="33796"/>
    <cellStyle name="20% - Accent4 4 2 11" xfId="3487"/>
    <cellStyle name="20% - Accent4 4 2 11 2" xfId="18780"/>
    <cellStyle name="20% - Accent4 4 2 11 2 2" xfId="28496"/>
    <cellStyle name="20% - Accent4 4 2 11 2 2 2" xfId="48250"/>
    <cellStyle name="20% - Accent4 4 2 11 2 3" xfId="38606"/>
    <cellStyle name="20% - Accent4 4 2 11 3" xfId="23686"/>
    <cellStyle name="20% - Accent4 4 2 11 3 2" xfId="43441"/>
    <cellStyle name="20% - Accent4 4 2 11 4" xfId="33797"/>
    <cellStyle name="20% - Accent4 4 2 12" xfId="15446"/>
    <cellStyle name="20% - Accent4 4 2 12 2" xfId="20318"/>
    <cellStyle name="20% - Accent4 4 2 12 2 2" xfId="30032"/>
    <cellStyle name="20% - Accent4 4 2 12 2 2 2" xfId="49785"/>
    <cellStyle name="20% - Accent4 4 2 12 2 3" xfId="40141"/>
    <cellStyle name="20% - Accent4 4 2 12 3" xfId="25220"/>
    <cellStyle name="20% - Accent4 4 2 12 3 2" xfId="44974"/>
    <cellStyle name="20% - Accent4 4 2 12 4" xfId="35330"/>
    <cellStyle name="20% - Accent4 4 2 13" xfId="15864"/>
    <cellStyle name="20% - Accent4 4 2 13 2" xfId="25580"/>
    <cellStyle name="20% - Accent4 4 2 13 2 2" xfId="45334"/>
    <cellStyle name="20% - Accent4 4 2 13 3" xfId="35690"/>
    <cellStyle name="20% - Accent4 4 2 14" xfId="20739"/>
    <cellStyle name="20% - Accent4 4 2 14 2" xfId="40519"/>
    <cellStyle name="20% - Accent4 4 2 15" xfId="30461"/>
    <cellStyle name="20% - Accent4 4 2 15 2" xfId="50209"/>
    <cellStyle name="20% - Accent4 4 2 16" xfId="30850"/>
    <cellStyle name="20% - Accent4 4 2 2" xfId="70"/>
    <cellStyle name="20% - Accent4 4 2 2 10" xfId="15447"/>
    <cellStyle name="20% - Accent4 4 2 2 10 2" xfId="20319"/>
    <cellStyle name="20% - Accent4 4 2 2 10 2 2" xfId="30033"/>
    <cellStyle name="20% - Accent4 4 2 2 10 2 2 2" xfId="49786"/>
    <cellStyle name="20% - Accent4 4 2 2 10 2 3" xfId="40142"/>
    <cellStyle name="20% - Accent4 4 2 2 10 3" xfId="25221"/>
    <cellStyle name="20% - Accent4 4 2 2 10 3 2" xfId="44975"/>
    <cellStyle name="20% - Accent4 4 2 2 10 4" xfId="35331"/>
    <cellStyle name="20% - Accent4 4 2 2 11" xfId="15865"/>
    <cellStyle name="20% - Accent4 4 2 2 11 2" xfId="25581"/>
    <cellStyle name="20% - Accent4 4 2 2 11 2 2" xfId="45335"/>
    <cellStyle name="20% - Accent4 4 2 2 11 3" xfId="35691"/>
    <cellStyle name="20% - Accent4 4 2 2 12" xfId="20740"/>
    <cellStyle name="20% - Accent4 4 2 2 12 2" xfId="40520"/>
    <cellStyle name="20% - Accent4 4 2 2 13" xfId="30462"/>
    <cellStyle name="20% - Accent4 4 2 2 13 2" xfId="50210"/>
    <cellStyle name="20% - Accent4 4 2 2 14" xfId="30851"/>
    <cellStyle name="20% - Accent4 4 2 2 2" xfId="778"/>
    <cellStyle name="20% - Accent4 4 2 2 2 2" xfId="3488"/>
    <cellStyle name="20% - Accent4 4 2 2 2 2 2" xfId="3489"/>
    <cellStyle name="20% - Accent4 4 2 2 2 2 2 2" xfId="3490"/>
    <cellStyle name="20% - Accent4 4 2 2 2 2 2 2 2" xfId="18783"/>
    <cellStyle name="20% - Accent4 4 2 2 2 2 2 2 2 2" xfId="28499"/>
    <cellStyle name="20% - Accent4 4 2 2 2 2 2 2 2 2 2" xfId="48253"/>
    <cellStyle name="20% - Accent4 4 2 2 2 2 2 2 2 3" xfId="38609"/>
    <cellStyle name="20% - Accent4 4 2 2 2 2 2 2 3" xfId="23689"/>
    <cellStyle name="20% - Accent4 4 2 2 2 2 2 2 3 2" xfId="43444"/>
    <cellStyle name="20% - Accent4 4 2 2 2 2 2 2 4" xfId="33800"/>
    <cellStyle name="20% - Accent4 4 2 2 2 2 2 3" xfId="18782"/>
    <cellStyle name="20% - Accent4 4 2 2 2 2 2 3 2" xfId="28498"/>
    <cellStyle name="20% - Accent4 4 2 2 2 2 2 3 2 2" xfId="48252"/>
    <cellStyle name="20% - Accent4 4 2 2 2 2 2 3 3" xfId="38608"/>
    <cellStyle name="20% - Accent4 4 2 2 2 2 2 4" xfId="23688"/>
    <cellStyle name="20% - Accent4 4 2 2 2 2 2 4 2" xfId="43443"/>
    <cellStyle name="20% - Accent4 4 2 2 2 2 2 5" xfId="33799"/>
    <cellStyle name="20% - Accent4 4 2 2 2 2 3" xfId="3491"/>
    <cellStyle name="20% - Accent4 4 2 2 2 2 3 2" xfId="18784"/>
    <cellStyle name="20% - Accent4 4 2 2 2 2 3 2 2" xfId="28500"/>
    <cellStyle name="20% - Accent4 4 2 2 2 2 3 2 2 2" xfId="48254"/>
    <cellStyle name="20% - Accent4 4 2 2 2 2 3 2 3" xfId="38610"/>
    <cellStyle name="20% - Accent4 4 2 2 2 2 3 3" xfId="23690"/>
    <cellStyle name="20% - Accent4 4 2 2 2 2 3 3 2" xfId="43445"/>
    <cellStyle name="20% - Accent4 4 2 2 2 2 3 4" xfId="33801"/>
    <cellStyle name="20% - Accent4 4 2 2 2 2 4" xfId="18781"/>
    <cellStyle name="20% - Accent4 4 2 2 2 2 4 2" xfId="28497"/>
    <cellStyle name="20% - Accent4 4 2 2 2 2 4 2 2" xfId="48251"/>
    <cellStyle name="20% - Accent4 4 2 2 2 2 4 3" xfId="38607"/>
    <cellStyle name="20% - Accent4 4 2 2 2 2 5" xfId="23687"/>
    <cellStyle name="20% - Accent4 4 2 2 2 2 5 2" xfId="43442"/>
    <cellStyle name="20% - Accent4 4 2 2 2 2 6" xfId="33798"/>
    <cellStyle name="20% - Accent4 4 2 2 2 3" xfId="3492"/>
    <cellStyle name="20% - Accent4 4 2 2 2 3 2" xfId="3493"/>
    <cellStyle name="20% - Accent4 4 2 2 2 3 2 2" xfId="18786"/>
    <cellStyle name="20% - Accent4 4 2 2 2 3 2 2 2" xfId="28502"/>
    <cellStyle name="20% - Accent4 4 2 2 2 3 2 2 2 2" xfId="48256"/>
    <cellStyle name="20% - Accent4 4 2 2 2 3 2 2 3" xfId="38612"/>
    <cellStyle name="20% - Accent4 4 2 2 2 3 2 3" xfId="23692"/>
    <cellStyle name="20% - Accent4 4 2 2 2 3 2 3 2" xfId="43447"/>
    <cellStyle name="20% - Accent4 4 2 2 2 3 2 4" xfId="33803"/>
    <cellStyle name="20% - Accent4 4 2 2 2 3 3" xfId="18785"/>
    <cellStyle name="20% - Accent4 4 2 2 2 3 3 2" xfId="28501"/>
    <cellStyle name="20% - Accent4 4 2 2 2 3 3 2 2" xfId="48255"/>
    <cellStyle name="20% - Accent4 4 2 2 2 3 3 3" xfId="38611"/>
    <cellStyle name="20% - Accent4 4 2 2 2 3 4" xfId="23691"/>
    <cellStyle name="20% - Accent4 4 2 2 2 3 4 2" xfId="43446"/>
    <cellStyle name="20% - Accent4 4 2 2 2 3 5" xfId="33802"/>
    <cellStyle name="20% - Accent4 4 2 2 2 4" xfId="3494"/>
    <cellStyle name="20% - Accent4 4 2 2 2 4 2" xfId="18787"/>
    <cellStyle name="20% - Accent4 4 2 2 2 4 2 2" xfId="28503"/>
    <cellStyle name="20% - Accent4 4 2 2 2 4 2 2 2" xfId="48257"/>
    <cellStyle name="20% - Accent4 4 2 2 2 4 2 3" xfId="38613"/>
    <cellStyle name="20% - Accent4 4 2 2 2 4 3" xfId="23693"/>
    <cellStyle name="20% - Accent4 4 2 2 2 4 3 2" xfId="43448"/>
    <cellStyle name="20% - Accent4 4 2 2 2 4 4" xfId="33804"/>
    <cellStyle name="20% - Accent4 4 2 2 2 5" xfId="15448"/>
    <cellStyle name="20% - Accent4 4 2 2 2 5 2" xfId="20320"/>
    <cellStyle name="20% - Accent4 4 2 2 2 5 2 2" xfId="30034"/>
    <cellStyle name="20% - Accent4 4 2 2 2 5 2 2 2" xfId="49787"/>
    <cellStyle name="20% - Accent4 4 2 2 2 5 2 3" xfId="40143"/>
    <cellStyle name="20% - Accent4 4 2 2 2 5 3" xfId="25222"/>
    <cellStyle name="20% - Accent4 4 2 2 2 5 3 2" xfId="44976"/>
    <cellStyle name="20% - Accent4 4 2 2 2 5 4" xfId="35332"/>
    <cellStyle name="20% - Accent4 4 2 2 2 6" xfId="16125"/>
    <cellStyle name="20% - Accent4 4 2 2 2 6 2" xfId="25841"/>
    <cellStyle name="20% - Accent4 4 2 2 2 6 2 2" xfId="45595"/>
    <cellStyle name="20% - Accent4 4 2 2 2 6 3" xfId="35951"/>
    <cellStyle name="20% - Accent4 4 2 2 2 7" xfId="21031"/>
    <cellStyle name="20% - Accent4 4 2 2 2 7 2" xfId="40786"/>
    <cellStyle name="20% - Accent4 4 2 2 2 8" xfId="30463"/>
    <cellStyle name="20% - Accent4 4 2 2 2 8 2" xfId="50211"/>
    <cellStyle name="20% - Accent4 4 2 2 2 9" xfId="31142"/>
    <cellStyle name="20% - Accent4 4 2 2 3" xfId="779"/>
    <cellStyle name="20% - Accent4 4 2 2 3 2" xfId="3495"/>
    <cellStyle name="20% - Accent4 4 2 2 3 2 2" xfId="3496"/>
    <cellStyle name="20% - Accent4 4 2 2 3 2 2 2" xfId="3497"/>
    <cellStyle name="20% - Accent4 4 2 2 3 2 2 2 2" xfId="18790"/>
    <cellStyle name="20% - Accent4 4 2 2 3 2 2 2 2 2" xfId="28506"/>
    <cellStyle name="20% - Accent4 4 2 2 3 2 2 2 2 2 2" xfId="48260"/>
    <cellStyle name="20% - Accent4 4 2 2 3 2 2 2 2 3" xfId="38616"/>
    <cellStyle name="20% - Accent4 4 2 2 3 2 2 2 3" xfId="23696"/>
    <cellStyle name="20% - Accent4 4 2 2 3 2 2 2 3 2" xfId="43451"/>
    <cellStyle name="20% - Accent4 4 2 2 3 2 2 2 4" xfId="33807"/>
    <cellStyle name="20% - Accent4 4 2 2 3 2 2 3" xfId="18789"/>
    <cellStyle name="20% - Accent4 4 2 2 3 2 2 3 2" xfId="28505"/>
    <cellStyle name="20% - Accent4 4 2 2 3 2 2 3 2 2" xfId="48259"/>
    <cellStyle name="20% - Accent4 4 2 2 3 2 2 3 3" xfId="38615"/>
    <cellStyle name="20% - Accent4 4 2 2 3 2 2 4" xfId="23695"/>
    <cellStyle name="20% - Accent4 4 2 2 3 2 2 4 2" xfId="43450"/>
    <cellStyle name="20% - Accent4 4 2 2 3 2 2 5" xfId="33806"/>
    <cellStyle name="20% - Accent4 4 2 2 3 2 3" xfId="3498"/>
    <cellStyle name="20% - Accent4 4 2 2 3 2 3 2" xfId="18791"/>
    <cellStyle name="20% - Accent4 4 2 2 3 2 3 2 2" xfId="28507"/>
    <cellStyle name="20% - Accent4 4 2 2 3 2 3 2 2 2" xfId="48261"/>
    <cellStyle name="20% - Accent4 4 2 2 3 2 3 2 3" xfId="38617"/>
    <cellStyle name="20% - Accent4 4 2 2 3 2 3 3" xfId="23697"/>
    <cellStyle name="20% - Accent4 4 2 2 3 2 3 3 2" xfId="43452"/>
    <cellStyle name="20% - Accent4 4 2 2 3 2 3 4" xfId="33808"/>
    <cellStyle name="20% - Accent4 4 2 2 3 2 4" xfId="18788"/>
    <cellStyle name="20% - Accent4 4 2 2 3 2 4 2" xfId="28504"/>
    <cellStyle name="20% - Accent4 4 2 2 3 2 4 2 2" xfId="48258"/>
    <cellStyle name="20% - Accent4 4 2 2 3 2 4 3" xfId="38614"/>
    <cellStyle name="20% - Accent4 4 2 2 3 2 5" xfId="23694"/>
    <cellStyle name="20% - Accent4 4 2 2 3 2 5 2" xfId="43449"/>
    <cellStyle name="20% - Accent4 4 2 2 3 2 6" xfId="33805"/>
    <cellStyle name="20% - Accent4 4 2 2 3 3" xfId="3499"/>
    <cellStyle name="20% - Accent4 4 2 2 3 3 2" xfId="3500"/>
    <cellStyle name="20% - Accent4 4 2 2 3 3 2 2" xfId="18793"/>
    <cellStyle name="20% - Accent4 4 2 2 3 3 2 2 2" xfId="28509"/>
    <cellStyle name="20% - Accent4 4 2 2 3 3 2 2 2 2" xfId="48263"/>
    <cellStyle name="20% - Accent4 4 2 2 3 3 2 2 3" xfId="38619"/>
    <cellStyle name="20% - Accent4 4 2 2 3 3 2 3" xfId="23699"/>
    <cellStyle name="20% - Accent4 4 2 2 3 3 2 3 2" xfId="43454"/>
    <cellStyle name="20% - Accent4 4 2 2 3 3 2 4" xfId="33810"/>
    <cellStyle name="20% - Accent4 4 2 2 3 3 3" xfId="18792"/>
    <cellStyle name="20% - Accent4 4 2 2 3 3 3 2" xfId="28508"/>
    <cellStyle name="20% - Accent4 4 2 2 3 3 3 2 2" xfId="48262"/>
    <cellStyle name="20% - Accent4 4 2 2 3 3 3 3" xfId="38618"/>
    <cellStyle name="20% - Accent4 4 2 2 3 3 4" xfId="23698"/>
    <cellStyle name="20% - Accent4 4 2 2 3 3 4 2" xfId="43453"/>
    <cellStyle name="20% - Accent4 4 2 2 3 3 5" xfId="33809"/>
    <cellStyle name="20% - Accent4 4 2 2 3 4" xfId="3501"/>
    <cellStyle name="20% - Accent4 4 2 2 3 4 2" xfId="18794"/>
    <cellStyle name="20% - Accent4 4 2 2 3 4 2 2" xfId="28510"/>
    <cellStyle name="20% - Accent4 4 2 2 3 4 2 2 2" xfId="48264"/>
    <cellStyle name="20% - Accent4 4 2 2 3 4 2 3" xfId="38620"/>
    <cellStyle name="20% - Accent4 4 2 2 3 4 3" xfId="23700"/>
    <cellStyle name="20% - Accent4 4 2 2 3 4 3 2" xfId="43455"/>
    <cellStyle name="20% - Accent4 4 2 2 3 4 4" xfId="33811"/>
    <cellStyle name="20% - Accent4 4 2 2 3 5" xfId="16126"/>
    <cellStyle name="20% - Accent4 4 2 2 3 5 2" xfId="25842"/>
    <cellStyle name="20% - Accent4 4 2 2 3 5 2 2" xfId="45596"/>
    <cellStyle name="20% - Accent4 4 2 2 3 5 3" xfId="35952"/>
    <cellStyle name="20% - Accent4 4 2 2 3 6" xfId="21032"/>
    <cellStyle name="20% - Accent4 4 2 2 3 6 2" xfId="40787"/>
    <cellStyle name="20% - Accent4 4 2 2 3 7" xfId="31143"/>
    <cellStyle name="20% - Accent4 4 2 2 4" xfId="3502"/>
    <cellStyle name="20% - Accent4 4 2 2 4 2" xfId="3503"/>
    <cellStyle name="20% - Accent4 4 2 2 4 2 2" xfId="3504"/>
    <cellStyle name="20% - Accent4 4 2 2 4 2 2 2" xfId="3505"/>
    <cellStyle name="20% - Accent4 4 2 2 4 2 2 2 2" xfId="18798"/>
    <cellStyle name="20% - Accent4 4 2 2 4 2 2 2 2 2" xfId="28514"/>
    <cellStyle name="20% - Accent4 4 2 2 4 2 2 2 2 2 2" xfId="48268"/>
    <cellStyle name="20% - Accent4 4 2 2 4 2 2 2 2 3" xfId="38624"/>
    <cellStyle name="20% - Accent4 4 2 2 4 2 2 2 3" xfId="23704"/>
    <cellStyle name="20% - Accent4 4 2 2 4 2 2 2 3 2" xfId="43459"/>
    <cellStyle name="20% - Accent4 4 2 2 4 2 2 2 4" xfId="33815"/>
    <cellStyle name="20% - Accent4 4 2 2 4 2 2 3" xfId="18797"/>
    <cellStyle name="20% - Accent4 4 2 2 4 2 2 3 2" xfId="28513"/>
    <cellStyle name="20% - Accent4 4 2 2 4 2 2 3 2 2" xfId="48267"/>
    <cellStyle name="20% - Accent4 4 2 2 4 2 2 3 3" xfId="38623"/>
    <cellStyle name="20% - Accent4 4 2 2 4 2 2 4" xfId="23703"/>
    <cellStyle name="20% - Accent4 4 2 2 4 2 2 4 2" xfId="43458"/>
    <cellStyle name="20% - Accent4 4 2 2 4 2 2 5" xfId="33814"/>
    <cellStyle name="20% - Accent4 4 2 2 4 2 3" xfId="3506"/>
    <cellStyle name="20% - Accent4 4 2 2 4 2 3 2" xfId="18799"/>
    <cellStyle name="20% - Accent4 4 2 2 4 2 3 2 2" xfId="28515"/>
    <cellStyle name="20% - Accent4 4 2 2 4 2 3 2 2 2" xfId="48269"/>
    <cellStyle name="20% - Accent4 4 2 2 4 2 3 2 3" xfId="38625"/>
    <cellStyle name="20% - Accent4 4 2 2 4 2 3 3" xfId="23705"/>
    <cellStyle name="20% - Accent4 4 2 2 4 2 3 3 2" xfId="43460"/>
    <cellStyle name="20% - Accent4 4 2 2 4 2 3 4" xfId="33816"/>
    <cellStyle name="20% - Accent4 4 2 2 4 2 4" xfId="18796"/>
    <cellStyle name="20% - Accent4 4 2 2 4 2 4 2" xfId="28512"/>
    <cellStyle name="20% - Accent4 4 2 2 4 2 4 2 2" xfId="48266"/>
    <cellStyle name="20% - Accent4 4 2 2 4 2 4 3" xfId="38622"/>
    <cellStyle name="20% - Accent4 4 2 2 4 2 5" xfId="23702"/>
    <cellStyle name="20% - Accent4 4 2 2 4 2 5 2" xfId="43457"/>
    <cellStyle name="20% - Accent4 4 2 2 4 2 6" xfId="33813"/>
    <cellStyle name="20% - Accent4 4 2 2 4 3" xfId="3507"/>
    <cellStyle name="20% - Accent4 4 2 2 4 3 2" xfId="3508"/>
    <cellStyle name="20% - Accent4 4 2 2 4 3 2 2" xfId="18801"/>
    <cellStyle name="20% - Accent4 4 2 2 4 3 2 2 2" xfId="28517"/>
    <cellStyle name="20% - Accent4 4 2 2 4 3 2 2 2 2" xfId="48271"/>
    <cellStyle name="20% - Accent4 4 2 2 4 3 2 2 3" xfId="38627"/>
    <cellStyle name="20% - Accent4 4 2 2 4 3 2 3" xfId="23707"/>
    <cellStyle name="20% - Accent4 4 2 2 4 3 2 3 2" xfId="43462"/>
    <cellStyle name="20% - Accent4 4 2 2 4 3 2 4" xfId="33818"/>
    <cellStyle name="20% - Accent4 4 2 2 4 3 3" xfId="18800"/>
    <cellStyle name="20% - Accent4 4 2 2 4 3 3 2" xfId="28516"/>
    <cellStyle name="20% - Accent4 4 2 2 4 3 3 2 2" xfId="48270"/>
    <cellStyle name="20% - Accent4 4 2 2 4 3 3 3" xfId="38626"/>
    <cellStyle name="20% - Accent4 4 2 2 4 3 4" xfId="23706"/>
    <cellStyle name="20% - Accent4 4 2 2 4 3 4 2" xfId="43461"/>
    <cellStyle name="20% - Accent4 4 2 2 4 3 5" xfId="33817"/>
    <cellStyle name="20% - Accent4 4 2 2 4 4" xfId="3509"/>
    <cellStyle name="20% - Accent4 4 2 2 4 4 2" xfId="18802"/>
    <cellStyle name="20% - Accent4 4 2 2 4 4 2 2" xfId="28518"/>
    <cellStyle name="20% - Accent4 4 2 2 4 4 2 2 2" xfId="48272"/>
    <cellStyle name="20% - Accent4 4 2 2 4 4 2 3" xfId="38628"/>
    <cellStyle name="20% - Accent4 4 2 2 4 4 3" xfId="23708"/>
    <cellStyle name="20% - Accent4 4 2 2 4 4 3 2" xfId="43463"/>
    <cellStyle name="20% - Accent4 4 2 2 4 4 4" xfId="33819"/>
    <cellStyle name="20% - Accent4 4 2 2 4 5" xfId="18795"/>
    <cellStyle name="20% - Accent4 4 2 2 4 5 2" xfId="28511"/>
    <cellStyle name="20% - Accent4 4 2 2 4 5 2 2" xfId="48265"/>
    <cellStyle name="20% - Accent4 4 2 2 4 5 3" xfId="38621"/>
    <cellStyle name="20% - Accent4 4 2 2 4 6" xfId="23701"/>
    <cellStyle name="20% - Accent4 4 2 2 4 6 2" xfId="43456"/>
    <cellStyle name="20% - Accent4 4 2 2 4 7" xfId="33812"/>
    <cellStyle name="20% - Accent4 4 2 2 5" xfId="3510"/>
    <cellStyle name="20% - Accent4 4 2 2 5 2" xfId="3511"/>
    <cellStyle name="20% - Accent4 4 2 2 5 2 2" xfId="3512"/>
    <cellStyle name="20% - Accent4 4 2 2 5 2 2 2" xfId="18805"/>
    <cellStyle name="20% - Accent4 4 2 2 5 2 2 2 2" xfId="28521"/>
    <cellStyle name="20% - Accent4 4 2 2 5 2 2 2 2 2" xfId="48275"/>
    <cellStyle name="20% - Accent4 4 2 2 5 2 2 2 3" xfId="38631"/>
    <cellStyle name="20% - Accent4 4 2 2 5 2 2 3" xfId="23711"/>
    <cellStyle name="20% - Accent4 4 2 2 5 2 2 3 2" xfId="43466"/>
    <cellStyle name="20% - Accent4 4 2 2 5 2 2 4" xfId="33822"/>
    <cellStyle name="20% - Accent4 4 2 2 5 2 3" xfId="18804"/>
    <cellStyle name="20% - Accent4 4 2 2 5 2 3 2" xfId="28520"/>
    <cellStyle name="20% - Accent4 4 2 2 5 2 3 2 2" xfId="48274"/>
    <cellStyle name="20% - Accent4 4 2 2 5 2 3 3" xfId="38630"/>
    <cellStyle name="20% - Accent4 4 2 2 5 2 4" xfId="23710"/>
    <cellStyle name="20% - Accent4 4 2 2 5 2 4 2" xfId="43465"/>
    <cellStyle name="20% - Accent4 4 2 2 5 2 5" xfId="33821"/>
    <cellStyle name="20% - Accent4 4 2 2 5 3" xfId="3513"/>
    <cellStyle name="20% - Accent4 4 2 2 5 3 2" xfId="18806"/>
    <cellStyle name="20% - Accent4 4 2 2 5 3 2 2" xfId="28522"/>
    <cellStyle name="20% - Accent4 4 2 2 5 3 2 2 2" xfId="48276"/>
    <cellStyle name="20% - Accent4 4 2 2 5 3 2 3" xfId="38632"/>
    <cellStyle name="20% - Accent4 4 2 2 5 3 3" xfId="23712"/>
    <cellStyle name="20% - Accent4 4 2 2 5 3 3 2" xfId="43467"/>
    <cellStyle name="20% - Accent4 4 2 2 5 3 4" xfId="33823"/>
    <cellStyle name="20% - Accent4 4 2 2 5 4" xfId="18803"/>
    <cellStyle name="20% - Accent4 4 2 2 5 4 2" xfId="28519"/>
    <cellStyle name="20% - Accent4 4 2 2 5 4 2 2" xfId="48273"/>
    <cellStyle name="20% - Accent4 4 2 2 5 4 3" xfId="38629"/>
    <cellStyle name="20% - Accent4 4 2 2 5 5" xfId="23709"/>
    <cellStyle name="20% - Accent4 4 2 2 5 5 2" xfId="43464"/>
    <cellStyle name="20% - Accent4 4 2 2 5 6" xfId="33820"/>
    <cellStyle name="20% - Accent4 4 2 2 6" xfId="3514"/>
    <cellStyle name="20% - Accent4 4 2 2 6 2" xfId="3515"/>
    <cellStyle name="20% - Accent4 4 2 2 6 2 2" xfId="18808"/>
    <cellStyle name="20% - Accent4 4 2 2 6 2 2 2" xfId="28524"/>
    <cellStyle name="20% - Accent4 4 2 2 6 2 2 2 2" xfId="48278"/>
    <cellStyle name="20% - Accent4 4 2 2 6 2 2 3" xfId="38634"/>
    <cellStyle name="20% - Accent4 4 2 2 6 2 3" xfId="23714"/>
    <cellStyle name="20% - Accent4 4 2 2 6 2 3 2" xfId="43469"/>
    <cellStyle name="20% - Accent4 4 2 2 6 2 4" xfId="33825"/>
    <cellStyle name="20% - Accent4 4 2 2 6 3" xfId="18807"/>
    <cellStyle name="20% - Accent4 4 2 2 6 3 2" xfId="28523"/>
    <cellStyle name="20% - Accent4 4 2 2 6 3 2 2" xfId="48277"/>
    <cellStyle name="20% - Accent4 4 2 2 6 3 3" xfId="38633"/>
    <cellStyle name="20% - Accent4 4 2 2 6 4" xfId="23713"/>
    <cellStyle name="20% - Accent4 4 2 2 6 4 2" xfId="43468"/>
    <cellStyle name="20% - Accent4 4 2 2 6 5" xfId="33824"/>
    <cellStyle name="20% - Accent4 4 2 2 7" xfId="3516"/>
    <cellStyle name="20% - Accent4 4 2 2 7 2" xfId="18809"/>
    <cellStyle name="20% - Accent4 4 2 2 7 2 2" xfId="28525"/>
    <cellStyle name="20% - Accent4 4 2 2 7 2 2 2" xfId="48279"/>
    <cellStyle name="20% - Accent4 4 2 2 7 2 3" xfId="38635"/>
    <cellStyle name="20% - Accent4 4 2 2 7 3" xfId="23715"/>
    <cellStyle name="20% - Accent4 4 2 2 7 3 2" xfId="43470"/>
    <cellStyle name="20% - Accent4 4 2 2 7 4" xfId="33826"/>
    <cellStyle name="20% - Accent4 4 2 2 8" xfId="3517"/>
    <cellStyle name="20% - Accent4 4 2 2 8 2" xfId="18810"/>
    <cellStyle name="20% - Accent4 4 2 2 8 2 2" xfId="28526"/>
    <cellStyle name="20% - Accent4 4 2 2 8 2 2 2" xfId="48280"/>
    <cellStyle name="20% - Accent4 4 2 2 8 2 3" xfId="38636"/>
    <cellStyle name="20% - Accent4 4 2 2 8 3" xfId="23716"/>
    <cellStyle name="20% - Accent4 4 2 2 8 3 2" xfId="43471"/>
    <cellStyle name="20% - Accent4 4 2 2 8 4" xfId="33827"/>
    <cellStyle name="20% - Accent4 4 2 2 9" xfId="3518"/>
    <cellStyle name="20% - Accent4 4 2 2 9 2" xfId="18811"/>
    <cellStyle name="20% - Accent4 4 2 2 9 2 2" xfId="28527"/>
    <cellStyle name="20% - Accent4 4 2 2 9 2 2 2" xfId="48281"/>
    <cellStyle name="20% - Accent4 4 2 2 9 2 3" xfId="38637"/>
    <cellStyle name="20% - Accent4 4 2 2 9 3" xfId="23717"/>
    <cellStyle name="20% - Accent4 4 2 2 9 3 2" xfId="43472"/>
    <cellStyle name="20% - Accent4 4 2 2 9 4" xfId="33828"/>
    <cellStyle name="20% - Accent4 4 2 3" xfId="780"/>
    <cellStyle name="20% - Accent4 4 2 3 2" xfId="3519"/>
    <cellStyle name="20% - Accent4 4 2 3 2 2" xfId="3520"/>
    <cellStyle name="20% - Accent4 4 2 3 2 2 2" xfId="3521"/>
    <cellStyle name="20% - Accent4 4 2 3 2 2 2 2" xfId="18814"/>
    <cellStyle name="20% - Accent4 4 2 3 2 2 2 2 2" xfId="28530"/>
    <cellStyle name="20% - Accent4 4 2 3 2 2 2 2 2 2" xfId="48284"/>
    <cellStyle name="20% - Accent4 4 2 3 2 2 2 2 3" xfId="38640"/>
    <cellStyle name="20% - Accent4 4 2 3 2 2 2 3" xfId="23720"/>
    <cellStyle name="20% - Accent4 4 2 3 2 2 2 3 2" xfId="43475"/>
    <cellStyle name="20% - Accent4 4 2 3 2 2 2 4" xfId="33831"/>
    <cellStyle name="20% - Accent4 4 2 3 2 2 3" xfId="18813"/>
    <cellStyle name="20% - Accent4 4 2 3 2 2 3 2" xfId="28529"/>
    <cellStyle name="20% - Accent4 4 2 3 2 2 3 2 2" xfId="48283"/>
    <cellStyle name="20% - Accent4 4 2 3 2 2 3 3" xfId="38639"/>
    <cellStyle name="20% - Accent4 4 2 3 2 2 4" xfId="23719"/>
    <cellStyle name="20% - Accent4 4 2 3 2 2 4 2" xfId="43474"/>
    <cellStyle name="20% - Accent4 4 2 3 2 2 5" xfId="33830"/>
    <cellStyle name="20% - Accent4 4 2 3 2 3" xfId="3522"/>
    <cellStyle name="20% - Accent4 4 2 3 2 3 2" xfId="18815"/>
    <cellStyle name="20% - Accent4 4 2 3 2 3 2 2" xfId="28531"/>
    <cellStyle name="20% - Accent4 4 2 3 2 3 2 2 2" xfId="48285"/>
    <cellStyle name="20% - Accent4 4 2 3 2 3 2 3" xfId="38641"/>
    <cellStyle name="20% - Accent4 4 2 3 2 3 3" xfId="23721"/>
    <cellStyle name="20% - Accent4 4 2 3 2 3 3 2" xfId="43476"/>
    <cellStyle name="20% - Accent4 4 2 3 2 3 4" xfId="33832"/>
    <cellStyle name="20% - Accent4 4 2 3 2 4" xfId="18812"/>
    <cellStyle name="20% - Accent4 4 2 3 2 4 2" xfId="28528"/>
    <cellStyle name="20% - Accent4 4 2 3 2 4 2 2" xfId="48282"/>
    <cellStyle name="20% - Accent4 4 2 3 2 4 3" xfId="38638"/>
    <cellStyle name="20% - Accent4 4 2 3 2 5" xfId="23718"/>
    <cellStyle name="20% - Accent4 4 2 3 2 5 2" xfId="43473"/>
    <cellStyle name="20% - Accent4 4 2 3 2 6" xfId="33829"/>
    <cellStyle name="20% - Accent4 4 2 3 3" xfId="3523"/>
    <cellStyle name="20% - Accent4 4 2 3 3 2" xfId="3524"/>
    <cellStyle name="20% - Accent4 4 2 3 3 2 2" xfId="18817"/>
    <cellStyle name="20% - Accent4 4 2 3 3 2 2 2" xfId="28533"/>
    <cellStyle name="20% - Accent4 4 2 3 3 2 2 2 2" xfId="48287"/>
    <cellStyle name="20% - Accent4 4 2 3 3 2 2 3" xfId="38643"/>
    <cellStyle name="20% - Accent4 4 2 3 3 2 3" xfId="23723"/>
    <cellStyle name="20% - Accent4 4 2 3 3 2 3 2" xfId="43478"/>
    <cellStyle name="20% - Accent4 4 2 3 3 2 4" xfId="33834"/>
    <cellStyle name="20% - Accent4 4 2 3 3 3" xfId="18816"/>
    <cellStyle name="20% - Accent4 4 2 3 3 3 2" xfId="28532"/>
    <cellStyle name="20% - Accent4 4 2 3 3 3 2 2" xfId="48286"/>
    <cellStyle name="20% - Accent4 4 2 3 3 3 3" xfId="38642"/>
    <cellStyle name="20% - Accent4 4 2 3 3 4" xfId="23722"/>
    <cellStyle name="20% - Accent4 4 2 3 3 4 2" xfId="43477"/>
    <cellStyle name="20% - Accent4 4 2 3 3 5" xfId="33833"/>
    <cellStyle name="20% - Accent4 4 2 3 4" xfId="3525"/>
    <cellStyle name="20% - Accent4 4 2 3 4 2" xfId="18818"/>
    <cellStyle name="20% - Accent4 4 2 3 4 2 2" xfId="28534"/>
    <cellStyle name="20% - Accent4 4 2 3 4 2 2 2" xfId="48288"/>
    <cellStyle name="20% - Accent4 4 2 3 4 2 3" xfId="38644"/>
    <cellStyle name="20% - Accent4 4 2 3 4 3" xfId="23724"/>
    <cellStyle name="20% - Accent4 4 2 3 4 3 2" xfId="43479"/>
    <cellStyle name="20% - Accent4 4 2 3 4 4" xfId="33835"/>
    <cellStyle name="20% - Accent4 4 2 3 5" xfId="15449"/>
    <cellStyle name="20% - Accent4 4 2 3 5 2" xfId="20321"/>
    <cellStyle name="20% - Accent4 4 2 3 5 2 2" xfId="30035"/>
    <cellStyle name="20% - Accent4 4 2 3 5 2 2 2" xfId="49788"/>
    <cellStyle name="20% - Accent4 4 2 3 5 2 3" xfId="40144"/>
    <cellStyle name="20% - Accent4 4 2 3 5 3" xfId="25223"/>
    <cellStyle name="20% - Accent4 4 2 3 5 3 2" xfId="44977"/>
    <cellStyle name="20% - Accent4 4 2 3 5 4" xfId="35333"/>
    <cellStyle name="20% - Accent4 4 2 3 6" xfId="16127"/>
    <cellStyle name="20% - Accent4 4 2 3 6 2" xfId="25843"/>
    <cellStyle name="20% - Accent4 4 2 3 6 2 2" xfId="45597"/>
    <cellStyle name="20% - Accent4 4 2 3 6 3" xfId="35953"/>
    <cellStyle name="20% - Accent4 4 2 3 7" xfId="21033"/>
    <cellStyle name="20% - Accent4 4 2 3 7 2" xfId="40788"/>
    <cellStyle name="20% - Accent4 4 2 3 8" xfId="30464"/>
    <cellStyle name="20% - Accent4 4 2 3 8 2" xfId="50212"/>
    <cellStyle name="20% - Accent4 4 2 3 9" xfId="31144"/>
    <cellStyle name="20% - Accent4 4 2 4" xfId="781"/>
    <cellStyle name="20% - Accent4 4 2 4 2" xfId="3526"/>
    <cellStyle name="20% - Accent4 4 2 4 2 2" xfId="3527"/>
    <cellStyle name="20% - Accent4 4 2 4 2 2 2" xfId="3528"/>
    <cellStyle name="20% - Accent4 4 2 4 2 2 2 2" xfId="18821"/>
    <cellStyle name="20% - Accent4 4 2 4 2 2 2 2 2" xfId="28537"/>
    <cellStyle name="20% - Accent4 4 2 4 2 2 2 2 2 2" xfId="48291"/>
    <cellStyle name="20% - Accent4 4 2 4 2 2 2 2 3" xfId="38647"/>
    <cellStyle name="20% - Accent4 4 2 4 2 2 2 3" xfId="23727"/>
    <cellStyle name="20% - Accent4 4 2 4 2 2 2 3 2" xfId="43482"/>
    <cellStyle name="20% - Accent4 4 2 4 2 2 2 4" xfId="33838"/>
    <cellStyle name="20% - Accent4 4 2 4 2 2 3" xfId="18820"/>
    <cellStyle name="20% - Accent4 4 2 4 2 2 3 2" xfId="28536"/>
    <cellStyle name="20% - Accent4 4 2 4 2 2 3 2 2" xfId="48290"/>
    <cellStyle name="20% - Accent4 4 2 4 2 2 3 3" xfId="38646"/>
    <cellStyle name="20% - Accent4 4 2 4 2 2 4" xfId="23726"/>
    <cellStyle name="20% - Accent4 4 2 4 2 2 4 2" xfId="43481"/>
    <cellStyle name="20% - Accent4 4 2 4 2 2 5" xfId="33837"/>
    <cellStyle name="20% - Accent4 4 2 4 2 3" xfId="3529"/>
    <cellStyle name="20% - Accent4 4 2 4 2 3 2" xfId="18822"/>
    <cellStyle name="20% - Accent4 4 2 4 2 3 2 2" xfId="28538"/>
    <cellStyle name="20% - Accent4 4 2 4 2 3 2 2 2" xfId="48292"/>
    <cellStyle name="20% - Accent4 4 2 4 2 3 2 3" xfId="38648"/>
    <cellStyle name="20% - Accent4 4 2 4 2 3 3" xfId="23728"/>
    <cellStyle name="20% - Accent4 4 2 4 2 3 3 2" xfId="43483"/>
    <cellStyle name="20% - Accent4 4 2 4 2 3 4" xfId="33839"/>
    <cellStyle name="20% - Accent4 4 2 4 2 4" xfId="18819"/>
    <cellStyle name="20% - Accent4 4 2 4 2 4 2" xfId="28535"/>
    <cellStyle name="20% - Accent4 4 2 4 2 4 2 2" xfId="48289"/>
    <cellStyle name="20% - Accent4 4 2 4 2 4 3" xfId="38645"/>
    <cellStyle name="20% - Accent4 4 2 4 2 5" xfId="23725"/>
    <cellStyle name="20% - Accent4 4 2 4 2 5 2" xfId="43480"/>
    <cellStyle name="20% - Accent4 4 2 4 2 6" xfId="33836"/>
    <cellStyle name="20% - Accent4 4 2 4 3" xfId="3530"/>
    <cellStyle name="20% - Accent4 4 2 4 3 2" xfId="3531"/>
    <cellStyle name="20% - Accent4 4 2 4 3 2 2" xfId="18824"/>
    <cellStyle name="20% - Accent4 4 2 4 3 2 2 2" xfId="28540"/>
    <cellStyle name="20% - Accent4 4 2 4 3 2 2 2 2" xfId="48294"/>
    <cellStyle name="20% - Accent4 4 2 4 3 2 2 3" xfId="38650"/>
    <cellStyle name="20% - Accent4 4 2 4 3 2 3" xfId="23730"/>
    <cellStyle name="20% - Accent4 4 2 4 3 2 3 2" xfId="43485"/>
    <cellStyle name="20% - Accent4 4 2 4 3 2 4" xfId="33841"/>
    <cellStyle name="20% - Accent4 4 2 4 3 3" xfId="18823"/>
    <cellStyle name="20% - Accent4 4 2 4 3 3 2" xfId="28539"/>
    <cellStyle name="20% - Accent4 4 2 4 3 3 2 2" xfId="48293"/>
    <cellStyle name="20% - Accent4 4 2 4 3 3 3" xfId="38649"/>
    <cellStyle name="20% - Accent4 4 2 4 3 4" xfId="23729"/>
    <cellStyle name="20% - Accent4 4 2 4 3 4 2" xfId="43484"/>
    <cellStyle name="20% - Accent4 4 2 4 3 5" xfId="33840"/>
    <cellStyle name="20% - Accent4 4 2 4 4" xfId="3532"/>
    <cellStyle name="20% - Accent4 4 2 4 4 2" xfId="18825"/>
    <cellStyle name="20% - Accent4 4 2 4 4 2 2" xfId="28541"/>
    <cellStyle name="20% - Accent4 4 2 4 4 2 2 2" xfId="48295"/>
    <cellStyle name="20% - Accent4 4 2 4 4 2 3" xfId="38651"/>
    <cellStyle name="20% - Accent4 4 2 4 4 3" xfId="23731"/>
    <cellStyle name="20% - Accent4 4 2 4 4 3 2" xfId="43486"/>
    <cellStyle name="20% - Accent4 4 2 4 4 4" xfId="33842"/>
    <cellStyle name="20% - Accent4 4 2 4 5" xfId="16128"/>
    <cellStyle name="20% - Accent4 4 2 4 5 2" xfId="25844"/>
    <cellStyle name="20% - Accent4 4 2 4 5 2 2" xfId="45598"/>
    <cellStyle name="20% - Accent4 4 2 4 5 3" xfId="35954"/>
    <cellStyle name="20% - Accent4 4 2 4 6" xfId="21034"/>
    <cellStyle name="20% - Accent4 4 2 4 6 2" xfId="40789"/>
    <cellStyle name="20% - Accent4 4 2 4 7" xfId="31145"/>
    <cellStyle name="20% - Accent4 4 2 5" xfId="3533"/>
    <cellStyle name="20% - Accent4 4 2 5 2" xfId="3534"/>
    <cellStyle name="20% - Accent4 4 2 5 2 2" xfId="3535"/>
    <cellStyle name="20% - Accent4 4 2 5 2 2 2" xfId="3536"/>
    <cellStyle name="20% - Accent4 4 2 5 2 2 2 2" xfId="18829"/>
    <cellStyle name="20% - Accent4 4 2 5 2 2 2 2 2" xfId="28545"/>
    <cellStyle name="20% - Accent4 4 2 5 2 2 2 2 2 2" xfId="48299"/>
    <cellStyle name="20% - Accent4 4 2 5 2 2 2 2 3" xfId="38655"/>
    <cellStyle name="20% - Accent4 4 2 5 2 2 2 3" xfId="23735"/>
    <cellStyle name="20% - Accent4 4 2 5 2 2 2 3 2" xfId="43490"/>
    <cellStyle name="20% - Accent4 4 2 5 2 2 2 4" xfId="33846"/>
    <cellStyle name="20% - Accent4 4 2 5 2 2 3" xfId="18828"/>
    <cellStyle name="20% - Accent4 4 2 5 2 2 3 2" xfId="28544"/>
    <cellStyle name="20% - Accent4 4 2 5 2 2 3 2 2" xfId="48298"/>
    <cellStyle name="20% - Accent4 4 2 5 2 2 3 3" xfId="38654"/>
    <cellStyle name="20% - Accent4 4 2 5 2 2 4" xfId="23734"/>
    <cellStyle name="20% - Accent4 4 2 5 2 2 4 2" xfId="43489"/>
    <cellStyle name="20% - Accent4 4 2 5 2 2 5" xfId="33845"/>
    <cellStyle name="20% - Accent4 4 2 5 2 3" xfId="3537"/>
    <cellStyle name="20% - Accent4 4 2 5 2 3 2" xfId="18830"/>
    <cellStyle name="20% - Accent4 4 2 5 2 3 2 2" xfId="28546"/>
    <cellStyle name="20% - Accent4 4 2 5 2 3 2 2 2" xfId="48300"/>
    <cellStyle name="20% - Accent4 4 2 5 2 3 2 3" xfId="38656"/>
    <cellStyle name="20% - Accent4 4 2 5 2 3 3" xfId="23736"/>
    <cellStyle name="20% - Accent4 4 2 5 2 3 3 2" xfId="43491"/>
    <cellStyle name="20% - Accent4 4 2 5 2 3 4" xfId="33847"/>
    <cellStyle name="20% - Accent4 4 2 5 2 4" xfId="18827"/>
    <cellStyle name="20% - Accent4 4 2 5 2 4 2" xfId="28543"/>
    <cellStyle name="20% - Accent4 4 2 5 2 4 2 2" xfId="48297"/>
    <cellStyle name="20% - Accent4 4 2 5 2 4 3" xfId="38653"/>
    <cellStyle name="20% - Accent4 4 2 5 2 5" xfId="23733"/>
    <cellStyle name="20% - Accent4 4 2 5 2 5 2" xfId="43488"/>
    <cellStyle name="20% - Accent4 4 2 5 2 6" xfId="33844"/>
    <cellStyle name="20% - Accent4 4 2 5 3" xfId="3538"/>
    <cellStyle name="20% - Accent4 4 2 5 3 2" xfId="3539"/>
    <cellStyle name="20% - Accent4 4 2 5 3 2 2" xfId="18832"/>
    <cellStyle name="20% - Accent4 4 2 5 3 2 2 2" xfId="28548"/>
    <cellStyle name="20% - Accent4 4 2 5 3 2 2 2 2" xfId="48302"/>
    <cellStyle name="20% - Accent4 4 2 5 3 2 2 3" xfId="38658"/>
    <cellStyle name="20% - Accent4 4 2 5 3 2 3" xfId="23738"/>
    <cellStyle name="20% - Accent4 4 2 5 3 2 3 2" xfId="43493"/>
    <cellStyle name="20% - Accent4 4 2 5 3 2 4" xfId="33849"/>
    <cellStyle name="20% - Accent4 4 2 5 3 3" xfId="18831"/>
    <cellStyle name="20% - Accent4 4 2 5 3 3 2" xfId="28547"/>
    <cellStyle name="20% - Accent4 4 2 5 3 3 2 2" xfId="48301"/>
    <cellStyle name="20% - Accent4 4 2 5 3 3 3" xfId="38657"/>
    <cellStyle name="20% - Accent4 4 2 5 3 4" xfId="23737"/>
    <cellStyle name="20% - Accent4 4 2 5 3 4 2" xfId="43492"/>
    <cellStyle name="20% - Accent4 4 2 5 3 5" xfId="33848"/>
    <cellStyle name="20% - Accent4 4 2 5 4" xfId="3540"/>
    <cellStyle name="20% - Accent4 4 2 5 4 2" xfId="18833"/>
    <cellStyle name="20% - Accent4 4 2 5 4 2 2" xfId="28549"/>
    <cellStyle name="20% - Accent4 4 2 5 4 2 2 2" xfId="48303"/>
    <cellStyle name="20% - Accent4 4 2 5 4 2 3" xfId="38659"/>
    <cellStyle name="20% - Accent4 4 2 5 4 3" xfId="23739"/>
    <cellStyle name="20% - Accent4 4 2 5 4 3 2" xfId="43494"/>
    <cellStyle name="20% - Accent4 4 2 5 4 4" xfId="33850"/>
    <cellStyle name="20% - Accent4 4 2 5 5" xfId="18826"/>
    <cellStyle name="20% - Accent4 4 2 5 5 2" xfId="28542"/>
    <cellStyle name="20% - Accent4 4 2 5 5 2 2" xfId="48296"/>
    <cellStyle name="20% - Accent4 4 2 5 5 3" xfId="38652"/>
    <cellStyle name="20% - Accent4 4 2 5 6" xfId="23732"/>
    <cellStyle name="20% - Accent4 4 2 5 6 2" xfId="43487"/>
    <cellStyle name="20% - Accent4 4 2 5 7" xfId="33843"/>
    <cellStyle name="20% - Accent4 4 2 6" xfId="3541"/>
    <cellStyle name="20% - Accent4 4 2 6 2" xfId="3542"/>
    <cellStyle name="20% - Accent4 4 2 6 2 2" xfId="3543"/>
    <cellStyle name="20% - Accent4 4 2 6 2 2 2" xfId="18836"/>
    <cellStyle name="20% - Accent4 4 2 6 2 2 2 2" xfId="28552"/>
    <cellStyle name="20% - Accent4 4 2 6 2 2 2 2 2" xfId="48306"/>
    <cellStyle name="20% - Accent4 4 2 6 2 2 2 3" xfId="38662"/>
    <cellStyle name="20% - Accent4 4 2 6 2 2 3" xfId="23742"/>
    <cellStyle name="20% - Accent4 4 2 6 2 2 3 2" xfId="43497"/>
    <cellStyle name="20% - Accent4 4 2 6 2 2 4" xfId="33853"/>
    <cellStyle name="20% - Accent4 4 2 6 2 3" xfId="18835"/>
    <cellStyle name="20% - Accent4 4 2 6 2 3 2" xfId="28551"/>
    <cellStyle name="20% - Accent4 4 2 6 2 3 2 2" xfId="48305"/>
    <cellStyle name="20% - Accent4 4 2 6 2 3 3" xfId="38661"/>
    <cellStyle name="20% - Accent4 4 2 6 2 4" xfId="23741"/>
    <cellStyle name="20% - Accent4 4 2 6 2 4 2" xfId="43496"/>
    <cellStyle name="20% - Accent4 4 2 6 2 5" xfId="33852"/>
    <cellStyle name="20% - Accent4 4 2 6 3" xfId="3544"/>
    <cellStyle name="20% - Accent4 4 2 6 3 2" xfId="18837"/>
    <cellStyle name="20% - Accent4 4 2 6 3 2 2" xfId="28553"/>
    <cellStyle name="20% - Accent4 4 2 6 3 2 2 2" xfId="48307"/>
    <cellStyle name="20% - Accent4 4 2 6 3 2 3" xfId="38663"/>
    <cellStyle name="20% - Accent4 4 2 6 3 3" xfId="23743"/>
    <cellStyle name="20% - Accent4 4 2 6 3 3 2" xfId="43498"/>
    <cellStyle name="20% - Accent4 4 2 6 3 4" xfId="33854"/>
    <cellStyle name="20% - Accent4 4 2 6 4" xfId="18834"/>
    <cellStyle name="20% - Accent4 4 2 6 4 2" xfId="28550"/>
    <cellStyle name="20% - Accent4 4 2 6 4 2 2" xfId="48304"/>
    <cellStyle name="20% - Accent4 4 2 6 4 3" xfId="38660"/>
    <cellStyle name="20% - Accent4 4 2 6 5" xfId="23740"/>
    <cellStyle name="20% - Accent4 4 2 6 5 2" xfId="43495"/>
    <cellStyle name="20% - Accent4 4 2 6 6" xfId="33851"/>
    <cellStyle name="20% - Accent4 4 2 7" xfId="3545"/>
    <cellStyle name="20% - Accent4 4 2 7 2" xfId="3546"/>
    <cellStyle name="20% - Accent4 4 2 7 2 2" xfId="18839"/>
    <cellStyle name="20% - Accent4 4 2 7 2 2 2" xfId="28555"/>
    <cellStyle name="20% - Accent4 4 2 7 2 2 2 2" xfId="48309"/>
    <cellStyle name="20% - Accent4 4 2 7 2 2 3" xfId="38665"/>
    <cellStyle name="20% - Accent4 4 2 7 2 3" xfId="23745"/>
    <cellStyle name="20% - Accent4 4 2 7 2 3 2" xfId="43500"/>
    <cellStyle name="20% - Accent4 4 2 7 2 4" xfId="33856"/>
    <cellStyle name="20% - Accent4 4 2 7 3" xfId="18838"/>
    <cellStyle name="20% - Accent4 4 2 7 3 2" xfId="28554"/>
    <cellStyle name="20% - Accent4 4 2 7 3 2 2" xfId="48308"/>
    <cellStyle name="20% - Accent4 4 2 7 3 3" xfId="38664"/>
    <cellStyle name="20% - Accent4 4 2 7 4" xfId="23744"/>
    <cellStyle name="20% - Accent4 4 2 7 4 2" xfId="43499"/>
    <cellStyle name="20% - Accent4 4 2 7 5" xfId="33855"/>
    <cellStyle name="20% - Accent4 4 2 8" xfId="3547"/>
    <cellStyle name="20% - Accent4 4 2 8 2" xfId="3548"/>
    <cellStyle name="20% - Accent4 4 2 8 2 2" xfId="18841"/>
    <cellStyle name="20% - Accent4 4 2 8 2 2 2" xfId="28557"/>
    <cellStyle name="20% - Accent4 4 2 8 2 2 2 2" xfId="48311"/>
    <cellStyle name="20% - Accent4 4 2 8 2 2 3" xfId="38667"/>
    <cellStyle name="20% - Accent4 4 2 8 2 3" xfId="23747"/>
    <cellStyle name="20% - Accent4 4 2 8 2 3 2" xfId="43502"/>
    <cellStyle name="20% - Accent4 4 2 8 2 4" xfId="33858"/>
    <cellStyle name="20% - Accent4 4 2 8 3" xfId="18840"/>
    <cellStyle name="20% - Accent4 4 2 8 3 2" xfId="28556"/>
    <cellStyle name="20% - Accent4 4 2 8 3 2 2" xfId="48310"/>
    <cellStyle name="20% - Accent4 4 2 8 3 3" xfId="38666"/>
    <cellStyle name="20% - Accent4 4 2 8 4" xfId="23746"/>
    <cellStyle name="20% - Accent4 4 2 8 4 2" xfId="43501"/>
    <cellStyle name="20% - Accent4 4 2 8 5" xfId="33857"/>
    <cellStyle name="20% - Accent4 4 2 9" xfId="3549"/>
    <cellStyle name="20% - Accent4 4 2 9 2" xfId="18842"/>
    <cellStyle name="20% - Accent4 4 2 9 2 2" xfId="28558"/>
    <cellStyle name="20% - Accent4 4 2 9 2 2 2" xfId="48312"/>
    <cellStyle name="20% - Accent4 4 2 9 2 3" xfId="38668"/>
    <cellStyle name="20% - Accent4 4 2 9 3" xfId="23748"/>
    <cellStyle name="20% - Accent4 4 2 9 3 2" xfId="43503"/>
    <cellStyle name="20% - Accent4 4 2 9 4" xfId="33859"/>
    <cellStyle name="20% - Accent4 4 3" xfId="71"/>
    <cellStyle name="20% - Accent4 4 3 10" xfId="15450"/>
    <cellStyle name="20% - Accent4 4 3 10 2" xfId="20322"/>
    <cellStyle name="20% - Accent4 4 3 10 2 2" xfId="30036"/>
    <cellStyle name="20% - Accent4 4 3 10 2 2 2" xfId="49789"/>
    <cellStyle name="20% - Accent4 4 3 10 2 3" xfId="40145"/>
    <cellStyle name="20% - Accent4 4 3 10 3" xfId="25224"/>
    <cellStyle name="20% - Accent4 4 3 10 3 2" xfId="44978"/>
    <cellStyle name="20% - Accent4 4 3 10 4" xfId="35334"/>
    <cellStyle name="20% - Accent4 4 3 11" xfId="15866"/>
    <cellStyle name="20% - Accent4 4 3 11 2" xfId="25582"/>
    <cellStyle name="20% - Accent4 4 3 11 2 2" xfId="45336"/>
    <cellStyle name="20% - Accent4 4 3 11 3" xfId="35692"/>
    <cellStyle name="20% - Accent4 4 3 12" xfId="20741"/>
    <cellStyle name="20% - Accent4 4 3 12 2" xfId="40521"/>
    <cellStyle name="20% - Accent4 4 3 13" xfId="30465"/>
    <cellStyle name="20% - Accent4 4 3 13 2" xfId="50213"/>
    <cellStyle name="20% - Accent4 4 3 14" xfId="30852"/>
    <cellStyle name="20% - Accent4 4 3 2" xfId="782"/>
    <cellStyle name="20% - Accent4 4 3 2 2" xfId="3550"/>
    <cellStyle name="20% - Accent4 4 3 2 2 2" xfId="3551"/>
    <cellStyle name="20% - Accent4 4 3 2 2 2 2" xfId="3552"/>
    <cellStyle name="20% - Accent4 4 3 2 2 2 2 2" xfId="18845"/>
    <cellStyle name="20% - Accent4 4 3 2 2 2 2 2 2" xfId="28561"/>
    <cellStyle name="20% - Accent4 4 3 2 2 2 2 2 2 2" xfId="48315"/>
    <cellStyle name="20% - Accent4 4 3 2 2 2 2 2 3" xfId="38671"/>
    <cellStyle name="20% - Accent4 4 3 2 2 2 2 3" xfId="23751"/>
    <cellStyle name="20% - Accent4 4 3 2 2 2 2 3 2" xfId="43506"/>
    <cellStyle name="20% - Accent4 4 3 2 2 2 2 4" xfId="33862"/>
    <cellStyle name="20% - Accent4 4 3 2 2 2 3" xfId="18844"/>
    <cellStyle name="20% - Accent4 4 3 2 2 2 3 2" xfId="28560"/>
    <cellStyle name="20% - Accent4 4 3 2 2 2 3 2 2" xfId="48314"/>
    <cellStyle name="20% - Accent4 4 3 2 2 2 3 3" xfId="38670"/>
    <cellStyle name="20% - Accent4 4 3 2 2 2 4" xfId="23750"/>
    <cellStyle name="20% - Accent4 4 3 2 2 2 4 2" xfId="43505"/>
    <cellStyle name="20% - Accent4 4 3 2 2 2 5" xfId="33861"/>
    <cellStyle name="20% - Accent4 4 3 2 2 3" xfId="3553"/>
    <cellStyle name="20% - Accent4 4 3 2 2 3 2" xfId="18846"/>
    <cellStyle name="20% - Accent4 4 3 2 2 3 2 2" xfId="28562"/>
    <cellStyle name="20% - Accent4 4 3 2 2 3 2 2 2" xfId="48316"/>
    <cellStyle name="20% - Accent4 4 3 2 2 3 2 3" xfId="38672"/>
    <cellStyle name="20% - Accent4 4 3 2 2 3 3" xfId="23752"/>
    <cellStyle name="20% - Accent4 4 3 2 2 3 3 2" xfId="43507"/>
    <cellStyle name="20% - Accent4 4 3 2 2 3 4" xfId="33863"/>
    <cellStyle name="20% - Accent4 4 3 2 2 4" xfId="18843"/>
    <cellStyle name="20% - Accent4 4 3 2 2 4 2" xfId="28559"/>
    <cellStyle name="20% - Accent4 4 3 2 2 4 2 2" xfId="48313"/>
    <cellStyle name="20% - Accent4 4 3 2 2 4 3" xfId="38669"/>
    <cellStyle name="20% - Accent4 4 3 2 2 5" xfId="23749"/>
    <cellStyle name="20% - Accent4 4 3 2 2 5 2" xfId="43504"/>
    <cellStyle name="20% - Accent4 4 3 2 2 6" xfId="33860"/>
    <cellStyle name="20% - Accent4 4 3 2 3" xfId="3554"/>
    <cellStyle name="20% - Accent4 4 3 2 3 2" xfId="3555"/>
    <cellStyle name="20% - Accent4 4 3 2 3 2 2" xfId="18848"/>
    <cellStyle name="20% - Accent4 4 3 2 3 2 2 2" xfId="28564"/>
    <cellStyle name="20% - Accent4 4 3 2 3 2 2 2 2" xfId="48318"/>
    <cellStyle name="20% - Accent4 4 3 2 3 2 2 3" xfId="38674"/>
    <cellStyle name="20% - Accent4 4 3 2 3 2 3" xfId="23754"/>
    <cellStyle name="20% - Accent4 4 3 2 3 2 3 2" xfId="43509"/>
    <cellStyle name="20% - Accent4 4 3 2 3 2 4" xfId="33865"/>
    <cellStyle name="20% - Accent4 4 3 2 3 3" xfId="18847"/>
    <cellStyle name="20% - Accent4 4 3 2 3 3 2" xfId="28563"/>
    <cellStyle name="20% - Accent4 4 3 2 3 3 2 2" xfId="48317"/>
    <cellStyle name="20% - Accent4 4 3 2 3 3 3" xfId="38673"/>
    <cellStyle name="20% - Accent4 4 3 2 3 4" xfId="23753"/>
    <cellStyle name="20% - Accent4 4 3 2 3 4 2" xfId="43508"/>
    <cellStyle name="20% - Accent4 4 3 2 3 5" xfId="33864"/>
    <cellStyle name="20% - Accent4 4 3 2 4" xfId="3556"/>
    <cellStyle name="20% - Accent4 4 3 2 4 2" xfId="18849"/>
    <cellStyle name="20% - Accent4 4 3 2 4 2 2" xfId="28565"/>
    <cellStyle name="20% - Accent4 4 3 2 4 2 2 2" xfId="48319"/>
    <cellStyle name="20% - Accent4 4 3 2 4 2 3" xfId="38675"/>
    <cellStyle name="20% - Accent4 4 3 2 4 3" xfId="23755"/>
    <cellStyle name="20% - Accent4 4 3 2 4 3 2" xfId="43510"/>
    <cellStyle name="20% - Accent4 4 3 2 4 4" xfId="33866"/>
    <cellStyle name="20% - Accent4 4 3 2 5" xfId="15451"/>
    <cellStyle name="20% - Accent4 4 3 2 5 2" xfId="20323"/>
    <cellStyle name="20% - Accent4 4 3 2 5 2 2" xfId="30037"/>
    <cellStyle name="20% - Accent4 4 3 2 5 2 2 2" xfId="49790"/>
    <cellStyle name="20% - Accent4 4 3 2 5 2 3" xfId="40146"/>
    <cellStyle name="20% - Accent4 4 3 2 5 3" xfId="25225"/>
    <cellStyle name="20% - Accent4 4 3 2 5 3 2" xfId="44979"/>
    <cellStyle name="20% - Accent4 4 3 2 5 4" xfId="35335"/>
    <cellStyle name="20% - Accent4 4 3 2 6" xfId="16129"/>
    <cellStyle name="20% - Accent4 4 3 2 6 2" xfId="25845"/>
    <cellStyle name="20% - Accent4 4 3 2 6 2 2" xfId="45599"/>
    <cellStyle name="20% - Accent4 4 3 2 6 3" xfId="35955"/>
    <cellStyle name="20% - Accent4 4 3 2 7" xfId="21035"/>
    <cellStyle name="20% - Accent4 4 3 2 7 2" xfId="40790"/>
    <cellStyle name="20% - Accent4 4 3 2 8" xfId="30466"/>
    <cellStyle name="20% - Accent4 4 3 2 8 2" xfId="50214"/>
    <cellStyle name="20% - Accent4 4 3 2 9" xfId="31146"/>
    <cellStyle name="20% - Accent4 4 3 3" xfId="783"/>
    <cellStyle name="20% - Accent4 4 3 3 2" xfId="3557"/>
    <cellStyle name="20% - Accent4 4 3 3 2 2" xfId="3558"/>
    <cellStyle name="20% - Accent4 4 3 3 2 2 2" xfId="3559"/>
    <cellStyle name="20% - Accent4 4 3 3 2 2 2 2" xfId="18852"/>
    <cellStyle name="20% - Accent4 4 3 3 2 2 2 2 2" xfId="28568"/>
    <cellStyle name="20% - Accent4 4 3 3 2 2 2 2 2 2" xfId="48322"/>
    <cellStyle name="20% - Accent4 4 3 3 2 2 2 2 3" xfId="38678"/>
    <cellStyle name="20% - Accent4 4 3 3 2 2 2 3" xfId="23758"/>
    <cellStyle name="20% - Accent4 4 3 3 2 2 2 3 2" xfId="43513"/>
    <cellStyle name="20% - Accent4 4 3 3 2 2 2 4" xfId="33869"/>
    <cellStyle name="20% - Accent4 4 3 3 2 2 3" xfId="18851"/>
    <cellStyle name="20% - Accent4 4 3 3 2 2 3 2" xfId="28567"/>
    <cellStyle name="20% - Accent4 4 3 3 2 2 3 2 2" xfId="48321"/>
    <cellStyle name="20% - Accent4 4 3 3 2 2 3 3" xfId="38677"/>
    <cellStyle name="20% - Accent4 4 3 3 2 2 4" xfId="23757"/>
    <cellStyle name="20% - Accent4 4 3 3 2 2 4 2" xfId="43512"/>
    <cellStyle name="20% - Accent4 4 3 3 2 2 5" xfId="33868"/>
    <cellStyle name="20% - Accent4 4 3 3 2 3" xfId="3560"/>
    <cellStyle name="20% - Accent4 4 3 3 2 3 2" xfId="18853"/>
    <cellStyle name="20% - Accent4 4 3 3 2 3 2 2" xfId="28569"/>
    <cellStyle name="20% - Accent4 4 3 3 2 3 2 2 2" xfId="48323"/>
    <cellStyle name="20% - Accent4 4 3 3 2 3 2 3" xfId="38679"/>
    <cellStyle name="20% - Accent4 4 3 3 2 3 3" xfId="23759"/>
    <cellStyle name="20% - Accent4 4 3 3 2 3 3 2" xfId="43514"/>
    <cellStyle name="20% - Accent4 4 3 3 2 3 4" xfId="33870"/>
    <cellStyle name="20% - Accent4 4 3 3 2 4" xfId="18850"/>
    <cellStyle name="20% - Accent4 4 3 3 2 4 2" xfId="28566"/>
    <cellStyle name="20% - Accent4 4 3 3 2 4 2 2" xfId="48320"/>
    <cellStyle name="20% - Accent4 4 3 3 2 4 3" xfId="38676"/>
    <cellStyle name="20% - Accent4 4 3 3 2 5" xfId="23756"/>
    <cellStyle name="20% - Accent4 4 3 3 2 5 2" xfId="43511"/>
    <cellStyle name="20% - Accent4 4 3 3 2 6" xfId="33867"/>
    <cellStyle name="20% - Accent4 4 3 3 3" xfId="3561"/>
    <cellStyle name="20% - Accent4 4 3 3 3 2" xfId="3562"/>
    <cellStyle name="20% - Accent4 4 3 3 3 2 2" xfId="18855"/>
    <cellStyle name="20% - Accent4 4 3 3 3 2 2 2" xfId="28571"/>
    <cellStyle name="20% - Accent4 4 3 3 3 2 2 2 2" xfId="48325"/>
    <cellStyle name="20% - Accent4 4 3 3 3 2 2 3" xfId="38681"/>
    <cellStyle name="20% - Accent4 4 3 3 3 2 3" xfId="23761"/>
    <cellStyle name="20% - Accent4 4 3 3 3 2 3 2" xfId="43516"/>
    <cellStyle name="20% - Accent4 4 3 3 3 2 4" xfId="33872"/>
    <cellStyle name="20% - Accent4 4 3 3 3 3" xfId="18854"/>
    <cellStyle name="20% - Accent4 4 3 3 3 3 2" xfId="28570"/>
    <cellStyle name="20% - Accent4 4 3 3 3 3 2 2" xfId="48324"/>
    <cellStyle name="20% - Accent4 4 3 3 3 3 3" xfId="38680"/>
    <cellStyle name="20% - Accent4 4 3 3 3 4" xfId="23760"/>
    <cellStyle name="20% - Accent4 4 3 3 3 4 2" xfId="43515"/>
    <cellStyle name="20% - Accent4 4 3 3 3 5" xfId="33871"/>
    <cellStyle name="20% - Accent4 4 3 3 4" xfId="3563"/>
    <cellStyle name="20% - Accent4 4 3 3 4 2" xfId="18856"/>
    <cellStyle name="20% - Accent4 4 3 3 4 2 2" xfId="28572"/>
    <cellStyle name="20% - Accent4 4 3 3 4 2 2 2" xfId="48326"/>
    <cellStyle name="20% - Accent4 4 3 3 4 2 3" xfId="38682"/>
    <cellStyle name="20% - Accent4 4 3 3 4 3" xfId="23762"/>
    <cellStyle name="20% - Accent4 4 3 3 4 3 2" xfId="43517"/>
    <cellStyle name="20% - Accent4 4 3 3 4 4" xfId="33873"/>
    <cellStyle name="20% - Accent4 4 3 3 5" xfId="16130"/>
    <cellStyle name="20% - Accent4 4 3 3 5 2" xfId="25846"/>
    <cellStyle name="20% - Accent4 4 3 3 5 2 2" xfId="45600"/>
    <cellStyle name="20% - Accent4 4 3 3 5 3" xfId="35956"/>
    <cellStyle name="20% - Accent4 4 3 3 6" xfId="21036"/>
    <cellStyle name="20% - Accent4 4 3 3 6 2" xfId="40791"/>
    <cellStyle name="20% - Accent4 4 3 3 7" xfId="31147"/>
    <cellStyle name="20% - Accent4 4 3 4" xfId="3564"/>
    <cellStyle name="20% - Accent4 4 3 4 2" xfId="3565"/>
    <cellStyle name="20% - Accent4 4 3 4 2 2" xfId="3566"/>
    <cellStyle name="20% - Accent4 4 3 4 2 2 2" xfId="3567"/>
    <cellStyle name="20% - Accent4 4 3 4 2 2 2 2" xfId="18860"/>
    <cellStyle name="20% - Accent4 4 3 4 2 2 2 2 2" xfId="28576"/>
    <cellStyle name="20% - Accent4 4 3 4 2 2 2 2 2 2" xfId="48330"/>
    <cellStyle name="20% - Accent4 4 3 4 2 2 2 2 3" xfId="38686"/>
    <cellStyle name="20% - Accent4 4 3 4 2 2 2 3" xfId="23766"/>
    <cellStyle name="20% - Accent4 4 3 4 2 2 2 3 2" xfId="43521"/>
    <cellStyle name="20% - Accent4 4 3 4 2 2 2 4" xfId="33877"/>
    <cellStyle name="20% - Accent4 4 3 4 2 2 3" xfId="18859"/>
    <cellStyle name="20% - Accent4 4 3 4 2 2 3 2" xfId="28575"/>
    <cellStyle name="20% - Accent4 4 3 4 2 2 3 2 2" xfId="48329"/>
    <cellStyle name="20% - Accent4 4 3 4 2 2 3 3" xfId="38685"/>
    <cellStyle name="20% - Accent4 4 3 4 2 2 4" xfId="23765"/>
    <cellStyle name="20% - Accent4 4 3 4 2 2 4 2" xfId="43520"/>
    <cellStyle name="20% - Accent4 4 3 4 2 2 5" xfId="33876"/>
    <cellStyle name="20% - Accent4 4 3 4 2 3" xfId="3568"/>
    <cellStyle name="20% - Accent4 4 3 4 2 3 2" xfId="18861"/>
    <cellStyle name="20% - Accent4 4 3 4 2 3 2 2" xfId="28577"/>
    <cellStyle name="20% - Accent4 4 3 4 2 3 2 2 2" xfId="48331"/>
    <cellStyle name="20% - Accent4 4 3 4 2 3 2 3" xfId="38687"/>
    <cellStyle name="20% - Accent4 4 3 4 2 3 3" xfId="23767"/>
    <cellStyle name="20% - Accent4 4 3 4 2 3 3 2" xfId="43522"/>
    <cellStyle name="20% - Accent4 4 3 4 2 3 4" xfId="33878"/>
    <cellStyle name="20% - Accent4 4 3 4 2 4" xfId="18858"/>
    <cellStyle name="20% - Accent4 4 3 4 2 4 2" xfId="28574"/>
    <cellStyle name="20% - Accent4 4 3 4 2 4 2 2" xfId="48328"/>
    <cellStyle name="20% - Accent4 4 3 4 2 4 3" xfId="38684"/>
    <cellStyle name="20% - Accent4 4 3 4 2 5" xfId="23764"/>
    <cellStyle name="20% - Accent4 4 3 4 2 5 2" xfId="43519"/>
    <cellStyle name="20% - Accent4 4 3 4 2 6" xfId="33875"/>
    <cellStyle name="20% - Accent4 4 3 4 3" xfId="3569"/>
    <cellStyle name="20% - Accent4 4 3 4 3 2" xfId="3570"/>
    <cellStyle name="20% - Accent4 4 3 4 3 2 2" xfId="18863"/>
    <cellStyle name="20% - Accent4 4 3 4 3 2 2 2" xfId="28579"/>
    <cellStyle name="20% - Accent4 4 3 4 3 2 2 2 2" xfId="48333"/>
    <cellStyle name="20% - Accent4 4 3 4 3 2 2 3" xfId="38689"/>
    <cellStyle name="20% - Accent4 4 3 4 3 2 3" xfId="23769"/>
    <cellStyle name="20% - Accent4 4 3 4 3 2 3 2" xfId="43524"/>
    <cellStyle name="20% - Accent4 4 3 4 3 2 4" xfId="33880"/>
    <cellStyle name="20% - Accent4 4 3 4 3 3" xfId="18862"/>
    <cellStyle name="20% - Accent4 4 3 4 3 3 2" xfId="28578"/>
    <cellStyle name="20% - Accent4 4 3 4 3 3 2 2" xfId="48332"/>
    <cellStyle name="20% - Accent4 4 3 4 3 3 3" xfId="38688"/>
    <cellStyle name="20% - Accent4 4 3 4 3 4" xfId="23768"/>
    <cellStyle name="20% - Accent4 4 3 4 3 4 2" xfId="43523"/>
    <cellStyle name="20% - Accent4 4 3 4 3 5" xfId="33879"/>
    <cellStyle name="20% - Accent4 4 3 4 4" xfId="3571"/>
    <cellStyle name="20% - Accent4 4 3 4 4 2" xfId="18864"/>
    <cellStyle name="20% - Accent4 4 3 4 4 2 2" xfId="28580"/>
    <cellStyle name="20% - Accent4 4 3 4 4 2 2 2" xfId="48334"/>
    <cellStyle name="20% - Accent4 4 3 4 4 2 3" xfId="38690"/>
    <cellStyle name="20% - Accent4 4 3 4 4 3" xfId="23770"/>
    <cellStyle name="20% - Accent4 4 3 4 4 3 2" xfId="43525"/>
    <cellStyle name="20% - Accent4 4 3 4 4 4" xfId="33881"/>
    <cellStyle name="20% - Accent4 4 3 4 5" xfId="18857"/>
    <cellStyle name="20% - Accent4 4 3 4 5 2" xfId="28573"/>
    <cellStyle name="20% - Accent4 4 3 4 5 2 2" xfId="48327"/>
    <cellStyle name="20% - Accent4 4 3 4 5 3" xfId="38683"/>
    <cellStyle name="20% - Accent4 4 3 4 6" xfId="23763"/>
    <cellStyle name="20% - Accent4 4 3 4 6 2" xfId="43518"/>
    <cellStyle name="20% - Accent4 4 3 4 7" xfId="33874"/>
    <cellStyle name="20% - Accent4 4 3 5" xfId="3572"/>
    <cellStyle name="20% - Accent4 4 3 5 2" xfId="3573"/>
    <cellStyle name="20% - Accent4 4 3 5 2 2" xfId="3574"/>
    <cellStyle name="20% - Accent4 4 3 5 2 2 2" xfId="18867"/>
    <cellStyle name="20% - Accent4 4 3 5 2 2 2 2" xfId="28583"/>
    <cellStyle name="20% - Accent4 4 3 5 2 2 2 2 2" xfId="48337"/>
    <cellStyle name="20% - Accent4 4 3 5 2 2 2 3" xfId="38693"/>
    <cellStyle name="20% - Accent4 4 3 5 2 2 3" xfId="23773"/>
    <cellStyle name="20% - Accent4 4 3 5 2 2 3 2" xfId="43528"/>
    <cellStyle name="20% - Accent4 4 3 5 2 2 4" xfId="33884"/>
    <cellStyle name="20% - Accent4 4 3 5 2 3" xfId="18866"/>
    <cellStyle name="20% - Accent4 4 3 5 2 3 2" xfId="28582"/>
    <cellStyle name="20% - Accent4 4 3 5 2 3 2 2" xfId="48336"/>
    <cellStyle name="20% - Accent4 4 3 5 2 3 3" xfId="38692"/>
    <cellStyle name="20% - Accent4 4 3 5 2 4" xfId="23772"/>
    <cellStyle name="20% - Accent4 4 3 5 2 4 2" xfId="43527"/>
    <cellStyle name="20% - Accent4 4 3 5 2 5" xfId="33883"/>
    <cellStyle name="20% - Accent4 4 3 5 3" xfId="3575"/>
    <cellStyle name="20% - Accent4 4 3 5 3 2" xfId="18868"/>
    <cellStyle name="20% - Accent4 4 3 5 3 2 2" xfId="28584"/>
    <cellStyle name="20% - Accent4 4 3 5 3 2 2 2" xfId="48338"/>
    <cellStyle name="20% - Accent4 4 3 5 3 2 3" xfId="38694"/>
    <cellStyle name="20% - Accent4 4 3 5 3 3" xfId="23774"/>
    <cellStyle name="20% - Accent4 4 3 5 3 3 2" xfId="43529"/>
    <cellStyle name="20% - Accent4 4 3 5 3 4" xfId="33885"/>
    <cellStyle name="20% - Accent4 4 3 5 4" xfId="18865"/>
    <cellStyle name="20% - Accent4 4 3 5 4 2" xfId="28581"/>
    <cellStyle name="20% - Accent4 4 3 5 4 2 2" xfId="48335"/>
    <cellStyle name="20% - Accent4 4 3 5 4 3" xfId="38691"/>
    <cellStyle name="20% - Accent4 4 3 5 5" xfId="23771"/>
    <cellStyle name="20% - Accent4 4 3 5 5 2" xfId="43526"/>
    <cellStyle name="20% - Accent4 4 3 5 6" xfId="33882"/>
    <cellStyle name="20% - Accent4 4 3 6" xfId="3576"/>
    <cellStyle name="20% - Accent4 4 3 6 2" xfId="3577"/>
    <cellStyle name="20% - Accent4 4 3 6 2 2" xfId="18870"/>
    <cellStyle name="20% - Accent4 4 3 6 2 2 2" xfId="28586"/>
    <cellStyle name="20% - Accent4 4 3 6 2 2 2 2" xfId="48340"/>
    <cellStyle name="20% - Accent4 4 3 6 2 2 3" xfId="38696"/>
    <cellStyle name="20% - Accent4 4 3 6 2 3" xfId="23776"/>
    <cellStyle name="20% - Accent4 4 3 6 2 3 2" xfId="43531"/>
    <cellStyle name="20% - Accent4 4 3 6 2 4" xfId="33887"/>
    <cellStyle name="20% - Accent4 4 3 6 3" xfId="18869"/>
    <cellStyle name="20% - Accent4 4 3 6 3 2" xfId="28585"/>
    <cellStyle name="20% - Accent4 4 3 6 3 2 2" xfId="48339"/>
    <cellStyle name="20% - Accent4 4 3 6 3 3" xfId="38695"/>
    <cellStyle name="20% - Accent4 4 3 6 4" xfId="23775"/>
    <cellStyle name="20% - Accent4 4 3 6 4 2" xfId="43530"/>
    <cellStyle name="20% - Accent4 4 3 6 5" xfId="33886"/>
    <cellStyle name="20% - Accent4 4 3 7" xfId="3578"/>
    <cellStyle name="20% - Accent4 4 3 7 2" xfId="18871"/>
    <cellStyle name="20% - Accent4 4 3 7 2 2" xfId="28587"/>
    <cellStyle name="20% - Accent4 4 3 7 2 2 2" xfId="48341"/>
    <cellStyle name="20% - Accent4 4 3 7 2 3" xfId="38697"/>
    <cellStyle name="20% - Accent4 4 3 7 3" xfId="23777"/>
    <cellStyle name="20% - Accent4 4 3 7 3 2" xfId="43532"/>
    <cellStyle name="20% - Accent4 4 3 7 4" xfId="33888"/>
    <cellStyle name="20% - Accent4 4 3 8" xfId="3579"/>
    <cellStyle name="20% - Accent4 4 3 8 2" xfId="18872"/>
    <cellStyle name="20% - Accent4 4 3 8 2 2" xfId="28588"/>
    <cellStyle name="20% - Accent4 4 3 8 2 2 2" xfId="48342"/>
    <cellStyle name="20% - Accent4 4 3 8 2 3" xfId="38698"/>
    <cellStyle name="20% - Accent4 4 3 8 3" xfId="23778"/>
    <cellStyle name="20% - Accent4 4 3 8 3 2" xfId="43533"/>
    <cellStyle name="20% - Accent4 4 3 8 4" xfId="33889"/>
    <cellStyle name="20% - Accent4 4 3 9" xfId="3580"/>
    <cellStyle name="20% - Accent4 4 3 9 2" xfId="18873"/>
    <cellStyle name="20% - Accent4 4 3 9 2 2" xfId="28589"/>
    <cellStyle name="20% - Accent4 4 3 9 2 2 2" xfId="48343"/>
    <cellStyle name="20% - Accent4 4 3 9 2 3" xfId="38699"/>
    <cellStyle name="20% - Accent4 4 3 9 3" xfId="23779"/>
    <cellStyle name="20% - Accent4 4 3 9 3 2" xfId="43534"/>
    <cellStyle name="20% - Accent4 4 3 9 4" xfId="33890"/>
    <cellStyle name="20% - Accent4 4 4" xfId="784"/>
    <cellStyle name="20% - Accent4 4 4 2" xfId="3581"/>
    <cellStyle name="20% - Accent4 4 4 2 2" xfId="3582"/>
    <cellStyle name="20% - Accent4 4 4 2 2 2" xfId="3583"/>
    <cellStyle name="20% - Accent4 4 4 2 2 2 2" xfId="18876"/>
    <cellStyle name="20% - Accent4 4 4 2 2 2 2 2" xfId="28592"/>
    <cellStyle name="20% - Accent4 4 4 2 2 2 2 2 2" xfId="48346"/>
    <cellStyle name="20% - Accent4 4 4 2 2 2 2 3" xfId="38702"/>
    <cellStyle name="20% - Accent4 4 4 2 2 2 3" xfId="23782"/>
    <cellStyle name="20% - Accent4 4 4 2 2 2 3 2" xfId="43537"/>
    <cellStyle name="20% - Accent4 4 4 2 2 2 4" xfId="33893"/>
    <cellStyle name="20% - Accent4 4 4 2 2 3" xfId="18875"/>
    <cellStyle name="20% - Accent4 4 4 2 2 3 2" xfId="28591"/>
    <cellStyle name="20% - Accent4 4 4 2 2 3 2 2" xfId="48345"/>
    <cellStyle name="20% - Accent4 4 4 2 2 3 3" xfId="38701"/>
    <cellStyle name="20% - Accent4 4 4 2 2 4" xfId="23781"/>
    <cellStyle name="20% - Accent4 4 4 2 2 4 2" xfId="43536"/>
    <cellStyle name="20% - Accent4 4 4 2 2 5" xfId="33892"/>
    <cellStyle name="20% - Accent4 4 4 2 3" xfId="3584"/>
    <cellStyle name="20% - Accent4 4 4 2 3 2" xfId="18877"/>
    <cellStyle name="20% - Accent4 4 4 2 3 2 2" xfId="28593"/>
    <cellStyle name="20% - Accent4 4 4 2 3 2 2 2" xfId="48347"/>
    <cellStyle name="20% - Accent4 4 4 2 3 2 3" xfId="38703"/>
    <cellStyle name="20% - Accent4 4 4 2 3 3" xfId="23783"/>
    <cellStyle name="20% - Accent4 4 4 2 3 3 2" xfId="43538"/>
    <cellStyle name="20% - Accent4 4 4 2 3 4" xfId="33894"/>
    <cellStyle name="20% - Accent4 4 4 2 4" xfId="18874"/>
    <cellStyle name="20% - Accent4 4 4 2 4 2" xfId="28590"/>
    <cellStyle name="20% - Accent4 4 4 2 4 2 2" xfId="48344"/>
    <cellStyle name="20% - Accent4 4 4 2 4 3" xfId="38700"/>
    <cellStyle name="20% - Accent4 4 4 2 5" xfId="23780"/>
    <cellStyle name="20% - Accent4 4 4 2 5 2" xfId="43535"/>
    <cellStyle name="20% - Accent4 4 4 2 6" xfId="33891"/>
    <cellStyle name="20% - Accent4 4 4 3" xfId="3585"/>
    <cellStyle name="20% - Accent4 4 4 3 2" xfId="3586"/>
    <cellStyle name="20% - Accent4 4 4 3 2 2" xfId="18879"/>
    <cellStyle name="20% - Accent4 4 4 3 2 2 2" xfId="28595"/>
    <cellStyle name="20% - Accent4 4 4 3 2 2 2 2" xfId="48349"/>
    <cellStyle name="20% - Accent4 4 4 3 2 2 3" xfId="38705"/>
    <cellStyle name="20% - Accent4 4 4 3 2 3" xfId="23785"/>
    <cellStyle name="20% - Accent4 4 4 3 2 3 2" xfId="43540"/>
    <cellStyle name="20% - Accent4 4 4 3 2 4" xfId="33896"/>
    <cellStyle name="20% - Accent4 4 4 3 3" xfId="18878"/>
    <cellStyle name="20% - Accent4 4 4 3 3 2" xfId="28594"/>
    <cellStyle name="20% - Accent4 4 4 3 3 2 2" xfId="48348"/>
    <cellStyle name="20% - Accent4 4 4 3 3 3" xfId="38704"/>
    <cellStyle name="20% - Accent4 4 4 3 4" xfId="23784"/>
    <cellStyle name="20% - Accent4 4 4 3 4 2" xfId="43539"/>
    <cellStyle name="20% - Accent4 4 4 3 5" xfId="33895"/>
    <cellStyle name="20% - Accent4 4 4 4" xfId="3587"/>
    <cellStyle name="20% - Accent4 4 4 4 2" xfId="18880"/>
    <cellStyle name="20% - Accent4 4 4 4 2 2" xfId="28596"/>
    <cellStyle name="20% - Accent4 4 4 4 2 2 2" xfId="48350"/>
    <cellStyle name="20% - Accent4 4 4 4 2 3" xfId="38706"/>
    <cellStyle name="20% - Accent4 4 4 4 3" xfId="23786"/>
    <cellStyle name="20% - Accent4 4 4 4 3 2" xfId="43541"/>
    <cellStyle name="20% - Accent4 4 4 4 4" xfId="33897"/>
    <cellStyle name="20% - Accent4 4 4 5" xfId="15452"/>
    <cellStyle name="20% - Accent4 4 4 5 2" xfId="20324"/>
    <cellStyle name="20% - Accent4 4 4 5 2 2" xfId="30038"/>
    <cellStyle name="20% - Accent4 4 4 5 2 2 2" xfId="49791"/>
    <cellStyle name="20% - Accent4 4 4 5 2 3" xfId="40147"/>
    <cellStyle name="20% - Accent4 4 4 5 3" xfId="25226"/>
    <cellStyle name="20% - Accent4 4 4 5 3 2" xfId="44980"/>
    <cellStyle name="20% - Accent4 4 4 5 4" xfId="35336"/>
    <cellStyle name="20% - Accent4 4 4 6" xfId="16131"/>
    <cellStyle name="20% - Accent4 4 4 6 2" xfId="25847"/>
    <cellStyle name="20% - Accent4 4 4 6 2 2" xfId="45601"/>
    <cellStyle name="20% - Accent4 4 4 6 3" xfId="35957"/>
    <cellStyle name="20% - Accent4 4 4 7" xfId="21037"/>
    <cellStyle name="20% - Accent4 4 4 7 2" xfId="40792"/>
    <cellStyle name="20% - Accent4 4 4 8" xfId="30467"/>
    <cellStyle name="20% - Accent4 4 4 8 2" xfId="50215"/>
    <cellStyle name="20% - Accent4 4 4 9" xfId="31148"/>
    <cellStyle name="20% - Accent4 4 5" xfId="785"/>
    <cellStyle name="20% - Accent4 4 5 2" xfId="3588"/>
    <cellStyle name="20% - Accent4 4 5 2 2" xfId="3589"/>
    <cellStyle name="20% - Accent4 4 5 2 2 2" xfId="3590"/>
    <cellStyle name="20% - Accent4 4 5 2 2 2 2" xfId="18883"/>
    <cellStyle name="20% - Accent4 4 5 2 2 2 2 2" xfId="28599"/>
    <cellStyle name="20% - Accent4 4 5 2 2 2 2 2 2" xfId="48353"/>
    <cellStyle name="20% - Accent4 4 5 2 2 2 2 3" xfId="38709"/>
    <cellStyle name="20% - Accent4 4 5 2 2 2 3" xfId="23789"/>
    <cellStyle name="20% - Accent4 4 5 2 2 2 3 2" xfId="43544"/>
    <cellStyle name="20% - Accent4 4 5 2 2 2 4" xfId="33900"/>
    <cellStyle name="20% - Accent4 4 5 2 2 3" xfId="18882"/>
    <cellStyle name="20% - Accent4 4 5 2 2 3 2" xfId="28598"/>
    <cellStyle name="20% - Accent4 4 5 2 2 3 2 2" xfId="48352"/>
    <cellStyle name="20% - Accent4 4 5 2 2 3 3" xfId="38708"/>
    <cellStyle name="20% - Accent4 4 5 2 2 4" xfId="23788"/>
    <cellStyle name="20% - Accent4 4 5 2 2 4 2" xfId="43543"/>
    <cellStyle name="20% - Accent4 4 5 2 2 5" xfId="33899"/>
    <cellStyle name="20% - Accent4 4 5 2 3" xfId="3591"/>
    <cellStyle name="20% - Accent4 4 5 2 3 2" xfId="18884"/>
    <cellStyle name="20% - Accent4 4 5 2 3 2 2" xfId="28600"/>
    <cellStyle name="20% - Accent4 4 5 2 3 2 2 2" xfId="48354"/>
    <cellStyle name="20% - Accent4 4 5 2 3 2 3" xfId="38710"/>
    <cellStyle name="20% - Accent4 4 5 2 3 3" xfId="23790"/>
    <cellStyle name="20% - Accent4 4 5 2 3 3 2" xfId="43545"/>
    <cellStyle name="20% - Accent4 4 5 2 3 4" xfId="33901"/>
    <cellStyle name="20% - Accent4 4 5 2 4" xfId="18881"/>
    <cellStyle name="20% - Accent4 4 5 2 4 2" xfId="28597"/>
    <cellStyle name="20% - Accent4 4 5 2 4 2 2" xfId="48351"/>
    <cellStyle name="20% - Accent4 4 5 2 4 3" xfId="38707"/>
    <cellStyle name="20% - Accent4 4 5 2 5" xfId="23787"/>
    <cellStyle name="20% - Accent4 4 5 2 5 2" xfId="43542"/>
    <cellStyle name="20% - Accent4 4 5 2 6" xfId="33898"/>
    <cellStyle name="20% - Accent4 4 5 3" xfId="3592"/>
    <cellStyle name="20% - Accent4 4 5 3 2" xfId="3593"/>
    <cellStyle name="20% - Accent4 4 5 3 2 2" xfId="18886"/>
    <cellStyle name="20% - Accent4 4 5 3 2 2 2" xfId="28602"/>
    <cellStyle name="20% - Accent4 4 5 3 2 2 2 2" xfId="48356"/>
    <cellStyle name="20% - Accent4 4 5 3 2 2 3" xfId="38712"/>
    <cellStyle name="20% - Accent4 4 5 3 2 3" xfId="23792"/>
    <cellStyle name="20% - Accent4 4 5 3 2 3 2" xfId="43547"/>
    <cellStyle name="20% - Accent4 4 5 3 2 4" xfId="33903"/>
    <cellStyle name="20% - Accent4 4 5 3 3" xfId="18885"/>
    <cellStyle name="20% - Accent4 4 5 3 3 2" xfId="28601"/>
    <cellStyle name="20% - Accent4 4 5 3 3 2 2" xfId="48355"/>
    <cellStyle name="20% - Accent4 4 5 3 3 3" xfId="38711"/>
    <cellStyle name="20% - Accent4 4 5 3 4" xfId="23791"/>
    <cellStyle name="20% - Accent4 4 5 3 4 2" xfId="43546"/>
    <cellStyle name="20% - Accent4 4 5 3 5" xfId="33902"/>
    <cellStyle name="20% - Accent4 4 5 4" xfId="3594"/>
    <cellStyle name="20% - Accent4 4 5 4 2" xfId="18887"/>
    <cellStyle name="20% - Accent4 4 5 4 2 2" xfId="28603"/>
    <cellStyle name="20% - Accent4 4 5 4 2 2 2" xfId="48357"/>
    <cellStyle name="20% - Accent4 4 5 4 2 3" xfId="38713"/>
    <cellStyle name="20% - Accent4 4 5 4 3" xfId="23793"/>
    <cellStyle name="20% - Accent4 4 5 4 3 2" xfId="43548"/>
    <cellStyle name="20% - Accent4 4 5 4 4" xfId="33904"/>
    <cellStyle name="20% - Accent4 4 5 5" xfId="16132"/>
    <cellStyle name="20% - Accent4 4 5 5 2" xfId="25848"/>
    <cellStyle name="20% - Accent4 4 5 5 2 2" xfId="45602"/>
    <cellStyle name="20% - Accent4 4 5 5 3" xfId="35958"/>
    <cellStyle name="20% - Accent4 4 5 6" xfId="21038"/>
    <cellStyle name="20% - Accent4 4 5 6 2" xfId="40793"/>
    <cellStyle name="20% - Accent4 4 5 7" xfId="31149"/>
    <cellStyle name="20% - Accent4 4 6" xfId="3595"/>
    <cellStyle name="20% - Accent4 4 6 2" xfId="3596"/>
    <cellStyle name="20% - Accent4 4 6 2 2" xfId="3597"/>
    <cellStyle name="20% - Accent4 4 6 2 2 2" xfId="3598"/>
    <cellStyle name="20% - Accent4 4 6 2 2 2 2" xfId="18891"/>
    <cellStyle name="20% - Accent4 4 6 2 2 2 2 2" xfId="28607"/>
    <cellStyle name="20% - Accent4 4 6 2 2 2 2 2 2" xfId="48361"/>
    <cellStyle name="20% - Accent4 4 6 2 2 2 2 3" xfId="38717"/>
    <cellStyle name="20% - Accent4 4 6 2 2 2 3" xfId="23797"/>
    <cellStyle name="20% - Accent4 4 6 2 2 2 3 2" xfId="43552"/>
    <cellStyle name="20% - Accent4 4 6 2 2 2 4" xfId="33908"/>
    <cellStyle name="20% - Accent4 4 6 2 2 3" xfId="18890"/>
    <cellStyle name="20% - Accent4 4 6 2 2 3 2" xfId="28606"/>
    <cellStyle name="20% - Accent4 4 6 2 2 3 2 2" xfId="48360"/>
    <cellStyle name="20% - Accent4 4 6 2 2 3 3" xfId="38716"/>
    <cellStyle name="20% - Accent4 4 6 2 2 4" xfId="23796"/>
    <cellStyle name="20% - Accent4 4 6 2 2 4 2" xfId="43551"/>
    <cellStyle name="20% - Accent4 4 6 2 2 5" xfId="33907"/>
    <cellStyle name="20% - Accent4 4 6 2 3" xfId="3599"/>
    <cellStyle name="20% - Accent4 4 6 2 3 2" xfId="18892"/>
    <cellStyle name="20% - Accent4 4 6 2 3 2 2" xfId="28608"/>
    <cellStyle name="20% - Accent4 4 6 2 3 2 2 2" xfId="48362"/>
    <cellStyle name="20% - Accent4 4 6 2 3 2 3" xfId="38718"/>
    <cellStyle name="20% - Accent4 4 6 2 3 3" xfId="23798"/>
    <cellStyle name="20% - Accent4 4 6 2 3 3 2" xfId="43553"/>
    <cellStyle name="20% - Accent4 4 6 2 3 4" xfId="33909"/>
    <cellStyle name="20% - Accent4 4 6 2 4" xfId="18889"/>
    <cellStyle name="20% - Accent4 4 6 2 4 2" xfId="28605"/>
    <cellStyle name="20% - Accent4 4 6 2 4 2 2" xfId="48359"/>
    <cellStyle name="20% - Accent4 4 6 2 4 3" xfId="38715"/>
    <cellStyle name="20% - Accent4 4 6 2 5" xfId="23795"/>
    <cellStyle name="20% - Accent4 4 6 2 5 2" xfId="43550"/>
    <cellStyle name="20% - Accent4 4 6 2 6" xfId="33906"/>
    <cellStyle name="20% - Accent4 4 6 3" xfId="3600"/>
    <cellStyle name="20% - Accent4 4 6 3 2" xfId="3601"/>
    <cellStyle name="20% - Accent4 4 6 3 2 2" xfId="18894"/>
    <cellStyle name="20% - Accent4 4 6 3 2 2 2" xfId="28610"/>
    <cellStyle name="20% - Accent4 4 6 3 2 2 2 2" xfId="48364"/>
    <cellStyle name="20% - Accent4 4 6 3 2 2 3" xfId="38720"/>
    <cellStyle name="20% - Accent4 4 6 3 2 3" xfId="23800"/>
    <cellStyle name="20% - Accent4 4 6 3 2 3 2" xfId="43555"/>
    <cellStyle name="20% - Accent4 4 6 3 2 4" xfId="33911"/>
    <cellStyle name="20% - Accent4 4 6 3 3" xfId="18893"/>
    <cellStyle name="20% - Accent4 4 6 3 3 2" xfId="28609"/>
    <cellStyle name="20% - Accent4 4 6 3 3 2 2" xfId="48363"/>
    <cellStyle name="20% - Accent4 4 6 3 3 3" xfId="38719"/>
    <cellStyle name="20% - Accent4 4 6 3 4" xfId="23799"/>
    <cellStyle name="20% - Accent4 4 6 3 4 2" xfId="43554"/>
    <cellStyle name="20% - Accent4 4 6 3 5" xfId="33910"/>
    <cellStyle name="20% - Accent4 4 6 4" xfId="3602"/>
    <cellStyle name="20% - Accent4 4 6 4 2" xfId="18895"/>
    <cellStyle name="20% - Accent4 4 6 4 2 2" xfId="28611"/>
    <cellStyle name="20% - Accent4 4 6 4 2 2 2" xfId="48365"/>
    <cellStyle name="20% - Accent4 4 6 4 2 3" xfId="38721"/>
    <cellStyle name="20% - Accent4 4 6 4 3" xfId="23801"/>
    <cellStyle name="20% - Accent4 4 6 4 3 2" xfId="43556"/>
    <cellStyle name="20% - Accent4 4 6 4 4" xfId="33912"/>
    <cellStyle name="20% - Accent4 4 6 5" xfId="18888"/>
    <cellStyle name="20% - Accent4 4 6 5 2" xfId="28604"/>
    <cellStyle name="20% - Accent4 4 6 5 2 2" xfId="48358"/>
    <cellStyle name="20% - Accent4 4 6 5 3" xfId="38714"/>
    <cellStyle name="20% - Accent4 4 6 6" xfId="23794"/>
    <cellStyle name="20% - Accent4 4 6 6 2" xfId="43549"/>
    <cellStyle name="20% - Accent4 4 6 7" xfId="33905"/>
    <cellStyle name="20% - Accent4 4 7" xfId="3603"/>
    <cellStyle name="20% - Accent4 4 7 2" xfId="3604"/>
    <cellStyle name="20% - Accent4 4 7 2 2" xfId="3605"/>
    <cellStyle name="20% - Accent4 4 7 2 2 2" xfId="18898"/>
    <cellStyle name="20% - Accent4 4 7 2 2 2 2" xfId="28614"/>
    <cellStyle name="20% - Accent4 4 7 2 2 2 2 2" xfId="48368"/>
    <cellStyle name="20% - Accent4 4 7 2 2 2 3" xfId="38724"/>
    <cellStyle name="20% - Accent4 4 7 2 2 3" xfId="23804"/>
    <cellStyle name="20% - Accent4 4 7 2 2 3 2" xfId="43559"/>
    <cellStyle name="20% - Accent4 4 7 2 2 4" xfId="33915"/>
    <cellStyle name="20% - Accent4 4 7 2 3" xfId="18897"/>
    <cellStyle name="20% - Accent4 4 7 2 3 2" xfId="28613"/>
    <cellStyle name="20% - Accent4 4 7 2 3 2 2" xfId="48367"/>
    <cellStyle name="20% - Accent4 4 7 2 3 3" xfId="38723"/>
    <cellStyle name="20% - Accent4 4 7 2 4" xfId="23803"/>
    <cellStyle name="20% - Accent4 4 7 2 4 2" xfId="43558"/>
    <cellStyle name="20% - Accent4 4 7 2 5" xfId="33914"/>
    <cellStyle name="20% - Accent4 4 7 3" xfId="3606"/>
    <cellStyle name="20% - Accent4 4 7 3 2" xfId="18899"/>
    <cellStyle name="20% - Accent4 4 7 3 2 2" xfId="28615"/>
    <cellStyle name="20% - Accent4 4 7 3 2 2 2" xfId="48369"/>
    <cellStyle name="20% - Accent4 4 7 3 2 3" xfId="38725"/>
    <cellStyle name="20% - Accent4 4 7 3 3" xfId="23805"/>
    <cellStyle name="20% - Accent4 4 7 3 3 2" xfId="43560"/>
    <cellStyle name="20% - Accent4 4 7 3 4" xfId="33916"/>
    <cellStyle name="20% - Accent4 4 7 4" xfId="18896"/>
    <cellStyle name="20% - Accent4 4 7 4 2" xfId="28612"/>
    <cellStyle name="20% - Accent4 4 7 4 2 2" xfId="48366"/>
    <cellStyle name="20% - Accent4 4 7 4 3" xfId="38722"/>
    <cellStyle name="20% - Accent4 4 7 5" xfId="23802"/>
    <cellStyle name="20% - Accent4 4 7 5 2" xfId="43557"/>
    <cellStyle name="20% - Accent4 4 7 6" xfId="33913"/>
    <cellStyle name="20% - Accent4 4 8" xfId="3607"/>
    <cellStyle name="20% - Accent4 4 8 2" xfId="3608"/>
    <cellStyle name="20% - Accent4 4 8 2 2" xfId="18901"/>
    <cellStyle name="20% - Accent4 4 8 2 2 2" xfId="28617"/>
    <cellStyle name="20% - Accent4 4 8 2 2 2 2" xfId="48371"/>
    <cellStyle name="20% - Accent4 4 8 2 2 3" xfId="38727"/>
    <cellStyle name="20% - Accent4 4 8 2 3" xfId="23807"/>
    <cellStyle name="20% - Accent4 4 8 2 3 2" xfId="43562"/>
    <cellStyle name="20% - Accent4 4 8 2 4" xfId="33918"/>
    <cellStyle name="20% - Accent4 4 8 3" xfId="18900"/>
    <cellStyle name="20% - Accent4 4 8 3 2" xfId="28616"/>
    <cellStyle name="20% - Accent4 4 8 3 2 2" xfId="48370"/>
    <cellStyle name="20% - Accent4 4 8 3 3" xfId="38726"/>
    <cellStyle name="20% - Accent4 4 8 4" xfId="23806"/>
    <cellStyle name="20% - Accent4 4 8 4 2" xfId="43561"/>
    <cellStyle name="20% - Accent4 4 8 5" xfId="33917"/>
    <cellStyle name="20% - Accent4 4 9" xfId="3609"/>
    <cellStyle name="20% - Accent4 4 9 2" xfId="3610"/>
    <cellStyle name="20% - Accent4 4 9 2 2" xfId="18903"/>
    <cellStyle name="20% - Accent4 4 9 2 2 2" xfId="28619"/>
    <cellStyle name="20% - Accent4 4 9 2 2 2 2" xfId="48373"/>
    <cellStyle name="20% - Accent4 4 9 2 2 3" xfId="38729"/>
    <cellStyle name="20% - Accent4 4 9 2 3" xfId="23809"/>
    <cellStyle name="20% - Accent4 4 9 2 3 2" xfId="43564"/>
    <cellStyle name="20% - Accent4 4 9 2 4" xfId="33920"/>
    <cellStyle name="20% - Accent4 4 9 3" xfId="18902"/>
    <cellStyle name="20% - Accent4 4 9 3 2" xfId="28618"/>
    <cellStyle name="20% - Accent4 4 9 3 2 2" xfId="48372"/>
    <cellStyle name="20% - Accent4 4 9 3 3" xfId="38728"/>
    <cellStyle name="20% - Accent4 4 9 4" xfId="23808"/>
    <cellStyle name="20% - Accent4 4 9 4 2" xfId="43563"/>
    <cellStyle name="20% - Accent4 4 9 5" xfId="33919"/>
    <cellStyle name="20% - Accent4 5" xfId="72"/>
    <cellStyle name="20% - Accent4 5 10" xfId="3611"/>
    <cellStyle name="20% - Accent4 5 10 2" xfId="18904"/>
    <cellStyle name="20% - Accent4 5 10 2 2" xfId="28620"/>
    <cellStyle name="20% - Accent4 5 10 2 2 2" xfId="48374"/>
    <cellStyle name="20% - Accent4 5 10 2 3" xfId="38730"/>
    <cellStyle name="20% - Accent4 5 10 3" xfId="23810"/>
    <cellStyle name="20% - Accent4 5 10 3 2" xfId="43565"/>
    <cellStyle name="20% - Accent4 5 10 4" xfId="33921"/>
    <cellStyle name="20% - Accent4 5 11" xfId="3612"/>
    <cellStyle name="20% - Accent4 5 11 2" xfId="18905"/>
    <cellStyle name="20% - Accent4 5 11 2 2" xfId="28621"/>
    <cellStyle name="20% - Accent4 5 11 2 2 2" xfId="48375"/>
    <cellStyle name="20% - Accent4 5 11 2 3" xfId="38731"/>
    <cellStyle name="20% - Accent4 5 11 3" xfId="23811"/>
    <cellStyle name="20% - Accent4 5 11 3 2" xfId="43566"/>
    <cellStyle name="20% - Accent4 5 11 4" xfId="33922"/>
    <cellStyle name="20% - Accent4 5 12" xfId="15453"/>
    <cellStyle name="20% - Accent4 5 12 2" xfId="20325"/>
    <cellStyle name="20% - Accent4 5 12 2 2" xfId="30039"/>
    <cellStyle name="20% - Accent4 5 12 2 2 2" xfId="49792"/>
    <cellStyle name="20% - Accent4 5 12 2 3" xfId="40148"/>
    <cellStyle name="20% - Accent4 5 12 3" xfId="25227"/>
    <cellStyle name="20% - Accent4 5 12 3 2" xfId="44981"/>
    <cellStyle name="20% - Accent4 5 12 4" xfId="35337"/>
    <cellStyle name="20% - Accent4 5 13" xfId="15867"/>
    <cellStyle name="20% - Accent4 5 13 2" xfId="25583"/>
    <cellStyle name="20% - Accent4 5 13 2 2" xfId="45337"/>
    <cellStyle name="20% - Accent4 5 13 3" xfId="35693"/>
    <cellStyle name="20% - Accent4 5 14" xfId="20742"/>
    <cellStyle name="20% - Accent4 5 14 2" xfId="40522"/>
    <cellStyle name="20% - Accent4 5 15" xfId="30468"/>
    <cellStyle name="20% - Accent4 5 15 2" xfId="50216"/>
    <cellStyle name="20% - Accent4 5 16" xfId="30853"/>
    <cellStyle name="20% - Accent4 5 2" xfId="73"/>
    <cellStyle name="20% - Accent4 5 2 10" xfId="15454"/>
    <cellStyle name="20% - Accent4 5 2 10 2" xfId="20326"/>
    <cellStyle name="20% - Accent4 5 2 10 2 2" xfId="30040"/>
    <cellStyle name="20% - Accent4 5 2 10 2 2 2" xfId="49793"/>
    <cellStyle name="20% - Accent4 5 2 10 2 3" xfId="40149"/>
    <cellStyle name="20% - Accent4 5 2 10 3" xfId="25228"/>
    <cellStyle name="20% - Accent4 5 2 10 3 2" xfId="44982"/>
    <cellStyle name="20% - Accent4 5 2 10 4" xfId="35338"/>
    <cellStyle name="20% - Accent4 5 2 11" xfId="15868"/>
    <cellStyle name="20% - Accent4 5 2 11 2" xfId="25584"/>
    <cellStyle name="20% - Accent4 5 2 11 2 2" xfId="45338"/>
    <cellStyle name="20% - Accent4 5 2 11 3" xfId="35694"/>
    <cellStyle name="20% - Accent4 5 2 12" xfId="20743"/>
    <cellStyle name="20% - Accent4 5 2 12 2" xfId="40523"/>
    <cellStyle name="20% - Accent4 5 2 13" xfId="30469"/>
    <cellStyle name="20% - Accent4 5 2 13 2" xfId="50217"/>
    <cellStyle name="20% - Accent4 5 2 14" xfId="30854"/>
    <cellStyle name="20% - Accent4 5 2 2" xfId="786"/>
    <cellStyle name="20% - Accent4 5 2 2 2" xfId="3613"/>
    <cellStyle name="20% - Accent4 5 2 2 2 2" xfId="3614"/>
    <cellStyle name="20% - Accent4 5 2 2 2 2 2" xfId="3615"/>
    <cellStyle name="20% - Accent4 5 2 2 2 2 2 2" xfId="18908"/>
    <cellStyle name="20% - Accent4 5 2 2 2 2 2 2 2" xfId="28624"/>
    <cellStyle name="20% - Accent4 5 2 2 2 2 2 2 2 2" xfId="48378"/>
    <cellStyle name="20% - Accent4 5 2 2 2 2 2 2 3" xfId="38734"/>
    <cellStyle name="20% - Accent4 5 2 2 2 2 2 3" xfId="23814"/>
    <cellStyle name="20% - Accent4 5 2 2 2 2 2 3 2" xfId="43569"/>
    <cellStyle name="20% - Accent4 5 2 2 2 2 2 4" xfId="33925"/>
    <cellStyle name="20% - Accent4 5 2 2 2 2 3" xfId="18907"/>
    <cellStyle name="20% - Accent4 5 2 2 2 2 3 2" xfId="28623"/>
    <cellStyle name="20% - Accent4 5 2 2 2 2 3 2 2" xfId="48377"/>
    <cellStyle name="20% - Accent4 5 2 2 2 2 3 3" xfId="38733"/>
    <cellStyle name="20% - Accent4 5 2 2 2 2 4" xfId="23813"/>
    <cellStyle name="20% - Accent4 5 2 2 2 2 4 2" xfId="43568"/>
    <cellStyle name="20% - Accent4 5 2 2 2 2 5" xfId="33924"/>
    <cellStyle name="20% - Accent4 5 2 2 2 3" xfId="3616"/>
    <cellStyle name="20% - Accent4 5 2 2 2 3 2" xfId="18909"/>
    <cellStyle name="20% - Accent4 5 2 2 2 3 2 2" xfId="28625"/>
    <cellStyle name="20% - Accent4 5 2 2 2 3 2 2 2" xfId="48379"/>
    <cellStyle name="20% - Accent4 5 2 2 2 3 2 3" xfId="38735"/>
    <cellStyle name="20% - Accent4 5 2 2 2 3 3" xfId="23815"/>
    <cellStyle name="20% - Accent4 5 2 2 2 3 3 2" xfId="43570"/>
    <cellStyle name="20% - Accent4 5 2 2 2 3 4" xfId="33926"/>
    <cellStyle name="20% - Accent4 5 2 2 2 4" xfId="18906"/>
    <cellStyle name="20% - Accent4 5 2 2 2 4 2" xfId="28622"/>
    <cellStyle name="20% - Accent4 5 2 2 2 4 2 2" xfId="48376"/>
    <cellStyle name="20% - Accent4 5 2 2 2 4 3" xfId="38732"/>
    <cellStyle name="20% - Accent4 5 2 2 2 5" xfId="23812"/>
    <cellStyle name="20% - Accent4 5 2 2 2 5 2" xfId="43567"/>
    <cellStyle name="20% - Accent4 5 2 2 2 6" xfId="33923"/>
    <cellStyle name="20% - Accent4 5 2 2 3" xfId="3617"/>
    <cellStyle name="20% - Accent4 5 2 2 3 2" xfId="3618"/>
    <cellStyle name="20% - Accent4 5 2 2 3 2 2" xfId="18911"/>
    <cellStyle name="20% - Accent4 5 2 2 3 2 2 2" xfId="28627"/>
    <cellStyle name="20% - Accent4 5 2 2 3 2 2 2 2" xfId="48381"/>
    <cellStyle name="20% - Accent4 5 2 2 3 2 2 3" xfId="38737"/>
    <cellStyle name="20% - Accent4 5 2 2 3 2 3" xfId="23817"/>
    <cellStyle name="20% - Accent4 5 2 2 3 2 3 2" xfId="43572"/>
    <cellStyle name="20% - Accent4 5 2 2 3 2 4" xfId="33928"/>
    <cellStyle name="20% - Accent4 5 2 2 3 3" xfId="18910"/>
    <cellStyle name="20% - Accent4 5 2 2 3 3 2" xfId="28626"/>
    <cellStyle name="20% - Accent4 5 2 2 3 3 2 2" xfId="48380"/>
    <cellStyle name="20% - Accent4 5 2 2 3 3 3" xfId="38736"/>
    <cellStyle name="20% - Accent4 5 2 2 3 4" xfId="23816"/>
    <cellStyle name="20% - Accent4 5 2 2 3 4 2" xfId="43571"/>
    <cellStyle name="20% - Accent4 5 2 2 3 5" xfId="33927"/>
    <cellStyle name="20% - Accent4 5 2 2 4" xfId="3619"/>
    <cellStyle name="20% - Accent4 5 2 2 4 2" xfId="18912"/>
    <cellStyle name="20% - Accent4 5 2 2 4 2 2" xfId="28628"/>
    <cellStyle name="20% - Accent4 5 2 2 4 2 2 2" xfId="48382"/>
    <cellStyle name="20% - Accent4 5 2 2 4 2 3" xfId="38738"/>
    <cellStyle name="20% - Accent4 5 2 2 4 3" xfId="23818"/>
    <cellStyle name="20% - Accent4 5 2 2 4 3 2" xfId="43573"/>
    <cellStyle name="20% - Accent4 5 2 2 4 4" xfId="33929"/>
    <cellStyle name="20% - Accent4 5 2 2 5" xfId="15455"/>
    <cellStyle name="20% - Accent4 5 2 2 5 2" xfId="20327"/>
    <cellStyle name="20% - Accent4 5 2 2 5 2 2" xfId="30041"/>
    <cellStyle name="20% - Accent4 5 2 2 5 2 2 2" xfId="49794"/>
    <cellStyle name="20% - Accent4 5 2 2 5 2 3" xfId="40150"/>
    <cellStyle name="20% - Accent4 5 2 2 5 3" xfId="25229"/>
    <cellStyle name="20% - Accent4 5 2 2 5 3 2" xfId="44983"/>
    <cellStyle name="20% - Accent4 5 2 2 5 4" xfId="35339"/>
    <cellStyle name="20% - Accent4 5 2 2 6" xfId="16133"/>
    <cellStyle name="20% - Accent4 5 2 2 6 2" xfId="25849"/>
    <cellStyle name="20% - Accent4 5 2 2 6 2 2" xfId="45603"/>
    <cellStyle name="20% - Accent4 5 2 2 6 3" xfId="35959"/>
    <cellStyle name="20% - Accent4 5 2 2 7" xfId="21039"/>
    <cellStyle name="20% - Accent4 5 2 2 7 2" xfId="40794"/>
    <cellStyle name="20% - Accent4 5 2 2 8" xfId="30470"/>
    <cellStyle name="20% - Accent4 5 2 2 8 2" xfId="50218"/>
    <cellStyle name="20% - Accent4 5 2 2 9" xfId="31150"/>
    <cellStyle name="20% - Accent4 5 2 3" xfId="787"/>
    <cellStyle name="20% - Accent4 5 2 3 2" xfId="3620"/>
    <cellStyle name="20% - Accent4 5 2 3 2 2" xfId="3621"/>
    <cellStyle name="20% - Accent4 5 2 3 2 2 2" xfId="3622"/>
    <cellStyle name="20% - Accent4 5 2 3 2 2 2 2" xfId="18915"/>
    <cellStyle name="20% - Accent4 5 2 3 2 2 2 2 2" xfId="28631"/>
    <cellStyle name="20% - Accent4 5 2 3 2 2 2 2 2 2" xfId="48385"/>
    <cellStyle name="20% - Accent4 5 2 3 2 2 2 2 3" xfId="38741"/>
    <cellStyle name="20% - Accent4 5 2 3 2 2 2 3" xfId="23821"/>
    <cellStyle name="20% - Accent4 5 2 3 2 2 2 3 2" xfId="43576"/>
    <cellStyle name="20% - Accent4 5 2 3 2 2 2 4" xfId="33932"/>
    <cellStyle name="20% - Accent4 5 2 3 2 2 3" xfId="18914"/>
    <cellStyle name="20% - Accent4 5 2 3 2 2 3 2" xfId="28630"/>
    <cellStyle name="20% - Accent4 5 2 3 2 2 3 2 2" xfId="48384"/>
    <cellStyle name="20% - Accent4 5 2 3 2 2 3 3" xfId="38740"/>
    <cellStyle name="20% - Accent4 5 2 3 2 2 4" xfId="23820"/>
    <cellStyle name="20% - Accent4 5 2 3 2 2 4 2" xfId="43575"/>
    <cellStyle name="20% - Accent4 5 2 3 2 2 5" xfId="33931"/>
    <cellStyle name="20% - Accent4 5 2 3 2 3" xfId="3623"/>
    <cellStyle name="20% - Accent4 5 2 3 2 3 2" xfId="18916"/>
    <cellStyle name="20% - Accent4 5 2 3 2 3 2 2" xfId="28632"/>
    <cellStyle name="20% - Accent4 5 2 3 2 3 2 2 2" xfId="48386"/>
    <cellStyle name="20% - Accent4 5 2 3 2 3 2 3" xfId="38742"/>
    <cellStyle name="20% - Accent4 5 2 3 2 3 3" xfId="23822"/>
    <cellStyle name="20% - Accent4 5 2 3 2 3 3 2" xfId="43577"/>
    <cellStyle name="20% - Accent4 5 2 3 2 3 4" xfId="33933"/>
    <cellStyle name="20% - Accent4 5 2 3 2 4" xfId="18913"/>
    <cellStyle name="20% - Accent4 5 2 3 2 4 2" xfId="28629"/>
    <cellStyle name="20% - Accent4 5 2 3 2 4 2 2" xfId="48383"/>
    <cellStyle name="20% - Accent4 5 2 3 2 4 3" xfId="38739"/>
    <cellStyle name="20% - Accent4 5 2 3 2 5" xfId="23819"/>
    <cellStyle name="20% - Accent4 5 2 3 2 5 2" xfId="43574"/>
    <cellStyle name="20% - Accent4 5 2 3 2 6" xfId="33930"/>
    <cellStyle name="20% - Accent4 5 2 3 3" xfId="3624"/>
    <cellStyle name="20% - Accent4 5 2 3 3 2" xfId="3625"/>
    <cellStyle name="20% - Accent4 5 2 3 3 2 2" xfId="18918"/>
    <cellStyle name="20% - Accent4 5 2 3 3 2 2 2" xfId="28634"/>
    <cellStyle name="20% - Accent4 5 2 3 3 2 2 2 2" xfId="48388"/>
    <cellStyle name="20% - Accent4 5 2 3 3 2 2 3" xfId="38744"/>
    <cellStyle name="20% - Accent4 5 2 3 3 2 3" xfId="23824"/>
    <cellStyle name="20% - Accent4 5 2 3 3 2 3 2" xfId="43579"/>
    <cellStyle name="20% - Accent4 5 2 3 3 2 4" xfId="33935"/>
    <cellStyle name="20% - Accent4 5 2 3 3 3" xfId="18917"/>
    <cellStyle name="20% - Accent4 5 2 3 3 3 2" xfId="28633"/>
    <cellStyle name="20% - Accent4 5 2 3 3 3 2 2" xfId="48387"/>
    <cellStyle name="20% - Accent4 5 2 3 3 3 3" xfId="38743"/>
    <cellStyle name="20% - Accent4 5 2 3 3 4" xfId="23823"/>
    <cellStyle name="20% - Accent4 5 2 3 3 4 2" xfId="43578"/>
    <cellStyle name="20% - Accent4 5 2 3 3 5" xfId="33934"/>
    <cellStyle name="20% - Accent4 5 2 3 4" xfId="3626"/>
    <cellStyle name="20% - Accent4 5 2 3 4 2" xfId="18919"/>
    <cellStyle name="20% - Accent4 5 2 3 4 2 2" xfId="28635"/>
    <cellStyle name="20% - Accent4 5 2 3 4 2 2 2" xfId="48389"/>
    <cellStyle name="20% - Accent4 5 2 3 4 2 3" xfId="38745"/>
    <cellStyle name="20% - Accent4 5 2 3 4 3" xfId="23825"/>
    <cellStyle name="20% - Accent4 5 2 3 4 3 2" xfId="43580"/>
    <cellStyle name="20% - Accent4 5 2 3 4 4" xfId="33936"/>
    <cellStyle name="20% - Accent4 5 2 3 5" xfId="16134"/>
    <cellStyle name="20% - Accent4 5 2 3 5 2" xfId="25850"/>
    <cellStyle name="20% - Accent4 5 2 3 5 2 2" xfId="45604"/>
    <cellStyle name="20% - Accent4 5 2 3 5 3" xfId="35960"/>
    <cellStyle name="20% - Accent4 5 2 3 6" xfId="21040"/>
    <cellStyle name="20% - Accent4 5 2 3 6 2" xfId="40795"/>
    <cellStyle name="20% - Accent4 5 2 3 7" xfId="31151"/>
    <cellStyle name="20% - Accent4 5 2 4" xfId="3627"/>
    <cellStyle name="20% - Accent4 5 2 4 2" xfId="3628"/>
    <cellStyle name="20% - Accent4 5 2 4 2 2" xfId="3629"/>
    <cellStyle name="20% - Accent4 5 2 4 2 2 2" xfId="3630"/>
    <cellStyle name="20% - Accent4 5 2 4 2 2 2 2" xfId="18923"/>
    <cellStyle name="20% - Accent4 5 2 4 2 2 2 2 2" xfId="28639"/>
    <cellStyle name="20% - Accent4 5 2 4 2 2 2 2 2 2" xfId="48393"/>
    <cellStyle name="20% - Accent4 5 2 4 2 2 2 2 3" xfId="38749"/>
    <cellStyle name="20% - Accent4 5 2 4 2 2 2 3" xfId="23829"/>
    <cellStyle name="20% - Accent4 5 2 4 2 2 2 3 2" xfId="43584"/>
    <cellStyle name="20% - Accent4 5 2 4 2 2 2 4" xfId="33940"/>
    <cellStyle name="20% - Accent4 5 2 4 2 2 3" xfId="18922"/>
    <cellStyle name="20% - Accent4 5 2 4 2 2 3 2" xfId="28638"/>
    <cellStyle name="20% - Accent4 5 2 4 2 2 3 2 2" xfId="48392"/>
    <cellStyle name="20% - Accent4 5 2 4 2 2 3 3" xfId="38748"/>
    <cellStyle name="20% - Accent4 5 2 4 2 2 4" xfId="23828"/>
    <cellStyle name="20% - Accent4 5 2 4 2 2 4 2" xfId="43583"/>
    <cellStyle name="20% - Accent4 5 2 4 2 2 5" xfId="33939"/>
    <cellStyle name="20% - Accent4 5 2 4 2 3" xfId="3631"/>
    <cellStyle name="20% - Accent4 5 2 4 2 3 2" xfId="18924"/>
    <cellStyle name="20% - Accent4 5 2 4 2 3 2 2" xfId="28640"/>
    <cellStyle name="20% - Accent4 5 2 4 2 3 2 2 2" xfId="48394"/>
    <cellStyle name="20% - Accent4 5 2 4 2 3 2 3" xfId="38750"/>
    <cellStyle name="20% - Accent4 5 2 4 2 3 3" xfId="23830"/>
    <cellStyle name="20% - Accent4 5 2 4 2 3 3 2" xfId="43585"/>
    <cellStyle name="20% - Accent4 5 2 4 2 3 4" xfId="33941"/>
    <cellStyle name="20% - Accent4 5 2 4 2 4" xfId="18921"/>
    <cellStyle name="20% - Accent4 5 2 4 2 4 2" xfId="28637"/>
    <cellStyle name="20% - Accent4 5 2 4 2 4 2 2" xfId="48391"/>
    <cellStyle name="20% - Accent4 5 2 4 2 4 3" xfId="38747"/>
    <cellStyle name="20% - Accent4 5 2 4 2 5" xfId="23827"/>
    <cellStyle name="20% - Accent4 5 2 4 2 5 2" xfId="43582"/>
    <cellStyle name="20% - Accent4 5 2 4 2 6" xfId="33938"/>
    <cellStyle name="20% - Accent4 5 2 4 3" xfId="3632"/>
    <cellStyle name="20% - Accent4 5 2 4 3 2" xfId="3633"/>
    <cellStyle name="20% - Accent4 5 2 4 3 2 2" xfId="18926"/>
    <cellStyle name="20% - Accent4 5 2 4 3 2 2 2" xfId="28642"/>
    <cellStyle name="20% - Accent4 5 2 4 3 2 2 2 2" xfId="48396"/>
    <cellStyle name="20% - Accent4 5 2 4 3 2 2 3" xfId="38752"/>
    <cellStyle name="20% - Accent4 5 2 4 3 2 3" xfId="23832"/>
    <cellStyle name="20% - Accent4 5 2 4 3 2 3 2" xfId="43587"/>
    <cellStyle name="20% - Accent4 5 2 4 3 2 4" xfId="33943"/>
    <cellStyle name="20% - Accent4 5 2 4 3 3" xfId="18925"/>
    <cellStyle name="20% - Accent4 5 2 4 3 3 2" xfId="28641"/>
    <cellStyle name="20% - Accent4 5 2 4 3 3 2 2" xfId="48395"/>
    <cellStyle name="20% - Accent4 5 2 4 3 3 3" xfId="38751"/>
    <cellStyle name="20% - Accent4 5 2 4 3 4" xfId="23831"/>
    <cellStyle name="20% - Accent4 5 2 4 3 4 2" xfId="43586"/>
    <cellStyle name="20% - Accent4 5 2 4 3 5" xfId="33942"/>
    <cellStyle name="20% - Accent4 5 2 4 4" xfId="3634"/>
    <cellStyle name="20% - Accent4 5 2 4 4 2" xfId="18927"/>
    <cellStyle name="20% - Accent4 5 2 4 4 2 2" xfId="28643"/>
    <cellStyle name="20% - Accent4 5 2 4 4 2 2 2" xfId="48397"/>
    <cellStyle name="20% - Accent4 5 2 4 4 2 3" xfId="38753"/>
    <cellStyle name="20% - Accent4 5 2 4 4 3" xfId="23833"/>
    <cellStyle name="20% - Accent4 5 2 4 4 3 2" xfId="43588"/>
    <cellStyle name="20% - Accent4 5 2 4 4 4" xfId="33944"/>
    <cellStyle name="20% - Accent4 5 2 4 5" xfId="18920"/>
    <cellStyle name="20% - Accent4 5 2 4 5 2" xfId="28636"/>
    <cellStyle name="20% - Accent4 5 2 4 5 2 2" xfId="48390"/>
    <cellStyle name="20% - Accent4 5 2 4 5 3" xfId="38746"/>
    <cellStyle name="20% - Accent4 5 2 4 6" xfId="23826"/>
    <cellStyle name="20% - Accent4 5 2 4 6 2" xfId="43581"/>
    <cellStyle name="20% - Accent4 5 2 4 7" xfId="33937"/>
    <cellStyle name="20% - Accent4 5 2 5" xfId="3635"/>
    <cellStyle name="20% - Accent4 5 2 5 2" xfId="3636"/>
    <cellStyle name="20% - Accent4 5 2 5 2 2" xfId="3637"/>
    <cellStyle name="20% - Accent4 5 2 5 2 2 2" xfId="18930"/>
    <cellStyle name="20% - Accent4 5 2 5 2 2 2 2" xfId="28646"/>
    <cellStyle name="20% - Accent4 5 2 5 2 2 2 2 2" xfId="48400"/>
    <cellStyle name="20% - Accent4 5 2 5 2 2 2 3" xfId="38756"/>
    <cellStyle name="20% - Accent4 5 2 5 2 2 3" xfId="23836"/>
    <cellStyle name="20% - Accent4 5 2 5 2 2 3 2" xfId="43591"/>
    <cellStyle name="20% - Accent4 5 2 5 2 2 4" xfId="33947"/>
    <cellStyle name="20% - Accent4 5 2 5 2 3" xfId="18929"/>
    <cellStyle name="20% - Accent4 5 2 5 2 3 2" xfId="28645"/>
    <cellStyle name="20% - Accent4 5 2 5 2 3 2 2" xfId="48399"/>
    <cellStyle name="20% - Accent4 5 2 5 2 3 3" xfId="38755"/>
    <cellStyle name="20% - Accent4 5 2 5 2 4" xfId="23835"/>
    <cellStyle name="20% - Accent4 5 2 5 2 4 2" xfId="43590"/>
    <cellStyle name="20% - Accent4 5 2 5 2 5" xfId="33946"/>
    <cellStyle name="20% - Accent4 5 2 5 3" xfId="3638"/>
    <cellStyle name="20% - Accent4 5 2 5 3 2" xfId="18931"/>
    <cellStyle name="20% - Accent4 5 2 5 3 2 2" xfId="28647"/>
    <cellStyle name="20% - Accent4 5 2 5 3 2 2 2" xfId="48401"/>
    <cellStyle name="20% - Accent4 5 2 5 3 2 3" xfId="38757"/>
    <cellStyle name="20% - Accent4 5 2 5 3 3" xfId="23837"/>
    <cellStyle name="20% - Accent4 5 2 5 3 3 2" xfId="43592"/>
    <cellStyle name="20% - Accent4 5 2 5 3 4" xfId="33948"/>
    <cellStyle name="20% - Accent4 5 2 5 4" xfId="18928"/>
    <cellStyle name="20% - Accent4 5 2 5 4 2" xfId="28644"/>
    <cellStyle name="20% - Accent4 5 2 5 4 2 2" xfId="48398"/>
    <cellStyle name="20% - Accent4 5 2 5 4 3" xfId="38754"/>
    <cellStyle name="20% - Accent4 5 2 5 5" xfId="23834"/>
    <cellStyle name="20% - Accent4 5 2 5 5 2" xfId="43589"/>
    <cellStyle name="20% - Accent4 5 2 5 6" xfId="33945"/>
    <cellStyle name="20% - Accent4 5 2 6" xfId="3639"/>
    <cellStyle name="20% - Accent4 5 2 6 2" xfId="3640"/>
    <cellStyle name="20% - Accent4 5 2 6 2 2" xfId="18933"/>
    <cellStyle name="20% - Accent4 5 2 6 2 2 2" xfId="28649"/>
    <cellStyle name="20% - Accent4 5 2 6 2 2 2 2" xfId="48403"/>
    <cellStyle name="20% - Accent4 5 2 6 2 2 3" xfId="38759"/>
    <cellStyle name="20% - Accent4 5 2 6 2 3" xfId="23839"/>
    <cellStyle name="20% - Accent4 5 2 6 2 3 2" xfId="43594"/>
    <cellStyle name="20% - Accent4 5 2 6 2 4" xfId="33950"/>
    <cellStyle name="20% - Accent4 5 2 6 3" xfId="18932"/>
    <cellStyle name="20% - Accent4 5 2 6 3 2" xfId="28648"/>
    <cellStyle name="20% - Accent4 5 2 6 3 2 2" xfId="48402"/>
    <cellStyle name="20% - Accent4 5 2 6 3 3" xfId="38758"/>
    <cellStyle name="20% - Accent4 5 2 6 4" xfId="23838"/>
    <cellStyle name="20% - Accent4 5 2 6 4 2" xfId="43593"/>
    <cellStyle name="20% - Accent4 5 2 6 5" xfId="33949"/>
    <cellStyle name="20% - Accent4 5 2 7" xfId="3641"/>
    <cellStyle name="20% - Accent4 5 2 7 2" xfId="18934"/>
    <cellStyle name="20% - Accent4 5 2 7 2 2" xfId="28650"/>
    <cellStyle name="20% - Accent4 5 2 7 2 2 2" xfId="48404"/>
    <cellStyle name="20% - Accent4 5 2 7 2 3" xfId="38760"/>
    <cellStyle name="20% - Accent4 5 2 7 3" xfId="23840"/>
    <cellStyle name="20% - Accent4 5 2 7 3 2" xfId="43595"/>
    <cellStyle name="20% - Accent4 5 2 7 4" xfId="33951"/>
    <cellStyle name="20% - Accent4 5 2 8" xfId="3642"/>
    <cellStyle name="20% - Accent4 5 2 8 2" xfId="18935"/>
    <cellStyle name="20% - Accent4 5 2 8 2 2" xfId="28651"/>
    <cellStyle name="20% - Accent4 5 2 8 2 2 2" xfId="48405"/>
    <cellStyle name="20% - Accent4 5 2 8 2 3" xfId="38761"/>
    <cellStyle name="20% - Accent4 5 2 8 3" xfId="23841"/>
    <cellStyle name="20% - Accent4 5 2 8 3 2" xfId="43596"/>
    <cellStyle name="20% - Accent4 5 2 8 4" xfId="33952"/>
    <cellStyle name="20% - Accent4 5 2 9" xfId="3643"/>
    <cellStyle name="20% - Accent4 5 2 9 2" xfId="18936"/>
    <cellStyle name="20% - Accent4 5 2 9 2 2" xfId="28652"/>
    <cellStyle name="20% - Accent4 5 2 9 2 2 2" xfId="48406"/>
    <cellStyle name="20% - Accent4 5 2 9 2 3" xfId="38762"/>
    <cellStyle name="20% - Accent4 5 2 9 3" xfId="23842"/>
    <cellStyle name="20% - Accent4 5 2 9 3 2" xfId="43597"/>
    <cellStyle name="20% - Accent4 5 2 9 4" xfId="33953"/>
    <cellStyle name="20% - Accent4 5 3" xfId="788"/>
    <cellStyle name="20% - Accent4 5 3 2" xfId="3644"/>
    <cellStyle name="20% - Accent4 5 3 2 2" xfId="3645"/>
    <cellStyle name="20% - Accent4 5 3 2 2 2" xfId="3646"/>
    <cellStyle name="20% - Accent4 5 3 2 2 2 2" xfId="18939"/>
    <cellStyle name="20% - Accent4 5 3 2 2 2 2 2" xfId="28655"/>
    <cellStyle name="20% - Accent4 5 3 2 2 2 2 2 2" xfId="48409"/>
    <cellStyle name="20% - Accent4 5 3 2 2 2 2 3" xfId="38765"/>
    <cellStyle name="20% - Accent4 5 3 2 2 2 3" xfId="23845"/>
    <cellStyle name="20% - Accent4 5 3 2 2 2 3 2" xfId="43600"/>
    <cellStyle name="20% - Accent4 5 3 2 2 2 4" xfId="33956"/>
    <cellStyle name="20% - Accent4 5 3 2 2 3" xfId="18938"/>
    <cellStyle name="20% - Accent4 5 3 2 2 3 2" xfId="28654"/>
    <cellStyle name="20% - Accent4 5 3 2 2 3 2 2" xfId="48408"/>
    <cellStyle name="20% - Accent4 5 3 2 2 3 3" xfId="38764"/>
    <cellStyle name="20% - Accent4 5 3 2 2 4" xfId="23844"/>
    <cellStyle name="20% - Accent4 5 3 2 2 4 2" xfId="43599"/>
    <cellStyle name="20% - Accent4 5 3 2 2 5" xfId="33955"/>
    <cellStyle name="20% - Accent4 5 3 2 3" xfId="3647"/>
    <cellStyle name="20% - Accent4 5 3 2 3 2" xfId="18940"/>
    <cellStyle name="20% - Accent4 5 3 2 3 2 2" xfId="28656"/>
    <cellStyle name="20% - Accent4 5 3 2 3 2 2 2" xfId="48410"/>
    <cellStyle name="20% - Accent4 5 3 2 3 2 3" xfId="38766"/>
    <cellStyle name="20% - Accent4 5 3 2 3 3" xfId="23846"/>
    <cellStyle name="20% - Accent4 5 3 2 3 3 2" xfId="43601"/>
    <cellStyle name="20% - Accent4 5 3 2 3 4" xfId="33957"/>
    <cellStyle name="20% - Accent4 5 3 2 4" xfId="18937"/>
    <cellStyle name="20% - Accent4 5 3 2 4 2" xfId="28653"/>
    <cellStyle name="20% - Accent4 5 3 2 4 2 2" xfId="48407"/>
    <cellStyle name="20% - Accent4 5 3 2 4 3" xfId="38763"/>
    <cellStyle name="20% - Accent4 5 3 2 5" xfId="23843"/>
    <cellStyle name="20% - Accent4 5 3 2 5 2" xfId="43598"/>
    <cellStyle name="20% - Accent4 5 3 2 6" xfId="33954"/>
    <cellStyle name="20% - Accent4 5 3 3" xfId="3648"/>
    <cellStyle name="20% - Accent4 5 3 3 2" xfId="3649"/>
    <cellStyle name="20% - Accent4 5 3 3 2 2" xfId="18942"/>
    <cellStyle name="20% - Accent4 5 3 3 2 2 2" xfId="28658"/>
    <cellStyle name="20% - Accent4 5 3 3 2 2 2 2" xfId="48412"/>
    <cellStyle name="20% - Accent4 5 3 3 2 2 3" xfId="38768"/>
    <cellStyle name="20% - Accent4 5 3 3 2 3" xfId="23848"/>
    <cellStyle name="20% - Accent4 5 3 3 2 3 2" xfId="43603"/>
    <cellStyle name="20% - Accent4 5 3 3 2 4" xfId="33959"/>
    <cellStyle name="20% - Accent4 5 3 3 3" xfId="18941"/>
    <cellStyle name="20% - Accent4 5 3 3 3 2" xfId="28657"/>
    <cellStyle name="20% - Accent4 5 3 3 3 2 2" xfId="48411"/>
    <cellStyle name="20% - Accent4 5 3 3 3 3" xfId="38767"/>
    <cellStyle name="20% - Accent4 5 3 3 4" xfId="23847"/>
    <cellStyle name="20% - Accent4 5 3 3 4 2" xfId="43602"/>
    <cellStyle name="20% - Accent4 5 3 3 5" xfId="33958"/>
    <cellStyle name="20% - Accent4 5 3 4" xfId="3650"/>
    <cellStyle name="20% - Accent4 5 3 4 2" xfId="18943"/>
    <cellStyle name="20% - Accent4 5 3 4 2 2" xfId="28659"/>
    <cellStyle name="20% - Accent4 5 3 4 2 2 2" xfId="48413"/>
    <cellStyle name="20% - Accent4 5 3 4 2 3" xfId="38769"/>
    <cellStyle name="20% - Accent4 5 3 4 3" xfId="23849"/>
    <cellStyle name="20% - Accent4 5 3 4 3 2" xfId="43604"/>
    <cellStyle name="20% - Accent4 5 3 4 4" xfId="33960"/>
    <cellStyle name="20% - Accent4 5 3 5" xfId="15456"/>
    <cellStyle name="20% - Accent4 5 3 5 2" xfId="20328"/>
    <cellStyle name="20% - Accent4 5 3 5 2 2" xfId="30042"/>
    <cellStyle name="20% - Accent4 5 3 5 2 2 2" xfId="49795"/>
    <cellStyle name="20% - Accent4 5 3 5 2 3" xfId="40151"/>
    <cellStyle name="20% - Accent4 5 3 5 3" xfId="25230"/>
    <cellStyle name="20% - Accent4 5 3 5 3 2" xfId="44984"/>
    <cellStyle name="20% - Accent4 5 3 5 4" xfId="35340"/>
    <cellStyle name="20% - Accent4 5 3 6" xfId="16135"/>
    <cellStyle name="20% - Accent4 5 3 6 2" xfId="25851"/>
    <cellStyle name="20% - Accent4 5 3 6 2 2" xfId="45605"/>
    <cellStyle name="20% - Accent4 5 3 6 3" xfId="35961"/>
    <cellStyle name="20% - Accent4 5 3 7" xfId="21041"/>
    <cellStyle name="20% - Accent4 5 3 7 2" xfId="40796"/>
    <cellStyle name="20% - Accent4 5 3 8" xfId="30471"/>
    <cellStyle name="20% - Accent4 5 3 8 2" xfId="50219"/>
    <cellStyle name="20% - Accent4 5 3 9" xfId="31152"/>
    <cellStyle name="20% - Accent4 5 4" xfId="789"/>
    <cellStyle name="20% - Accent4 5 4 2" xfId="3651"/>
    <cellStyle name="20% - Accent4 5 4 2 2" xfId="3652"/>
    <cellStyle name="20% - Accent4 5 4 2 2 2" xfId="3653"/>
    <cellStyle name="20% - Accent4 5 4 2 2 2 2" xfId="18946"/>
    <cellStyle name="20% - Accent4 5 4 2 2 2 2 2" xfId="28662"/>
    <cellStyle name="20% - Accent4 5 4 2 2 2 2 2 2" xfId="48416"/>
    <cellStyle name="20% - Accent4 5 4 2 2 2 2 3" xfId="38772"/>
    <cellStyle name="20% - Accent4 5 4 2 2 2 3" xfId="23852"/>
    <cellStyle name="20% - Accent4 5 4 2 2 2 3 2" xfId="43607"/>
    <cellStyle name="20% - Accent4 5 4 2 2 2 4" xfId="33963"/>
    <cellStyle name="20% - Accent4 5 4 2 2 3" xfId="18945"/>
    <cellStyle name="20% - Accent4 5 4 2 2 3 2" xfId="28661"/>
    <cellStyle name="20% - Accent4 5 4 2 2 3 2 2" xfId="48415"/>
    <cellStyle name="20% - Accent4 5 4 2 2 3 3" xfId="38771"/>
    <cellStyle name="20% - Accent4 5 4 2 2 4" xfId="23851"/>
    <cellStyle name="20% - Accent4 5 4 2 2 4 2" xfId="43606"/>
    <cellStyle name="20% - Accent4 5 4 2 2 5" xfId="33962"/>
    <cellStyle name="20% - Accent4 5 4 2 3" xfId="3654"/>
    <cellStyle name="20% - Accent4 5 4 2 3 2" xfId="18947"/>
    <cellStyle name="20% - Accent4 5 4 2 3 2 2" xfId="28663"/>
    <cellStyle name="20% - Accent4 5 4 2 3 2 2 2" xfId="48417"/>
    <cellStyle name="20% - Accent4 5 4 2 3 2 3" xfId="38773"/>
    <cellStyle name="20% - Accent4 5 4 2 3 3" xfId="23853"/>
    <cellStyle name="20% - Accent4 5 4 2 3 3 2" xfId="43608"/>
    <cellStyle name="20% - Accent4 5 4 2 3 4" xfId="33964"/>
    <cellStyle name="20% - Accent4 5 4 2 4" xfId="18944"/>
    <cellStyle name="20% - Accent4 5 4 2 4 2" xfId="28660"/>
    <cellStyle name="20% - Accent4 5 4 2 4 2 2" xfId="48414"/>
    <cellStyle name="20% - Accent4 5 4 2 4 3" xfId="38770"/>
    <cellStyle name="20% - Accent4 5 4 2 5" xfId="23850"/>
    <cellStyle name="20% - Accent4 5 4 2 5 2" xfId="43605"/>
    <cellStyle name="20% - Accent4 5 4 2 6" xfId="33961"/>
    <cellStyle name="20% - Accent4 5 4 3" xfId="3655"/>
    <cellStyle name="20% - Accent4 5 4 3 2" xfId="3656"/>
    <cellStyle name="20% - Accent4 5 4 3 2 2" xfId="18949"/>
    <cellStyle name="20% - Accent4 5 4 3 2 2 2" xfId="28665"/>
    <cellStyle name="20% - Accent4 5 4 3 2 2 2 2" xfId="48419"/>
    <cellStyle name="20% - Accent4 5 4 3 2 2 3" xfId="38775"/>
    <cellStyle name="20% - Accent4 5 4 3 2 3" xfId="23855"/>
    <cellStyle name="20% - Accent4 5 4 3 2 3 2" xfId="43610"/>
    <cellStyle name="20% - Accent4 5 4 3 2 4" xfId="33966"/>
    <cellStyle name="20% - Accent4 5 4 3 3" xfId="18948"/>
    <cellStyle name="20% - Accent4 5 4 3 3 2" xfId="28664"/>
    <cellStyle name="20% - Accent4 5 4 3 3 2 2" xfId="48418"/>
    <cellStyle name="20% - Accent4 5 4 3 3 3" xfId="38774"/>
    <cellStyle name="20% - Accent4 5 4 3 4" xfId="23854"/>
    <cellStyle name="20% - Accent4 5 4 3 4 2" xfId="43609"/>
    <cellStyle name="20% - Accent4 5 4 3 5" xfId="33965"/>
    <cellStyle name="20% - Accent4 5 4 4" xfId="3657"/>
    <cellStyle name="20% - Accent4 5 4 4 2" xfId="18950"/>
    <cellStyle name="20% - Accent4 5 4 4 2 2" xfId="28666"/>
    <cellStyle name="20% - Accent4 5 4 4 2 2 2" xfId="48420"/>
    <cellStyle name="20% - Accent4 5 4 4 2 3" xfId="38776"/>
    <cellStyle name="20% - Accent4 5 4 4 3" xfId="23856"/>
    <cellStyle name="20% - Accent4 5 4 4 3 2" xfId="43611"/>
    <cellStyle name="20% - Accent4 5 4 4 4" xfId="33967"/>
    <cellStyle name="20% - Accent4 5 4 5" xfId="16136"/>
    <cellStyle name="20% - Accent4 5 4 5 2" xfId="25852"/>
    <cellStyle name="20% - Accent4 5 4 5 2 2" xfId="45606"/>
    <cellStyle name="20% - Accent4 5 4 5 3" xfId="35962"/>
    <cellStyle name="20% - Accent4 5 4 6" xfId="21042"/>
    <cellStyle name="20% - Accent4 5 4 6 2" xfId="40797"/>
    <cellStyle name="20% - Accent4 5 4 7" xfId="31153"/>
    <cellStyle name="20% - Accent4 5 5" xfId="3658"/>
    <cellStyle name="20% - Accent4 5 5 2" xfId="3659"/>
    <cellStyle name="20% - Accent4 5 5 2 2" xfId="3660"/>
    <cellStyle name="20% - Accent4 5 5 2 2 2" xfId="3661"/>
    <cellStyle name="20% - Accent4 5 5 2 2 2 2" xfId="18954"/>
    <cellStyle name="20% - Accent4 5 5 2 2 2 2 2" xfId="28670"/>
    <cellStyle name="20% - Accent4 5 5 2 2 2 2 2 2" xfId="48424"/>
    <cellStyle name="20% - Accent4 5 5 2 2 2 2 3" xfId="38780"/>
    <cellStyle name="20% - Accent4 5 5 2 2 2 3" xfId="23860"/>
    <cellStyle name="20% - Accent4 5 5 2 2 2 3 2" xfId="43615"/>
    <cellStyle name="20% - Accent4 5 5 2 2 2 4" xfId="33971"/>
    <cellStyle name="20% - Accent4 5 5 2 2 3" xfId="18953"/>
    <cellStyle name="20% - Accent4 5 5 2 2 3 2" xfId="28669"/>
    <cellStyle name="20% - Accent4 5 5 2 2 3 2 2" xfId="48423"/>
    <cellStyle name="20% - Accent4 5 5 2 2 3 3" xfId="38779"/>
    <cellStyle name="20% - Accent4 5 5 2 2 4" xfId="23859"/>
    <cellStyle name="20% - Accent4 5 5 2 2 4 2" xfId="43614"/>
    <cellStyle name="20% - Accent4 5 5 2 2 5" xfId="33970"/>
    <cellStyle name="20% - Accent4 5 5 2 3" xfId="3662"/>
    <cellStyle name="20% - Accent4 5 5 2 3 2" xfId="18955"/>
    <cellStyle name="20% - Accent4 5 5 2 3 2 2" xfId="28671"/>
    <cellStyle name="20% - Accent4 5 5 2 3 2 2 2" xfId="48425"/>
    <cellStyle name="20% - Accent4 5 5 2 3 2 3" xfId="38781"/>
    <cellStyle name="20% - Accent4 5 5 2 3 3" xfId="23861"/>
    <cellStyle name="20% - Accent4 5 5 2 3 3 2" xfId="43616"/>
    <cellStyle name="20% - Accent4 5 5 2 3 4" xfId="33972"/>
    <cellStyle name="20% - Accent4 5 5 2 4" xfId="18952"/>
    <cellStyle name="20% - Accent4 5 5 2 4 2" xfId="28668"/>
    <cellStyle name="20% - Accent4 5 5 2 4 2 2" xfId="48422"/>
    <cellStyle name="20% - Accent4 5 5 2 4 3" xfId="38778"/>
    <cellStyle name="20% - Accent4 5 5 2 5" xfId="23858"/>
    <cellStyle name="20% - Accent4 5 5 2 5 2" xfId="43613"/>
    <cellStyle name="20% - Accent4 5 5 2 6" xfId="33969"/>
    <cellStyle name="20% - Accent4 5 5 3" xfId="3663"/>
    <cellStyle name="20% - Accent4 5 5 3 2" xfId="3664"/>
    <cellStyle name="20% - Accent4 5 5 3 2 2" xfId="18957"/>
    <cellStyle name="20% - Accent4 5 5 3 2 2 2" xfId="28673"/>
    <cellStyle name="20% - Accent4 5 5 3 2 2 2 2" xfId="48427"/>
    <cellStyle name="20% - Accent4 5 5 3 2 2 3" xfId="38783"/>
    <cellStyle name="20% - Accent4 5 5 3 2 3" xfId="23863"/>
    <cellStyle name="20% - Accent4 5 5 3 2 3 2" xfId="43618"/>
    <cellStyle name="20% - Accent4 5 5 3 2 4" xfId="33974"/>
    <cellStyle name="20% - Accent4 5 5 3 3" xfId="18956"/>
    <cellStyle name="20% - Accent4 5 5 3 3 2" xfId="28672"/>
    <cellStyle name="20% - Accent4 5 5 3 3 2 2" xfId="48426"/>
    <cellStyle name="20% - Accent4 5 5 3 3 3" xfId="38782"/>
    <cellStyle name="20% - Accent4 5 5 3 4" xfId="23862"/>
    <cellStyle name="20% - Accent4 5 5 3 4 2" xfId="43617"/>
    <cellStyle name="20% - Accent4 5 5 3 5" xfId="33973"/>
    <cellStyle name="20% - Accent4 5 5 4" xfId="3665"/>
    <cellStyle name="20% - Accent4 5 5 4 2" xfId="18958"/>
    <cellStyle name="20% - Accent4 5 5 4 2 2" xfId="28674"/>
    <cellStyle name="20% - Accent4 5 5 4 2 2 2" xfId="48428"/>
    <cellStyle name="20% - Accent4 5 5 4 2 3" xfId="38784"/>
    <cellStyle name="20% - Accent4 5 5 4 3" xfId="23864"/>
    <cellStyle name="20% - Accent4 5 5 4 3 2" xfId="43619"/>
    <cellStyle name="20% - Accent4 5 5 4 4" xfId="33975"/>
    <cellStyle name="20% - Accent4 5 5 5" xfId="18951"/>
    <cellStyle name="20% - Accent4 5 5 5 2" xfId="28667"/>
    <cellStyle name="20% - Accent4 5 5 5 2 2" xfId="48421"/>
    <cellStyle name="20% - Accent4 5 5 5 3" xfId="38777"/>
    <cellStyle name="20% - Accent4 5 5 6" xfId="23857"/>
    <cellStyle name="20% - Accent4 5 5 6 2" xfId="43612"/>
    <cellStyle name="20% - Accent4 5 5 7" xfId="33968"/>
    <cellStyle name="20% - Accent4 5 6" xfId="3666"/>
    <cellStyle name="20% - Accent4 5 6 2" xfId="3667"/>
    <cellStyle name="20% - Accent4 5 6 2 2" xfId="3668"/>
    <cellStyle name="20% - Accent4 5 6 2 2 2" xfId="18961"/>
    <cellStyle name="20% - Accent4 5 6 2 2 2 2" xfId="28677"/>
    <cellStyle name="20% - Accent4 5 6 2 2 2 2 2" xfId="48431"/>
    <cellStyle name="20% - Accent4 5 6 2 2 2 3" xfId="38787"/>
    <cellStyle name="20% - Accent4 5 6 2 2 3" xfId="23867"/>
    <cellStyle name="20% - Accent4 5 6 2 2 3 2" xfId="43622"/>
    <cellStyle name="20% - Accent4 5 6 2 2 4" xfId="33978"/>
    <cellStyle name="20% - Accent4 5 6 2 3" xfId="18960"/>
    <cellStyle name="20% - Accent4 5 6 2 3 2" xfId="28676"/>
    <cellStyle name="20% - Accent4 5 6 2 3 2 2" xfId="48430"/>
    <cellStyle name="20% - Accent4 5 6 2 3 3" xfId="38786"/>
    <cellStyle name="20% - Accent4 5 6 2 4" xfId="23866"/>
    <cellStyle name="20% - Accent4 5 6 2 4 2" xfId="43621"/>
    <cellStyle name="20% - Accent4 5 6 2 5" xfId="33977"/>
    <cellStyle name="20% - Accent4 5 6 3" xfId="3669"/>
    <cellStyle name="20% - Accent4 5 6 3 2" xfId="18962"/>
    <cellStyle name="20% - Accent4 5 6 3 2 2" xfId="28678"/>
    <cellStyle name="20% - Accent4 5 6 3 2 2 2" xfId="48432"/>
    <cellStyle name="20% - Accent4 5 6 3 2 3" xfId="38788"/>
    <cellStyle name="20% - Accent4 5 6 3 3" xfId="23868"/>
    <cellStyle name="20% - Accent4 5 6 3 3 2" xfId="43623"/>
    <cellStyle name="20% - Accent4 5 6 3 4" xfId="33979"/>
    <cellStyle name="20% - Accent4 5 6 4" xfId="18959"/>
    <cellStyle name="20% - Accent4 5 6 4 2" xfId="28675"/>
    <cellStyle name="20% - Accent4 5 6 4 2 2" xfId="48429"/>
    <cellStyle name="20% - Accent4 5 6 4 3" xfId="38785"/>
    <cellStyle name="20% - Accent4 5 6 5" xfId="23865"/>
    <cellStyle name="20% - Accent4 5 6 5 2" xfId="43620"/>
    <cellStyle name="20% - Accent4 5 6 6" xfId="33976"/>
    <cellStyle name="20% - Accent4 5 7" xfId="3670"/>
    <cellStyle name="20% - Accent4 5 7 2" xfId="3671"/>
    <cellStyle name="20% - Accent4 5 7 2 2" xfId="18964"/>
    <cellStyle name="20% - Accent4 5 7 2 2 2" xfId="28680"/>
    <cellStyle name="20% - Accent4 5 7 2 2 2 2" xfId="48434"/>
    <cellStyle name="20% - Accent4 5 7 2 2 3" xfId="38790"/>
    <cellStyle name="20% - Accent4 5 7 2 3" xfId="23870"/>
    <cellStyle name="20% - Accent4 5 7 2 3 2" xfId="43625"/>
    <cellStyle name="20% - Accent4 5 7 2 4" xfId="33981"/>
    <cellStyle name="20% - Accent4 5 7 3" xfId="18963"/>
    <cellStyle name="20% - Accent4 5 7 3 2" xfId="28679"/>
    <cellStyle name="20% - Accent4 5 7 3 2 2" xfId="48433"/>
    <cellStyle name="20% - Accent4 5 7 3 3" xfId="38789"/>
    <cellStyle name="20% - Accent4 5 7 4" xfId="23869"/>
    <cellStyle name="20% - Accent4 5 7 4 2" xfId="43624"/>
    <cellStyle name="20% - Accent4 5 7 5" xfId="33980"/>
    <cellStyle name="20% - Accent4 5 8" xfId="3672"/>
    <cellStyle name="20% - Accent4 5 8 2" xfId="3673"/>
    <cellStyle name="20% - Accent4 5 8 2 2" xfId="18966"/>
    <cellStyle name="20% - Accent4 5 8 2 2 2" xfId="28682"/>
    <cellStyle name="20% - Accent4 5 8 2 2 2 2" xfId="48436"/>
    <cellStyle name="20% - Accent4 5 8 2 2 3" xfId="38792"/>
    <cellStyle name="20% - Accent4 5 8 2 3" xfId="23872"/>
    <cellStyle name="20% - Accent4 5 8 2 3 2" xfId="43627"/>
    <cellStyle name="20% - Accent4 5 8 2 4" xfId="33983"/>
    <cellStyle name="20% - Accent4 5 8 3" xfId="18965"/>
    <cellStyle name="20% - Accent4 5 8 3 2" xfId="28681"/>
    <cellStyle name="20% - Accent4 5 8 3 2 2" xfId="48435"/>
    <cellStyle name="20% - Accent4 5 8 3 3" xfId="38791"/>
    <cellStyle name="20% - Accent4 5 8 4" xfId="23871"/>
    <cellStyle name="20% - Accent4 5 8 4 2" xfId="43626"/>
    <cellStyle name="20% - Accent4 5 8 5" xfId="33982"/>
    <cellStyle name="20% - Accent4 5 9" xfId="3674"/>
    <cellStyle name="20% - Accent4 5 9 2" xfId="18967"/>
    <cellStyle name="20% - Accent4 5 9 2 2" xfId="28683"/>
    <cellStyle name="20% - Accent4 5 9 2 2 2" xfId="48437"/>
    <cellStyle name="20% - Accent4 5 9 2 3" xfId="38793"/>
    <cellStyle name="20% - Accent4 5 9 3" xfId="23873"/>
    <cellStyle name="20% - Accent4 5 9 3 2" xfId="43628"/>
    <cellStyle name="20% - Accent4 5 9 4" xfId="33984"/>
    <cellStyle name="20% - Accent4 6" xfId="74"/>
    <cellStyle name="20% - Accent4 6 10" xfId="3675"/>
    <cellStyle name="20% - Accent4 6 10 2" xfId="18968"/>
    <cellStyle name="20% - Accent4 6 10 2 2" xfId="28684"/>
    <cellStyle name="20% - Accent4 6 10 2 2 2" xfId="48438"/>
    <cellStyle name="20% - Accent4 6 10 2 3" xfId="38794"/>
    <cellStyle name="20% - Accent4 6 10 3" xfId="23874"/>
    <cellStyle name="20% - Accent4 6 10 3 2" xfId="43629"/>
    <cellStyle name="20% - Accent4 6 10 4" xfId="33985"/>
    <cellStyle name="20% - Accent4 6 11" xfId="3676"/>
    <cellStyle name="20% - Accent4 6 11 2" xfId="18969"/>
    <cellStyle name="20% - Accent4 6 11 2 2" xfId="28685"/>
    <cellStyle name="20% - Accent4 6 11 2 2 2" xfId="48439"/>
    <cellStyle name="20% - Accent4 6 11 2 3" xfId="38795"/>
    <cellStyle name="20% - Accent4 6 11 3" xfId="23875"/>
    <cellStyle name="20% - Accent4 6 11 3 2" xfId="43630"/>
    <cellStyle name="20% - Accent4 6 11 4" xfId="33986"/>
    <cellStyle name="20% - Accent4 6 12" xfId="15457"/>
    <cellStyle name="20% - Accent4 6 12 2" xfId="20329"/>
    <cellStyle name="20% - Accent4 6 12 2 2" xfId="30043"/>
    <cellStyle name="20% - Accent4 6 12 2 2 2" xfId="49796"/>
    <cellStyle name="20% - Accent4 6 12 2 3" xfId="40152"/>
    <cellStyle name="20% - Accent4 6 12 3" xfId="25231"/>
    <cellStyle name="20% - Accent4 6 12 3 2" xfId="44985"/>
    <cellStyle name="20% - Accent4 6 12 4" xfId="35341"/>
    <cellStyle name="20% - Accent4 6 13" xfId="15869"/>
    <cellStyle name="20% - Accent4 6 13 2" xfId="25585"/>
    <cellStyle name="20% - Accent4 6 13 2 2" xfId="45339"/>
    <cellStyle name="20% - Accent4 6 13 3" xfId="35695"/>
    <cellStyle name="20% - Accent4 6 14" xfId="20744"/>
    <cellStyle name="20% - Accent4 6 14 2" xfId="40524"/>
    <cellStyle name="20% - Accent4 6 15" xfId="30472"/>
    <cellStyle name="20% - Accent4 6 15 2" xfId="50220"/>
    <cellStyle name="20% - Accent4 6 16" xfId="30855"/>
    <cellStyle name="20% - Accent4 6 2" xfId="75"/>
    <cellStyle name="20% - Accent4 6 2 10" xfId="15458"/>
    <cellStyle name="20% - Accent4 6 2 10 2" xfId="20330"/>
    <cellStyle name="20% - Accent4 6 2 10 2 2" xfId="30044"/>
    <cellStyle name="20% - Accent4 6 2 10 2 2 2" xfId="49797"/>
    <cellStyle name="20% - Accent4 6 2 10 2 3" xfId="40153"/>
    <cellStyle name="20% - Accent4 6 2 10 3" xfId="25232"/>
    <cellStyle name="20% - Accent4 6 2 10 3 2" xfId="44986"/>
    <cellStyle name="20% - Accent4 6 2 10 4" xfId="35342"/>
    <cellStyle name="20% - Accent4 6 2 11" xfId="15870"/>
    <cellStyle name="20% - Accent4 6 2 11 2" xfId="25586"/>
    <cellStyle name="20% - Accent4 6 2 11 2 2" xfId="45340"/>
    <cellStyle name="20% - Accent4 6 2 11 3" xfId="35696"/>
    <cellStyle name="20% - Accent4 6 2 12" xfId="20745"/>
    <cellStyle name="20% - Accent4 6 2 12 2" xfId="40525"/>
    <cellStyle name="20% - Accent4 6 2 13" xfId="30473"/>
    <cellStyle name="20% - Accent4 6 2 13 2" xfId="50221"/>
    <cellStyle name="20% - Accent4 6 2 14" xfId="30856"/>
    <cellStyle name="20% - Accent4 6 2 2" xfId="790"/>
    <cellStyle name="20% - Accent4 6 2 2 2" xfId="3677"/>
    <cellStyle name="20% - Accent4 6 2 2 2 2" xfId="3678"/>
    <cellStyle name="20% - Accent4 6 2 2 2 2 2" xfId="3679"/>
    <cellStyle name="20% - Accent4 6 2 2 2 2 2 2" xfId="18972"/>
    <cellStyle name="20% - Accent4 6 2 2 2 2 2 2 2" xfId="28688"/>
    <cellStyle name="20% - Accent4 6 2 2 2 2 2 2 2 2" xfId="48442"/>
    <cellStyle name="20% - Accent4 6 2 2 2 2 2 2 3" xfId="38798"/>
    <cellStyle name="20% - Accent4 6 2 2 2 2 2 3" xfId="23878"/>
    <cellStyle name="20% - Accent4 6 2 2 2 2 2 3 2" xfId="43633"/>
    <cellStyle name="20% - Accent4 6 2 2 2 2 2 4" xfId="33989"/>
    <cellStyle name="20% - Accent4 6 2 2 2 2 3" xfId="18971"/>
    <cellStyle name="20% - Accent4 6 2 2 2 2 3 2" xfId="28687"/>
    <cellStyle name="20% - Accent4 6 2 2 2 2 3 2 2" xfId="48441"/>
    <cellStyle name="20% - Accent4 6 2 2 2 2 3 3" xfId="38797"/>
    <cellStyle name="20% - Accent4 6 2 2 2 2 4" xfId="23877"/>
    <cellStyle name="20% - Accent4 6 2 2 2 2 4 2" xfId="43632"/>
    <cellStyle name="20% - Accent4 6 2 2 2 2 5" xfId="33988"/>
    <cellStyle name="20% - Accent4 6 2 2 2 3" xfId="3680"/>
    <cellStyle name="20% - Accent4 6 2 2 2 3 2" xfId="18973"/>
    <cellStyle name="20% - Accent4 6 2 2 2 3 2 2" xfId="28689"/>
    <cellStyle name="20% - Accent4 6 2 2 2 3 2 2 2" xfId="48443"/>
    <cellStyle name="20% - Accent4 6 2 2 2 3 2 3" xfId="38799"/>
    <cellStyle name="20% - Accent4 6 2 2 2 3 3" xfId="23879"/>
    <cellStyle name="20% - Accent4 6 2 2 2 3 3 2" xfId="43634"/>
    <cellStyle name="20% - Accent4 6 2 2 2 3 4" xfId="33990"/>
    <cellStyle name="20% - Accent4 6 2 2 2 4" xfId="18970"/>
    <cellStyle name="20% - Accent4 6 2 2 2 4 2" xfId="28686"/>
    <cellStyle name="20% - Accent4 6 2 2 2 4 2 2" xfId="48440"/>
    <cellStyle name="20% - Accent4 6 2 2 2 4 3" xfId="38796"/>
    <cellStyle name="20% - Accent4 6 2 2 2 5" xfId="23876"/>
    <cellStyle name="20% - Accent4 6 2 2 2 5 2" xfId="43631"/>
    <cellStyle name="20% - Accent4 6 2 2 2 6" xfId="33987"/>
    <cellStyle name="20% - Accent4 6 2 2 3" xfId="3681"/>
    <cellStyle name="20% - Accent4 6 2 2 3 2" xfId="3682"/>
    <cellStyle name="20% - Accent4 6 2 2 3 2 2" xfId="18975"/>
    <cellStyle name="20% - Accent4 6 2 2 3 2 2 2" xfId="28691"/>
    <cellStyle name="20% - Accent4 6 2 2 3 2 2 2 2" xfId="48445"/>
    <cellStyle name="20% - Accent4 6 2 2 3 2 2 3" xfId="38801"/>
    <cellStyle name="20% - Accent4 6 2 2 3 2 3" xfId="23881"/>
    <cellStyle name="20% - Accent4 6 2 2 3 2 3 2" xfId="43636"/>
    <cellStyle name="20% - Accent4 6 2 2 3 2 4" xfId="33992"/>
    <cellStyle name="20% - Accent4 6 2 2 3 3" xfId="18974"/>
    <cellStyle name="20% - Accent4 6 2 2 3 3 2" xfId="28690"/>
    <cellStyle name="20% - Accent4 6 2 2 3 3 2 2" xfId="48444"/>
    <cellStyle name="20% - Accent4 6 2 2 3 3 3" xfId="38800"/>
    <cellStyle name="20% - Accent4 6 2 2 3 4" xfId="23880"/>
    <cellStyle name="20% - Accent4 6 2 2 3 4 2" xfId="43635"/>
    <cellStyle name="20% - Accent4 6 2 2 3 5" xfId="33991"/>
    <cellStyle name="20% - Accent4 6 2 2 4" xfId="3683"/>
    <cellStyle name="20% - Accent4 6 2 2 4 2" xfId="18976"/>
    <cellStyle name="20% - Accent4 6 2 2 4 2 2" xfId="28692"/>
    <cellStyle name="20% - Accent4 6 2 2 4 2 2 2" xfId="48446"/>
    <cellStyle name="20% - Accent4 6 2 2 4 2 3" xfId="38802"/>
    <cellStyle name="20% - Accent4 6 2 2 4 3" xfId="23882"/>
    <cellStyle name="20% - Accent4 6 2 2 4 3 2" xfId="43637"/>
    <cellStyle name="20% - Accent4 6 2 2 4 4" xfId="33993"/>
    <cellStyle name="20% - Accent4 6 2 2 5" xfId="15459"/>
    <cellStyle name="20% - Accent4 6 2 2 5 2" xfId="20331"/>
    <cellStyle name="20% - Accent4 6 2 2 5 2 2" xfId="30045"/>
    <cellStyle name="20% - Accent4 6 2 2 5 2 2 2" xfId="49798"/>
    <cellStyle name="20% - Accent4 6 2 2 5 2 3" xfId="40154"/>
    <cellStyle name="20% - Accent4 6 2 2 5 3" xfId="25233"/>
    <cellStyle name="20% - Accent4 6 2 2 5 3 2" xfId="44987"/>
    <cellStyle name="20% - Accent4 6 2 2 5 4" xfId="35343"/>
    <cellStyle name="20% - Accent4 6 2 2 6" xfId="16137"/>
    <cellStyle name="20% - Accent4 6 2 2 6 2" xfId="25853"/>
    <cellStyle name="20% - Accent4 6 2 2 6 2 2" xfId="45607"/>
    <cellStyle name="20% - Accent4 6 2 2 6 3" xfId="35963"/>
    <cellStyle name="20% - Accent4 6 2 2 7" xfId="21043"/>
    <cellStyle name="20% - Accent4 6 2 2 7 2" xfId="40798"/>
    <cellStyle name="20% - Accent4 6 2 2 8" xfId="30474"/>
    <cellStyle name="20% - Accent4 6 2 2 8 2" xfId="50222"/>
    <cellStyle name="20% - Accent4 6 2 2 9" xfId="31154"/>
    <cellStyle name="20% - Accent4 6 2 3" xfId="791"/>
    <cellStyle name="20% - Accent4 6 2 3 2" xfId="3684"/>
    <cellStyle name="20% - Accent4 6 2 3 2 2" xfId="3685"/>
    <cellStyle name="20% - Accent4 6 2 3 2 2 2" xfId="3686"/>
    <cellStyle name="20% - Accent4 6 2 3 2 2 2 2" xfId="18979"/>
    <cellStyle name="20% - Accent4 6 2 3 2 2 2 2 2" xfId="28695"/>
    <cellStyle name="20% - Accent4 6 2 3 2 2 2 2 2 2" xfId="48449"/>
    <cellStyle name="20% - Accent4 6 2 3 2 2 2 2 3" xfId="38805"/>
    <cellStyle name="20% - Accent4 6 2 3 2 2 2 3" xfId="23885"/>
    <cellStyle name="20% - Accent4 6 2 3 2 2 2 3 2" xfId="43640"/>
    <cellStyle name="20% - Accent4 6 2 3 2 2 2 4" xfId="33996"/>
    <cellStyle name="20% - Accent4 6 2 3 2 2 3" xfId="18978"/>
    <cellStyle name="20% - Accent4 6 2 3 2 2 3 2" xfId="28694"/>
    <cellStyle name="20% - Accent4 6 2 3 2 2 3 2 2" xfId="48448"/>
    <cellStyle name="20% - Accent4 6 2 3 2 2 3 3" xfId="38804"/>
    <cellStyle name="20% - Accent4 6 2 3 2 2 4" xfId="23884"/>
    <cellStyle name="20% - Accent4 6 2 3 2 2 4 2" xfId="43639"/>
    <cellStyle name="20% - Accent4 6 2 3 2 2 5" xfId="33995"/>
    <cellStyle name="20% - Accent4 6 2 3 2 3" xfId="3687"/>
    <cellStyle name="20% - Accent4 6 2 3 2 3 2" xfId="18980"/>
    <cellStyle name="20% - Accent4 6 2 3 2 3 2 2" xfId="28696"/>
    <cellStyle name="20% - Accent4 6 2 3 2 3 2 2 2" xfId="48450"/>
    <cellStyle name="20% - Accent4 6 2 3 2 3 2 3" xfId="38806"/>
    <cellStyle name="20% - Accent4 6 2 3 2 3 3" xfId="23886"/>
    <cellStyle name="20% - Accent4 6 2 3 2 3 3 2" xfId="43641"/>
    <cellStyle name="20% - Accent4 6 2 3 2 3 4" xfId="33997"/>
    <cellStyle name="20% - Accent4 6 2 3 2 4" xfId="18977"/>
    <cellStyle name="20% - Accent4 6 2 3 2 4 2" xfId="28693"/>
    <cellStyle name="20% - Accent4 6 2 3 2 4 2 2" xfId="48447"/>
    <cellStyle name="20% - Accent4 6 2 3 2 4 3" xfId="38803"/>
    <cellStyle name="20% - Accent4 6 2 3 2 5" xfId="23883"/>
    <cellStyle name="20% - Accent4 6 2 3 2 5 2" xfId="43638"/>
    <cellStyle name="20% - Accent4 6 2 3 2 6" xfId="33994"/>
    <cellStyle name="20% - Accent4 6 2 3 3" xfId="3688"/>
    <cellStyle name="20% - Accent4 6 2 3 3 2" xfId="3689"/>
    <cellStyle name="20% - Accent4 6 2 3 3 2 2" xfId="18982"/>
    <cellStyle name="20% - Accent4 6 2 3 3 2 2 2" xfId="28698"/>
    <cellStyle name="20% - Accent4 6 2 3 3 2 2 2 2" xfId="48452"/>
    <cellStyle name="20% - Accent4 6 2 3 3 2 2 3" xfId="38808"/>
    <cellStyle name="20% - Accent4 6 2 3 3 2 3" xfId="23888"/>
    <cellStyle name="20% - Accent4 6 2 3 3 2 3 2" xfId="43643"/>
    <cellStyle name="20% - Accent4 6 2 3 3 2 4" xfId="33999"/>
    <cellStyle name="20% - Accent4 6 2 3 3 3" xfId="18981"/>
    <cellStyle name="20% - Accent4 6 2 3 3 3 2" xfId="28697"/>
    <cellStyle name="20% - Accent4 6 2 3 3 3 2 2" xfId="48451"/>
    <cellStyle name="20% - Accent4 6 2 3 3 3 3" xfId="38807"/>
    <cellStyle name="20% - Accent4 6 2 3 3 4" xfId="23887"/>
    <cellStyle name="20% - Accent4 6 2 3 3 4 2" xfId="43642"/>
    <cellStyle name="20% - Accent4 6 2 3 3 5" xfId="33998"/>
    <cellStyle name="20% - Accent4 6 2 3 4" xfId="3690"/>
    <cellStyle name="20% - Accent4 6 2 3 4 2" xfId="18983"/>
    <cellStyle name="20% - Accent4 6 2 3 4 2 2" xfId="28699"/>
    <cellStyle name="20% - Accent4 6 2 3 4 2 2 2" xfId="48453"/>
    <cellStyle name="20% - Accent4 6 2 3 4 2 3" xfId="38809"/>
    <cellStyle name="20% - Accent4 6 2 3 4 3" xfId="23889"/>
    <cellStyle name="20% - Accent4 6 2 3 4 3 2" xfId="43644"/>
    <cellStyle name="20% - Accent4 6 2 3 4 4" xfId="34000"/>
    <cellStyle name="20% - Accent4 6 2 3 5" xfId="16138"/>
    <cellStyle name="20% - Accent4 6 2 3 5 2" xfId="25854"/>
    <cellStyle name="20% - Accent4 6 2 3 5 2 2" xfId="45608"/>
    <cellStyle name="20% - Accent4 6 2 3 5 3" xfId="35964"/>
    <cellStyle name="20% - Accent4 6 2 3 6" xfId="21044"/>
    <cellStyle name="20% - Accent4 6 2 3 6 2" xfId="40799"/>
    <cellStyle name="20% - Accent4 6 2 3 7" xfId="31155"/>
    <cellStyle name="20% - Accent4 6 2 4" xfId="3691"/>
    <cellStyle name="20% - Accent4 6 2 4 2" xfId="3692"/>
    <cellStyle name="20% - Accent4 6 2 4 2 2" xfId="3693"/>
    <cellStyle name="20% - Accent4 6 2 4 2 2 2" xfId="3694"/>
    <cellStyle name="20% - Accent4 6 2 4 2 2 2 2" xfId="18987"/>
    <cellStyle name="20% - Accent4 6 2 4 2 2 2 2 2" xfId="28703"/>
    <cellStyle name="20% - Accent4 6 2 4 2 2 2 2 2 2" xfId="48457"/>
    <cellStyle name="20% - Accent4 6 2 4 2 2 2 2 3" xfId="38813"/>
    <cellStyle name="20% - Accent4 6 2 4 2 2 2 3" xfId="23893"/>
    <cellStyle name="20% - Accent4 6 2 4 2 2 2 3 2" xfId="43648"/>
    <cellStyle name="20% - Accent4 6 2 4 2 2 2 4" xfId="34004"/>
    <cellStyle name="20% - Accent4 6 2 4 2 2 3" xfId="18986"/>
    <cellStyle name="20% - Accent4 6 2 4 2 2 3 2" xfId="28702"/>
    <cellStyle name="20% - Accent4 6 2 4 2 2 3 2 2" xfId="48456"/>
    <cellStyle name="20% - Accent4 6 2 4 2 2 3 3" xfId="38812"/>
    <cellStyle name="20% - Accent4 6 2 4 2 2 4" xfId="23892"/>
    <cellStyle name="20% - Accent4 6 2 4 2 2 4 2" xfId="43647"/>
    <cellStyle name="20% - Accent4 6 2 4 2 2 5" xfId="34003"/>
    <cellStyle name="20% - Accent4 6 2 4 2 3" xfId="3695"/>
    <cellStyle name="20% - Accent4 6 2 4 2 3 2" xfId="18988"/>
    <cellStyle name="20% - Accent4 6 2 4 2 3 2 2" xfId="28704"/>
    <cellStyle name="20% - Accent4 6 2 4 2 3 2 2 2" xfId="48458"/>
    <cellStyle name="20% - Accent4 6 2 4 2 3 2 3" xfId="38814"/>
    <cellStyle name="20% - Accent4 6 2 4 2 3 3" xfId="23894"/>
    <cellStyle name="20% - Accent4 6 2 4 2 3 3 2" xfId="43649"/>
    <cellStyle name="20% - Accent4 6 2 4 2 3 4" xfId="34005"/>
    <cellStyle name="20% - Accent4 6 2 4 2 4" xfId="18985"/>
    <cellStyle name="20% - Accent4 6 2 4 2 4 2" xfId="28701"/>
    <cellStyle name="20% - Accent4 6 2 4 2 4 2 2" xfId="48455"/>
    <cellStyle name="20% - Accent4 6 2 4 2 4 3" xfId="38811"/>
    <cellStyle name="20% - Accent4 6 2 4 2 5" xfId="23891"/>
    <cellStyle name="20% - Accent4 6 2 4 2 5 2" xfId="43646"/>
    <cellStyle name="20% - Accent4 6 2 4 2 6" xfId="34002"/>
    <cellStyle name="20% - Accent4 6 2 4 3" xfId="3696"/>
    <cellStyle name="20% - Accent4 6 2 4 3 2" xfId="3697"/>
    <cellStyle name="20% - Accent4 6 2 4 3 2 2" xfId="18990"/>
    <cellStyle name="20% - Accent4 6 2 4 3 2 2 2" xfId="28706"/>
    <cellStyle name="20% - Accent4 6 2 4 3 2 2 2 2" xfId="48460"/>
    <cellStyle name="20% - Accent4 6 2 4 3 2 2 3" xfId="38816"/>
    <cellStyle name="20% - Accent4 6 2 4 3 2 3" xfId="23896"/>
    <cellStyle name="20% - Accent4 6 2 4 3 2 3 2" xfId="43651"/>
    <cellStyle name="20% - Accent4 6 2 4 3 2 4" xfId="34007"/>
    <cellStyle name="20% - Accent4 6 2 4 3 3" xfId="18989"/>
    <cellStyle name="20% - Accent4 6 2 4 3 3 2" xfId="28705"/>
    <cellStyle name="20% - Accent4 6 2 4 3 3 2 2" xfId="48459"/>
    <cellStyle name="20% - Accent4 6 2 4 3 3 3" xfId="38815"/>
    <cellStyle name="20% - Accent4 6 2 4 3 4" xfId="23895"/>
    <cellStyle name="20% - Accent4 6 2 4 3 4 2" xfId="43650"/>
    <cellStyle name="20% - Accent4 6 2 4 3 5" xfId="34006"/>
    <cellStyle name="20% - Accent4 6 2 4 4" xfId="3698"/>
    <cellStyle name="20% - Accent4 6 2 4 4 2" xfId="18991"/>
    <cellStyle name="20% - Accent4 6 2 4 4 2 2" xfId="28707"/>
    <cellStyle name="20% - Accent4 6 2 4 4 2 2 2" xfId="48461"/>
    <cellStyle name="20% - Accent4 6 2 4 4 2 3" xfId="38817"/>
    <cellStyle name="20% - Accent4 6 2 4 4 3" xfId="23897"/>
    <cellStyle name="20% - Accent4 6 2 4 4 3 2" xfId="43652"/>
    <cellStyle name="20% - Accent4 6 2 4 4 4" xfId="34008"/>
    <cellStyle name="20% - Accent4 6 2 4 5" xfId="18984"/>
    <cellStyle name="20% - Accent4 6 2 4 5 2" xfId="28700"/>
    <cellStyle name="20% - Accent4 6 2 4 5 2 2" xfId="48454"/>
    <cellStyle name="20% - Accent4 6 2 4 5 3" xfId="38810"/>
    <cellStyle name="20% - Accent4 6 2 4 6" xfId="23890"/>
    <cellStyle name="20% - Accent4 6 2 4 6 2" xfId="43645"/>
    <cellStyle name="20% - Accent4 6 2 4 7" xfId="34001"/>
    <cellStyle name="20% - Accent4 6 2 5" xfId="3699"/>
    <cellStyle name="20% - Accent4 6 2 5 2" xfId="3700"/>
    <cellStyle name="20% - Accent4 6 2 5 2 2" xfId="3701"/>
    <cellStyle name="20% - Accent4 6 2 5 2 2 2" xfId="18994"/>
    <cellStyle name="20% - Accent4 6 2 5 2 2 2 2" xfId="28710"/>
    <cellStyle name="20% - Accent4 6 2 5 2 2 2 2 2" xfId="48464"/>
    <cellStyle name="20% - Accent4 6 2 5 2 2 2 3" xfId="38820"/>
    <cellStyle name="20% - Accent4 6 2 5 2 2 3" xfId="23900"/>
    <cellStyle name="20% - Accent4 6 2 5 2 2 3 2" xfId="43655"/>
    <cellStyle name="20% - Accent4 6 2 5 2 2 4" xfId="34011"/>
    <cellStyle name="20% - Accent4 6 2 5 2 3" xfId="18993"/>
    <cellStyle name="20% - Accent4 6 2 5 2 3 2" xfId="28709"/>
    <cellStyle name="20% - Accent4 6 2 5 2 3 2 2" xfId="48463"/>
    <cellStyle name="20% - Accent4 6 2 5 2 3 3" xfId="38819"/>
    <cellStyle name="20% - Accent4 6 2 5 2 4" xfId="23899"/>
    <cellStyle name="20% - Accent4 6 2 5 2 4 2" xfId="43654"/>
    <cellStyle name="20% - Accent4 6 2 5 2 5" xfId="34010"/>
    <cellStyle name="20% - Accent4 6 2 5 3" xfId="3702"/>
    <cellStyle name="20% - Accent4 6 2 5 3 2" xfId="18995"/>
    <cellStyle name="20% - Accent4 6 2 5 3 2 2" xfId="28711"/>
    <cellStyle name="20% - Accent4 6 2 5 3 2 2 2" xfId="48465"/>
    <cellStyle name="20% - Accent4 6 2 5 3 2 3" xfId="38821"/>
    <cellStyle name="20% - Accent4 6 2 5 3 3" xfId="23901"/>
    <cellStyle name="20% - Accent4 6 2 5 3 3 2" xfId="43656"/>
    <cellStyle name="20% - Accent4 6 2 5 3 4" xfId="34012"/>
    <cellStyle name="20% - Accent4 6 2 5 4" xfId="18992"/>
    <cellStyle name="20% - Accent4 6 2 5 4 2" xfId="28708"/>
    <cellStyle name="20% - Accent4 6 2 5 4 2 2" xfId="48462"/>
    <cellStyle name="20% - Accent4 6 2 5 4 3" xfId="38818"/>
    <cellStyle name="20% - Accent4 6 2 5 5" xfId="23898"/>
    <cellStyle name="20% - Accent4 6 2 5 5 2" xfId="43653"/>
    <cellStyle name="20% - Accent4 6 2 5 6" xfId="34009"/>
    <cellStyle name="20% - Accent4 6 2 6" xfId="3703"/>
    <cellStyle name="20% - Accent4 6 2 6 2" xfId="3704"/>
    <cellStyle name="20% - Accent4 6 2 6 2 2" xfId="18997"/>
    <cellStyle name="20% - Accent4 6 2 6 2 2 2" xfId="28713"/>
    <cellStyle name="20% - Accent4 6 2 6 2 2 2 2" xfId="48467"/>
    <cellStyle name="20% - Accent4 6 2 6 2 2 3" xfId="38823"/>
    <cellStyle name="20% - Accent4 6 2 6 2 3" xfId="23903"/>
    <cellStyle name="20% - Accent4 6 2 6 2 3 2" xfId="43658"/>
    <cellStyle name="20% - Accent4 6 2 6 2 4" xfId="34014"/>
    <cellStyle name="20% - Accent4 6 2 6 3" xfId="18996"/>
    <cellStyle name="20% - Accent4 6 2 6 3 2" xfId="28712"/>
    <cellStyle name="20% - Accent4 6 2 6 3 2 2" xfId="48466"/>
    <cellStyle name="20% - Accent4 6 2 6 3 3" xfId="38822"/>
    <cellStyle name="20% - Accent4 6 2 6 4" xfId="23902"/>
    <cellStyle name="20% - Accent4 6 2 6 4 2" xfId="43657"/>
    <cellStyle name="20% - Accent4 6 2 6 5" xfId="34013"/>
    <cellStyle name="20% - Accent4 6 2 7" xfId="3705"/>
    <cellStyle name="20% - Accent4 6 2 7 2" xfId="18998"/>
    <cellStyle name="20% - Accent4 6 2 7 2 2" xfId="28714"/>
    <cellStyle name="20% - Accent4 6 2 7 2 2 2" xfId="48468"/>
    <cellStyle name="20% - Accent4 6 2 7 2 3" xfId="38824"/>
    <cellStyle name="20% - Accent4 6 2 7 3" xfId="23904"/>
    <cellStyle name="20% - Accent4 6 2 7 3 2" xfId="43659"/>
    <cellStyle name="20% - Accent4 6 2 7 4" xfId="34015"/>
    <cellStyle name="20% - Accent4 6 2 8" xfId="3706"/>
    <cellStyle name="20% - Accent4 6 2 8 2" xfId="18999"/>
    <cellStyle name="20% - Accent4 6 2 8 2 2" xfId="28715"/>
    <cellStyle name="20% - Accent4 6 2 8 2 2 2" xfId="48469"/>
    <cellStyle name="20% - Accent4 6 2 8 2 3" xfId="38825"/>
    <cellStyle name="20% - Accent4 6 2 8 3" xfId="23905"/>
    <cellStyle name="20% - Accent4 6 2 8 3 2" xfId="43660"/>
    <cellStyle name="20% - Accent4 6 2 8 4" xfId="34016"/>
    <cellStyle name="20% - Accent4 6 2 9" xfId="3707"/>
    <cellStyle name="20% - Accent4 6 2 9 2" xfId="19000"/>
    <cellStyle name="20% - Accent4 6 2 9 2 2" xfId="28716"/>
    <cellStyle name="20% - Accent4 6 2 9 2 2 2" xfId="48470"/>
    <cellStyle name="20% - Accent4 6 2 9 2 3" xfId="38826"/>
    <cellStyle name="20% - Accent4 6 2 9 3" xfId="23906"/>
    <cellStyle name="20% - Accent4 6 2 9 3 2" xfId="43661"/>
    <cellStyle name="20% - Accent4 6 2 9 4" xfId="34017"/>
    <cellStyle name="20% - Accent4 6 3" xfId="792"/>
    <cellStyle name="20% - Accent4 6 3 2" xfId="3708"/>
    <cellStyle name="20% - Accent4 6 3 2 2" xfId="3709"/>
    <cellStyle name="20% - Accent4 6 3 2 2 2" xfId="3710"/>
    <cellStyle name="20% - Accent4 6 3 2 2 2 2" xfId="19003"/>
    <cellStyle name="20% - Accent4 6 3 2 2 2 2 2" xfId="28719"/>
    <cellStyle name="20% - Accent4 6 3 2 2 2 2 2 2" xfId="48473"/>
    <cellStyle name="20% - Accent4 6 3 2 2 2 2 3" xfId="38829"/>
    <cellStyle name="20% - Accent4 6 3 2 2 2 3" xfId="23909"/>
    <cellStyle name="20% - Accent4 6 3 2 2 2 3 2" xfId="43664"/>
    <cellStyle name="20% - Accent4 6 3 2 2 2 4" xfId="34020"/>
    <cellStyle name="20% - Accent4 6 3 2 2 3" xfId="19002"/>
    <cellStyle name="20% - Accent4 6 3 2 2 3 2" xfId="28718"/>
    <cellStyle name="20% - Accent4 6 3 2 2 3 2 2" xfId="48472"/>
    <cellStyle name="20% - Accent4 6 3 2 2 3 3" xfId="38828"/>
    <cellStyle name="20% - Accent4 6 3 2 2 4" xfId="23908"/>
    <cellStyle name="20% - Accent4 6 3 2 2 4 2" xfId="43663"/>
    <cellStyle name="20% - Accent4 6 3 2 2 5" xfId="34019"/>
    <cellStyle name="20% - Accent4 6 3 2 3" xfId="3711"/>
    <cellStyle name="20% - Accent4 6 3 2 3 2" xfId="19004"/>
    <cellStyle name="20% - Accent4 6 3 2 3 2 2" xfId="28720"/>
    <cellStyle name="20% - Accent4 6 3 2 3 2 2 2" xfId="48474"/>
    <cellStyle name="20% - Accent4 6 3 2 3 2 3" xfId="38830"/>
    <cellStyle name="20% - Accent4 6 3 2 3 3" xfId="23910"/>
    <cellStyle name="20% - Accent4 6 3 2 3 3 2" xfId="43665"/>
    <cellStyle name="20% - Accent4 6 3 2 3 4" xfId="34021"/>
    <cellStyle name="20% - Accent4 6 3 2 4" xfId="19001"/>
    <cellStyle name="20% - Accent4 6 3 2 4 2" xfId="28717"/>
    <cellStyle name="20% - Accent4 6 3 2 4 2 2" xfId="48471"/>
    <cellStyle name="20% - Accent4 6 3 2 4 3" xfId="38827"/>
    <cellStyle name="20% - Accent4 6 3 2 5" xfId="23907"/>
    <cellStyle name="20% - Accent4 6 3 2 5 2" xfId="43662"/>
    <cellStyle name="20% - Accent4 6 3 2 6" xfId="34018"/>
    <cellStyle name="20% - Accent4 6 3 3" xfId="3712"/>
    <cellStyle name="20% - Accent4 6 3 3 2" xfId="3713"/>
    <cellStyle name="20% - Accent4 6 3 3 2 2" xfId="19006"/>
    <cellStyle name="20% - Accent4 6 3 3 2 2 2" xfId="28722"/>
    <cellStyle name="20% - Accent4 6 3 3 2 2 2 2" xfId="48476"/>
    <cellStyle name="20% - Accent4 6 3 3 2 2 3" xfId="38832"/>
    <cellStyle name="20% - Accent4 6 3 3 2 3" xfId="23912"/>
    <cellStyle name="20% - Accent4 6 3 3 2 3 2" xfId="43667"/>
    <cellStyle name="20% - Accent4 6 3 3 2 4" xfId="34023"/>
    <cellStyle name="20% - Accent4 6 3 3 3" xfId="19005"/>
    <cellStyle name="20% - Accent4 6 3 3 3 2" xfId="28721"/>
    <cellStyle name="20% - Accent4 6 3 3 3 2 2" xfId="48475"/>
    <cellStyle name="20% - Accent4 6 3 3 3 3" xfId="38831"/>
    <cellStyle name="20% - Accent4 6 3 3 4" xfId="23911"/>
    <cellStyle name="20% - Accent4 6 3 3 4 2" xfId="43666"/>
    <cellStyle name="20% - Accent4 6 3 3 5" xfId="34022"/>
    <cellStyle name="20% - Accent4 6 3 4" xfId="3714"/>
    <cellStyle name="20% - Accent4 6 3 4 2" xfId="19007"/>
    <cellStyle name="20% - Accent4 6 3 4 2 2" xfId="28723"/>
    <cellStyle name="20% - Accent4 6 3 4 2 2 2" xfId="48477"/>
    <cellStyle name="20% - Accent4 6 3 4 2 3" xfId="38833"/>
    <cellStyle name="20% - Accent4 6 3 4 3" xfId="23913"/>
    <cellStyle name="20% - Accent4 6 3 4 3 2" xfId="43668"/>
    <cellStyle name="20% - Accent4 6 3 4 4" xfId="34024"/>
    <cellStyle name="20% - Accent4 6 3 5" xfId="15460"/>
    <cellStyle name="20% - Accent4 6 3 5 2" xfId="20332"/>
    <cellStyle name="20% - Accent4 6 3 5 2 2" xfId="30046"/>
    <cellStyle name="20% - Accent4 6 3 5 2 2 2" xfId="49799"/>
    <cellStyle name="20% - Accent4 6 3 5 2 3" xfId="40155"/>
    <cellStyle name="20% - Accent4 6 3 5 3" xfId="25234"/>
    <cellStyle name="20% - Accent4 6 3 5 3 2" xfId="44988"/>
    <cellStyle name="20% - Accent4 6 3 5 4" xfId="35344"/>
    <cellStyle name="20% - Accent4 6 3 6" xfId="16139"/>
    <cellStyle name="20% - Accent4 6 3 6 2" xfId="25855"/>
    <cellStyle name="20% - Accent4 6 3 6 2 2" xfId="45609"/>
    <cellStyle name="20% - Accent4 6 3 6 3" xfId="35965"/>
    <cellStyle name="20% - Accent4 6 3 7" xfId="21045"/>
    <cellStyle name="20% - Accent4 6 3 7 2" xfId="40800"/>
    <cellStyle name="20% - Accent4 6 3 8" xfId="30475"/>
    <cellStyle name="20% - Accent4 6 3 8 2" xfId="50223"/>
    <cellStyle name="20% - Accent4 6 3 9" xfId="31156"/>
    <cellStyle name="20% - Accent4 6 4" xfId="793"/>
    <cellStyle name="20% - Accent4 6 4 2" xfId="3715"/>
    <cellStyle name="20% - Accent4 6 4 2 2" xfId="3716"/>
    <cellStyle name="20% - Accent4 6 4 2 2 2" xfId="3717"/>
    <cellStyle name="20% - Accent4 6 4 2 2 2 2" xfId="19010"/>
    <cellStyle name="20% - Accent4 6 4 2 2 2 2 2" xfId="28726"/>
    <cellStyle name="20% - Accent4 6 4 2 2 2 2 2 2" xfId="48480"/>
    <cellStyle name="20% - Accent4 6 4 2 2 2 2 3" xfId="38836"/>
    <cellStyle name="20% - Accent4 6 4 2 2 2 3" xfId="23916"/>
    <cellStyle name="20% - Accent4 6 4 2 2 2 3 2" xfId="43671"/>
    <cellStyle name="20% - Accent4 6 4 2 2 2 4" xfId="34027"/>
    <cellStyle name="20% - Accent4 6 4 2 2 3" xfId="19009"/>
    <cellStyle name="20% - Accent4 6 4 2 2 3 2" xfId="28725"/>
    <cellStyle name="20% - Accent4 6 4 2 2 3 2 2" xfId="48479"/>
    <cellStyle name="20% - Accent4 6 4 2 2 3 3" xfId="38835"/>
    <cellStyle name="20% - Accent4 6 4 2 2 4" xfId="23915"/>
    <cellStyle name="20% - Accent4 6 4 2 2 4 2" xfId="43670"/>
    <cellStyle name="20% - Accent4 6 4 2 2 5" xfId="34026"/>
    <cellStyle name="20% - Accent4 6 4 2 3" xfId="3718"/>
    <cellStyle name="20% - Accent4 6 4 2 3 2" xfId="19011"/>
    <cellStyle name="20% - Accent4 6 4 2 3 2 2" xfId="28727"/>
    <cellStyle name="20% - Accent4 6 4 2 3 2 2 2" xfId="48481"/>
    <cellStyle name="20% - Accent4 6 4 2 3 2 3" xfId="38837"/>
    <cellStyle name="20% - Accent4 6 4 2 3 3" xfId="23917"/>
    <cellStyle name="20% - Accent4 6 4 2 3 3 2" xfId="43672"/>
    <cellStyle name="20% - Accent4 6 4 2 3 4" xfId="34028"/>
    <cellStyle name="20% - Accent4 6 4 2 4" xfId="19008"/>
    <cellStyle name="20% - Accent4 6 4 2 4 2" xfId="28724"/>
    <cellStyle name="20% - Accent4 6 4 2 4 2 2" xfId="48478"/>
    <cellStyle name="20% - Accent4 6 4 2 4 3" xfId="38834"/>
    <cellStyle name="20% - Accent4 6 4 2 5" xfId="23914"/>
    <cellStyle name="20% - Accent4 6 4 2 5 2" xfId="43669"/>
    <cellStyle name="20% - Accent4 6 4 2 6" xfId="34025"/>
    <cellStyle name="20% - Accent4 6 4 3" xfId="3719"/>
    <cellStyle name="20% - Accent4 6 4 3 2" xfId="3720"/>
    <cellStyle name="20% - Accent4 6 4 3 2 2" xfId="19013"/>
    <cellStyle name="20% - Accent4 6 4 3 2 2 2" xfId="28729"/>
    <cellStyle name="20% - Accent4 6 4 3 2 2 2 2" xfId="48483"/>
    <cellStyle name="20% - Accent4 6 4 3 2 2 3" xfId="38839"/>
    <cellStyle name="20% - Accent4 6 4 3 2 3" xfId="23919"/>
    <cellStyle name="20% - Accent4 6 4 3 2 3 2" xfId="43674"/>
    <cellStyle name="20% - Accent4 6 4 3 2 4" xfId="34030"/>
    <cellStyle name="20% - Accent4 6 4 3 3" xfId="19012"/>
    <cellStyle name="20% - Accent4 6 4 3 3 2" xfId="28728"/>
    <cellStyle name="20% - Accent4 6 4 3 3 2 2" xfId="48482"/>
    <cellStyle name="20% - Accent4 6 4 3 3 3" xfId="38838"/>
    <cellStyle name="20% - Accent4 6 4 3 4" xfId="23918"/>
    <cellStyle name="20% - Accent4 6 4 3 4 2" xfId="43673"/>
    <cellStyle name="20% - Accent4 6 4 3 5" xfId="34029"/>
    <cellStyle name="20% - Accent4 6 4 4" xfId="3721"/>
    <cellStyle name="20% - Accent4 6 4 4 2" xfId="19014"/>
    <cellStyle name="20% - Accent4 6 4 4 2 2" xfId="28730"/>
    <cellStyle name="20% - Accent4 6 4 4 2 2 2" xfId="48484"/>
    <cellStyle name="20% - Accent4 6 4 4 2 3" xfId="38840"/>
    <cellStyle name="20% - Accent4 6 4 4 3" xfId="23920"/>
    <cellStyle name="20% - Accent4 6 4 4 3 2" xfId="43675"/>
    <cellStyle name="20% - Accent4 6 4 4 4" xfId="34031"/>
    <cellStyle name="20% - Accent4 6 4 5" xfId="16140"/>
    <cellStyle name="20% - Accent4 6 4 5 2" xfId="25856"/>
    <cellStyle name="20% - Accent4 6 4 5 2 2" xfId="45610"/>
    <cellStyle name="20% - Accent4 6 4 5 3" xfId="35966"/>
    <cellStyle name="20% - Accent4 6 4 6" xfId="21046"/>
    <cellStyle name="20% - Accent4 6 4 6 2" xfId="40801"/>
    <cellStyle name="20% - Accent4 6 4 7" xfId="31157"/>
    <cellStyle name="20% - Accent4 6 5" xfId="3722"/>
    <cellStyle name="20% - Accent4 6 5 2" xfId="3723"/>
    <cellStyle name="20% - Accent4 6 5 2 2" xfId="3724"/>
    <cellStyle name="20% - Accent4 6 5 2 2 2" xfId="3725"/>
    <cellStyle name="20% - Accent4 6 5 2 2 2 2" xfId="19018"/>
    <cellStyle name="20% - Accent4 6 5 2 2 2 2 2" xfId="28734"/>
    <cellStyle name="20% - Accent4 6 5 2 2 2 2 2 2" xfId="48488"/>
    <cellStyle name="20% - Accent4 6 5 2 2 2 2 3" xfId="38844"/>
    <cellStyle name="20% - Accent4 6 5 2 2 2 3" xfId="23924"/>
    <cellStyle name="20% - Accent4 6 5 2 2 2 3 2" xfId="43679"/>
    <cellStyle name="20% - Accent4 6 5 2 2 2 4" xfId="34035"/>
    <cellStyle name="20% - Accent4 6 5 2 2 3" xfId="19017"/>
    <cellStyle name="20% - Accent4 6 5 2 2 3 2" xfId="28733"/>
    <cellStyle name="20% - Accent4 6 5 2 2 3 2 2" xfId="48487"/>
    <cellStyle name="20% - Accent4 6 5 2 2 3 3" xfId="38843"/>
    <cellStyle name="20% - Accent4 6 5 2 2 4" xfId="23923"/>
    <cellStyle name="20% - Accent4 6 5 2 2 4 2" xfId="43678"/>
    <cellStyle name="20% - Accent4 6 5 2 2 5" xfId="34034"/>
    <cellStyle name="20% - Accent4 6 5 2 3" xfId="3726"/>
    <cellStyle name="20% - Accent4 6 5 2 3 2" xfId="19019"/>
    <cellStyle name="20% - Accent4 6 5 2 3 2 2" xfId="28735"/>
    <cellStyle name="20% - Accent4 6 5 2 3 2 2 2" xfId="48489"/>
    <cellStyle name="20% - Accent4 6 5 2 3 2 3" xfId="38845"/>
    <cellStyle name="20% - Accent4 6 5 2 3 3" xfId="23925"/>
    <cellStyle name="20% - Accent4 6 5 2 3 3 2" xfId="43680"/>
    <cellStyle name="20% - Accent4 6 5 2 3 4" xfId="34036"/>
    <cellStyle name="20% - Accent4 6 5 2 4" xfId="19016"/>
    <cellStyle name="20% - Accent4 6 5 2 4 2" xfId="28732"/>
    <cellStyle name="20% - Accent4 6 5 2 4 2 2" xfId="48486"/>
    <cellStyle name="20% - Accent4 6 5 2 4 3" xfId="38842"/>
    <cellStyle name="20% - Accent4 6 5 2 5" xfId="23922"/>
    <cellStyle name="20% - Accent4 6 5 2 5 2" xfId="43677"/>
    <cellStyle name="20% - Accent4 6 5 2 6" xfId="34033"/>
    <cellStyle name="20% - Accent4 6 5 3" xfId="3727"/>
    <cellStyle name="20% - Accent4 6 5 3 2" xfId="3728"/>
    <cellStyle name="20% - Accent4 6 5 3 2 2" xfId="19021"/>
    <cellStyle name="20% - Accent4 6 5 3 2 2 2" xfId="28737"/>
    <cellStyle name="20% - Accent4 6 5 3 2 2 2 2" xfId="48491"/>
    <cellStyle name="20% - Accent4 6 5 3 2 2 3" xfId="38847"/>
    <cellStyle name="20% - Accent4 6 5 3 2 3" xfId="23927"/>
    <cellStyle name="20% - Accent4 6 5 3 2 3 2" xfId="43682"/>
    <cellStyle name="20% - Accent4 6 5 3 2 4" xfId="34038"/>
    <cellStyle name="20% - Accent4 6 5 3 3" xfId="19020"/>
    <cellStyle name="20% - Accent4 6 5 3 3 2" xfId="28736"/>
    <cellStyle name="20% - Accent4 6 5 3 3 2 2" xfId="48490"/>
    <cellStyle name="20% - Accent4 6 5 3 3 3" xfId="38846"/>
    <cellStyle name="20% - Accent4 6 5 3 4" xfId="23926"/>
    <cellStyle name="20% - Accent4 6 5 3 4 2" xfId="43681"/>
    <cellStyle name="20% - Accent4 6 5 3 5" xfId="34037"/>
    <cellStyle name="20% - Accent4 6 5 4" xfId="3729"/>
    <cellStyle name="20% - Accent4 6 5 4 2" xfId="19022"/>
    <cellStyle name="20% - Accent4 6 5 4 2 2" xfId="28738"/>
    <cellStyle name="20% - Accent4 6 5 4 2 2 2" xfId="48492"/>
    <cellStyle name="20% - Accent4 6 5 4 2 3" xfId="38848"/>
    <cellStyle name="20% - Accent4 6 5 4 3" xfId="23928"/>
    <cellStyle name="20% - Accent4 6 5 4 3 2" xfId="43683"/>
    <cellStyle name="20% - Accent4 6 5 4 4" xfId="34039"/>
    <cellStyle name="20% - Accent4 6 5 5" xfId="19015"/>
    <cellStyle name="20% - Accent4 6 5 5 2" xfId="28731"/>
    <cellStyle name="20% - Accent4 6 5 5 2 2" xfId="48485"/>
    <cellStyle name="20% - Accent4 6 5 5 3" xfId="38841"/>
    <cellStyle name="20% - Accent4 6 5 6" xfId="23921"/>
    <cellStyle name="20% - Accent4 6 5 6 2" xfId="43676"/>
    <cellStyle name="20% - Accent4 6 5 7" xfId="34032"/>
    <cellStyle name="20% - Accent4 6 6" xfId="3730"/>
    <cellStyle name="20% - Accent4 6 6 2" xfId="3731"/>
    <cellStyle name="20% - Accent4 6 6 2 2" xfId="3732"/>
    <cellStyle name="20% - Accent4 6 6 2 2 2" xfId="19025"/>
    <cellStyle name="20% - Accent4 6 6 2 2 2 2" xfId="28741"/>
    <cellStyle name="20% - Accent4 6 6 2 2 2 2 2" xfId="48495"/>
    <cellStyle name="20% - Accent4 6 6 2 2 2 3" xfId="38851"/>
    <cellStyle name="20% - Accent4 6 6 2 2 3" xfId="23931"/>
    <cellStyle name="20% - Accent4 6 6 2 2 3 2" xfId="43686"/>
    <cellStyle name="20% - Accent4 6 6 2 2 4" xfId="34042"/>
    <cellStyle name="20% - Accent4 6 6 2 3" xfId="19024"/>
    <cellStyle name="20% - Accent4 6 6 2 3 2" xfId="28740"/>
    <cellStyle name="20% - Accent4 6 6 2 3 2 2" xfId="48494"/>
    <cellStyle name="20% - Accent4 6 6 2 3 3" xfId="38850"/>
    <cellStyle name="20% - Accent4 6 6 2 4" xfId="23930"/>
    <cellStyle name="20% - Accent4 6 6 2 4 2" xfId="43685"/>
    <cellStyle name="20% - Accent4 6 6 2 5" xfId="34041"/>
    <cellStyle name="20% - Accent4 6 6 3" xfId="3733"/>
    <cellStyle name="20% - Accent4 6 6 3 2" xfId="19026"/>
    <cellStyle name="20% - Accent4 6 6 3 2 2" xfId="28742"/>
    <cellStyle name="20% - Accent4 6 6 3 2 2 2" xfId="48496"/>
    <cellStyle name="20% - Accent4 6 6 3 2 3" xfId="38852"/>
    <cellStyle name="20% - Accent4 6 6 3 3" xfId="23932"/>
    <cellStyle name="20% - Accent4 6 6 3 3 2" xfId="43687"/>
    <cellStyle name="20% - Accent4 6 6 3 4" xfId="34043"/>
    <cellStyle name="20% - Accent4 6 6 4" xfId="19023"/>
    <cellStyle name="20% - Accent4 6 6 4 2" xfId="28739"/>
    <cellStyle name="20% - Accent4 6 6 4 2 2" xfId="48493"/>
    <cellStyle name="20% - Accent4 6 6 4 3" xfId="38849"/>
    <cellStyle name="20% - Accent4 6 6 5" xfId="23929"/>
    <cellStyle name="20% - Accent4 6 6 5 2" xfId="43684"/>
    <cellStyle name="20% - Accent4 6 6 6" xfId="34040"/>
    <cellStyle name="20% - Accent4 6 7" xfId="3734"/>
    <cellStyle name="20% - Accent4 6 7 2" xfId="3735"/>
    <cellStyle name="20% - Accent4 6 7 2 2" xfId="19028"/>
    <cellStyle name="20% - Accent4 6 7 2 2 2" xfId="28744"/>
    <cellStyle name="20% - Accent4 6 7 2 2 2 2" xfId="48498"/>
    <cellStyle name="20% - Accent4 6 7 2 2 3" xfId="38854"/>
    <cellStyle name="20% - Accent4 6 7 2 3" xfId="23934"/>
    <cellStyle name="20% - Accent4 6 7 2 3 2" xfId="43689"/>
    <cellStyle name="20% - Accent4 6 7 2 4" xfId="34045"/>
    <cellStyle name="20% - Accent4 6 7 3" xfId="19027"/>
    <cellStyle name="20% - Accent4 6 7 3 2" xfId="28743"/>
    <cellStyle name="20% - Accent4 6 7 3 2 2" xfId="48497"/>
    <cellStyle name="20% - Accent4 6 7 3 3" xfId="38853"/>
    <cellStyle name="20% - Accent4 6 7 4" xfId="23933"/>
    <cellStyle name="20% - Accent4 6 7 4 2" xfId="43688"/>
    <cellStyle name="20% - Accent4 6 7 5" xfId="34044"/>
    <cellStyle name="20% - Accent4 6 8" xfId="3736"/>
    <cellStyle name="20% - Accent4 6 8 2" xfId="3737"/>
    <cellStyle name="20% - Accent4 6 8 2 2" xfId="19030"/>
    <cellStyle name="20% - Accent4 6 8 2 2 2" xfId="28746"/>
    <cellStyle name="20% - Accent4 6 8 2 2 2 2" xfId="48500"/>
    <cellStyle name="20% - Accent4 6 8 2 2 3" xfId="38856"/>
    <cellStyle name="20% - Accent4 6 8 2 3" xfId="23936"/>
    <cellStyle name="20% - Accent4 6 8 2 3 2" xfId="43691"/>
    <cellStyle name="20% - Accent4 6 8 2 4" xfId="34047"/>
    <cellStyle name="20% - Accent4 6 8 3" xfId="19029"/>
    <cellStyle name="20% - Accent4 6 8 3 2" xfId="28745"/>
    <cellStyle name="20% - Accent4 6 8 3 2 2" xfId="48499"/>
    <cellStyle name="20% - Accent4 6 8 3 3" xfId="38855"/>
    <cellStyle name="20% - Accent4 6 8 4" xfId="23935"/>
    <cellStyle name="20% - Accent4 6 8 4 2" xfId="43690"/>
    <cellStyle name="20% - Accent4 6 8 5" xfId="34046"/>
    <cellStyle name="20% - Accent4 6 9" xfId="3738"/>
    <cellStyle name="20% - Accent4 6 9 2" xfId="19031"/>
    <cellStyle name="20% - Accent4 6 9 2 2" xfId="28747"/>
    <cellStyle name="20% - Accent4 6 9 2 2 2" xfId="48501"/>
    <cellStyle name="20% - Accent4 6 9 2 3" xfId="38857"/>
    <cellStyle name="20% - Accent4 6 9 3" xfId="23937"/>
    <cellStyle name="20% - Accent4 6 9 3 2" xfId="43692"/>
    <cellStyle name="20% - Accent4 6 9 4" xfId="34048"/>
    <cellStyle name="20% - Accent4 7" xfId="76"/>
    <cellStyle name="20% - Accent4 7 10" xfId="30857"/>
    <cellStyle name="20% - Accent4 7 2" xfId="77"/>
    <cellStyle name="20% - Accent4 7 2 2" xfId="794"/>
    <cellStyle name="20% - Accent4 7 2 2 2" xfId="3739"/>
    <cellStyle name="20% - Accent4 7 2 2 2 2" xfId="3740"/>
    <cellStyle name="20% - Accent4 7 2 2 2 2 2" xfId="19033"/>
    <cellStyle name="20% - Accent4 7 2 2 2 2 2 2" xfId="28749"/>
    <cellStyle name="20% - Accent4 7 2 2 2 2 2 2 2" xfId="48503"/>
    <cellStyle name="20% - Accent4 7 2 2 2 2 2 3" xfId="38859"/>
    <cellStyle name="20% - Accent4 7 2 2 2 2 3" xfId="23939"/>
    <cellStyle name="20% - Accent4 7 2 2 2 2 3 2" xfId="43694"/>
    <cellStyle name="20% - Accent4 7 2 2 2 2 4" xfId="34050"/>
    <cellStyle name="20% - Accent4 7 2 2 2 3" xfId="19032"/>
    <cellStyle name="20% - Accent4 7 2 2 2 3 2" xfId="28748"/>
    <cellStyle name="20% - Accent4 7 2 2 2 3 2 2" xfId="48502"/>
    <cellStyle name="20% - Accent4 7 2 2 2 3 3" xfId="38858"/>
    <cellStyle name="20% - Accent4 7 2 2 2 4" xfId="23938"/>
    <cellStyle name="20% - Accent4 7 2 2 2 4 2" xfId="43693"/>
    <cellStyle name="20% - Accent4 7 2 2 2 5" xfId="34049"/>
    <cellStyle name="20% - Accent4 7 2 2 3" xfId="3741"/>
    <cellStyle name="20% - Accent4 7 2 2 3 2" xfId="19034"/>
    <cellStyle name="20% - Accent4 7 2 2 3 2 2" xfId="28750"/>
    <cellStyle name="20% - Accent4 7 2 2 3 2 2 2" xfId="48504"/>
    <cellStyle name="20% - Accent4 7 2 2 3 2 3" xfId="38860"/>
    <cellStyle name="20% - Accent4 7 2 2 3 3" xfId="23940"/>
    <cellStyle name="20% - Accent4 7 2 2 3 3 2" xfId="43695"/>
    <cellStyle name="20% - Accent4 7 2 2 3 4" xfId="34051"/>
    <cellStyle name="20% - Accent4 7 2 2 4" xfId="15463"/>
    <cellStyle name="20% - Accent4 7 2 2 4 2" xfId="20335"/>
    <cellStyle name="20% - Accent4 7 2 2 4 2 2" xfId="30049"/>
    <cellStyle name="20% - Accent4 7 2 2 4 2 2 2" xfId="49802"/>
    <cellStyle name="20% - Accent4 7 2 2 4 2 3" xfId="40158"/>
    <cellStyle name="20% - Accent4 7 2 2 4 3" xfId="25237"/>
    <cellStyle name="20% - Accent4 7 2 2 4 3 2" xfId="44991"/>
    <cellStyle name="20% - Accent4 7 2 2 4 4" xfId="35347"/>
    <cellStyle name="20% - Accent4 7 2 2 5" xfId="16141"/>
    <cellStyle name="20% - Accent4 7 2 2 5 2" xfId="25857"/>
    <cellStyle name="20% - Accent4 7 2 2 5 2 2" xfId="45611"/>
    <cellStyle name="20% - Accent4 7 2 2 5 3" xfId="35967"/>
    <cellStyle name="20% - Accent4 7 2 2 6" xfId="21047"/>
    <cellStyle name="20% - Accent4 7 2 2 6 2" xfId="40802"/>
    <cellStyle name="20% - Accent4 7 2 2 7" xfId="30478"/>
    <cellStyle name="20% - Accent4 7 2 2 7 2" xfId="50226"/>
    <cellStyle name="20% - Accent4 7 2 2 8" xfId="31158"/>
    <cellStyle name="20% - Accent4 7 2 3" xfId="795"/>
    <cellStyle name="20% - Accent4 7 2 3 2" xfId="3742"/>
    <cellStyle name="20% - Accent4 7 2 3 2 2" xfId="19035"/>
    <cellStyle name="20% - Accent4 7 2 3 2 2 2" xfId="28751"/>
    <cellStyle name="20% - Accent4 7 2 3 2 2 2 2" xfId="48505"/>
    <cellStyle name="20% - Accent4 7 2 3 2 2 3" xfId="38861"/>
    <cellStyle name="20% - Accent4 7 2 3 2 3" xfId="23941"/>
    <cellStyle name="20% - Accent4 7 2 3 2 3 2" xfId="43696"/>
    <cellStyle name="20% - Accent4 7 2 3 2 4" xfId="34052"/>
    <cellStyle name="20% - Accent4 7 2 3 3" xfId="16142"/>
    <cellStyle name="20% - Accent4 7 2 3 3 2" xfId="25858"/>
    <cellStyle name="20% - Accent4 7 2 3 3 2 2" xfId="45612"/>
    <cellStyle name="20% - Accent4 7 2 3 3 3" xfId="35968"/>
    <cellStyle name="20% - Accent4 7 2 3 4" xfId="21048"/>
    <cellStyle name="20% - Accent4 7 2 3 4 2" xfId="40803"/>
    <cellStyle name="20% - Accent4 7 2 3 5" xfId="31159"/>
    <cellStyle name="20% - Accent4 7 2 4" xfId="3743"/>
    <cellStyle name="20% - Accent4 7 2 4 2" xfId="19036"/>
    <cellStyle name="20% - Accent4 7 2 4 2 2" xfId="28752"/>
    <cellStyle name="20% - Accent4 7 2 4 2 2 2" xfId="48506"/>
    <cellStyle name="20% - Accent4 7 2 4 2 3" xfId="38862"/>
    <cellStyle name="20% - Accent4 7 2 4 3" xfId="23942"/>
    <cellStyle name="20% - Accent4 7 2 4 3 2" xfId="43697"/>
    <cellStyle name="20% - Accent4 7 2 4 4" xfId="34053"/>
    <cellStyle name="20% - Accent4 7 2 5" xfId="15462"/>
    <cellStyle name="20% - Accent4 7 2 5 2" xfId="20334"/>
    <cellStyle name="20% - Accent4 7 2 5 2 2" xfId="30048"/>
    <cellStyle name="20% - Accent4 7 2 5 2 2 2" xfId="49801"/>
    <cellStyle name="20% - Accent4 7 2 5 2 3" xfId="40157"/>
    <cellStyle name="20% - Accent4 7 2 5 3" xfId="25236"/>
    <cellStyle name="20% - Accent4 7 2 5 3 2" xfId="44990"/>
    <cellStyle name="20% - Accent4 7 2 5 4" xfId="35346"/>
    <cellStyle name="20% - Accent4 7 2 6" xfId="15872"/>
    <cellStyle name="20% - Accent4 7 2 6 2" xfId="25588"/>
    <cellStyle name="20% - Accent4 7 2 6 2 2" xfId="45342"/>
    <cellStyle name="20% - Accent4 7 2 6 3" xfId="35698"/>
    <cellStyle name="20% - Accent4 7 2 7" xfId="20747"/>
    <cellStyle name="20% - Accent4 7 2 7 2" xfId="40527"/>
    <cellStyle name="20% - Accent4 7 2 8" xfId="30477"/>
    <cellStyle name="20% - Accent4 7 2 8 2" xfId="50225"/>
    <cellStyle name="20% - Accent4 7 2 9" xfId="30858"/>
    <cellStyle name="20% - Accent4 7 3" xfId="796"/>
    <cellStyle name="20% - Accent4 7 3 2" xfId="3744"/>
    <cellStyle name="20% - Accent4 7 3 2 2" xfId="3745"/>
    <cellStyle name="20% - Accent4 7 3 2 2 2" xfId="19038"/>
    <cellStyle name="20% - Accent4 7 3 2 2 2 2" xfId="28754"/>
    <cellStyle name="20% - Accent4 7 3 2 2 2 2 2" xfId="48508"/>
    <cellStyle name="20% - Accent4 7 3 2 2 2 3" xfId="38864"/>
    <cellStyle name="20% - Accent4 7 3 2 2 3" xfId="23944"/>
    <cellStyle name="20% - Accent4 7 3 2 2 3 2" xfId="43699"/>
    <cellStyle name="20% - Accent4 7 3 2 2 4" xfId="34055"/>
    <cellStyle name="20% - Accent4 7 3 2 3" xfId="19037"/>
    <cellStyle name="20% - Accent4 7 3 2 3 2" xfId="28753"/>
    <cellStyle name="20% - Accent4 7 3 2 3 2 2" xfId="48507"/>
    <cellStyle name="20% - Accent4 7 3 2 3 3" xfId="38863"/>
    <cellStyle name="20% - Accent4 7 3 2 4" xfId="23943"/>
    <cellStyle name="20% - Accent4 7 3 2 4 2" xfId="43698"/>
    <cellStyle name="20% - Accent4 7 3 2 5" xfId="34054"/>
    <cellStyle name="20% - Accent4 7 3 3" xfId="3746"/>
    <cellStyle name="20% - Accent4 7 3 3 2" xfId="19039"/>
    <cellStyle name="20% - Accent4 7 3 3 2 2" xfId="28755"/>
    <cellStyle name="20% - Accent4 7 3 3 2 2 2" xfId="48509"/>
    <cellStyle name="20% - Accent4 7 3 3 2 3" xfId="38865"/>
    <cellStyle name="20% - Accent4 7 3 3 3" xfId="23945"/>
    <cellStyle name="20% - Accent4 7 3 3 3 2" xfId="43700"/>
    <cellStyle name="20% - Accent4 7 3 3 4" xfId="34056"/>
    <cellStyle name="20% - Accent4 7 3 4" xfId="15464"/>
    <cellStyle name="20% - Accent4 7 3 4 2" xfId="20336"/>
    <cellStyle name="20% - Accent4 7 3 4 2 2" xfId="30050"/>
    <cellStyle name="20% - Accent4 7 3 4 2 2 2" xfId="49803"/>
    <cellStyle name="20% - Accent4 7 3 4 2 3" xfId="40159"/>
    <cellStyle name="20% - Accent4 7 3 4 3" xfId="25238"/>
    <cellStyle name="20% - Accent4 7 3 4 3 2" xfId="44992"/>
    <cellStyle name="20% - Accent4 7 3 4 4" xfId="35348"/>
    <cellStyle name="20% - Accent4 7 3 5" xfId="16143"/>
    <cellStyle name="20% - Accent4 7 3 5 2" xfId="25859"/>
    <cellStyle name="20% - Accent4 7 3 5 2 2" xfId="45613"/>
    <cellStyle name="20% - Accent4 7 3 5 3" xfId="35969"/>
    <cellStyle name="20% - Accent4 7 3 6" xfId="21049"/>
    <cellStyle name="20% - Accent4 7 3 6 2" xfId="40804"/>
    <cellStyle name="20% - Accent4 7 3 7" xfId="30479"/>
    <cellStyle name="20% - Accent4 7 3 7 2" xfId="50227"/>
    <cellStyle name="20% - Accent4 7 3 8" xfId="31160"/>
    <cellStyle name="20% - Accent4 7 4" xfId="797"/>
    <cellStyle name="20% - Accent4 7 4 2" xfId="3747"/>
    <cellStyle name="20% - Accent4 7 4 2 2" xfId="19040"/>
    <cellStyle name="20% - Accent4 7 4 2 2 2" xfId="28756"/>
    <cellStyle name="20% - Accent4 7 4 2 2 2 2" xfId="48510"/>
    <cellStyle name="20% - Accent4 7 4 2 2 3" xfId="38866"/>
    <cellStyle name="20% - Accent4 7 4 2 3" xfId="23946"/>
    <cellStyle name="20% - Accent4 7 4 2 3 2" xfId="43701"/>
    <cellStyle name="20% - Accent4 7 4 2 4" xfId="34057"/>
    <cellStyle name="20% - Accent4 7 4 3" xfId="16144"/>
    <cellStyle name="20% - Accent4 7 4 3 2" xfId="25860"/>
    <cellStyle name="20% - Accent4 7 4 3 2 2" xfId="45614"/>
    <cellStyle name="20% - Accent4 7 4 3 3" xfId="35970"/>
    <cellStyle name="20% - Accent4 7 4 4" xfId="21050"/>
    <cellStyle name="20% - Accent4 7 4 4 2" xfId="40805"/>
    <cellStyle name="20% - Accent4 7 4 5" xfId="31161"/>
    <cellStyle name="20% - Accent4 7 5" xfId="3748"/>
    <cellStyle name="20% - Accent4 7 5 2" xfId="19041"/>
    <cellStyle name="20% - Accent4 7 5 2 2" xfId="28757"/>
    <cellStyle name="20% - Accent4 7 5 2 2 2" xfId="48511"/>
    <cellStyle name="20% - Accent4 7 5 2 3" xfId="38867"/>
    <cellStyle name="20% - Accent4 7 5 3" xfId="23947"/>
    <cellStyle name="20% - Accent4 7 5 3 2" xfId="43702"/>
    <cellStyle name="20% - Accent4 7 5 4" xfId="34058"/>
    <cellStyle name="20% - Accent4 7 6" xfId="15461"/>
    <cellStyle name="20% - Accent4 7 6 2" xfId="20333"/>
    <cellStyle name="20% - Accent4 7 6 2 2" xfId="30047"/>
    <cellStyle name="20% - Accent4 7 6 2 2 2" xfId="49800"/>
    <cellStyle name="20% - Accent4 7 6 2 3" xfId="40156"/>
    <cellStyle name="20% - Accent4 7 6 3" xfId="25235"/>
    <cellStyle name="20% - Accent4 7 6 3 2" xfId="44989"/>
    <cellStyle name="20% - Accent4 7 6 4" xfId="35345"/>
    <cellStyle name="20% - Accent4 7 7" xfId="15871"/>
    <cellStyle name="20% - Accent4 7 7 2" xfId="25587"/>
    <cellStyle name="20% - Accent4 7 7 2 2" xfId="45341"/>
    <cellStyle name="20% - Accent4 7 7 3" xfId="35697"/>
    <cellStyle name="20% - Accent4 7 8" xfId="20746"/>
    <cellStyle name="20% - Accent4 7 8 2" xfId="40526"/>
    <cellStyle name="20% - Accent4 7 9" xfId="30476"/>
    <cellStyle name="20% - Accent4 7 9 2" xfId="50224"/>
    <cellStyle name="20% - Accent4 8" xfId="78"/>
    <cellStyle name="20% - Accent4 8 10" xfId="30859"/>
    <cellStyle name="20% - Accent4 8 2" xfId="79"/>
    <cellStyle name="20% - Accent4 8 2 2" xfId="798"/>
    <cellStyle name="20% - Accent4 8 2 2 2" xfId="3749"/>
    <cellStyle name="20% - Accent4 8 2 2 2 2" xfId="3750"/>
    <cellStyle name="20% - Accent4 8 2 2 2 2 2" xfId="19043"/>
    <cellStyle name="20% - Accent4 8 2 2 2 2 2 2" xfId="28759"/>
    <cellStyle name="20% - Accent4 8 2 2 2 2 2 2 2" xfId="48513"/>
    <cellStyle name="20% - Accent4 8 2 2 2 2 2 3" xfId="38869"/>
    <cellStyle name="20% - Accent4 8 2 2 2 2 3" xfId="23949"/>
    <cellStyle name="20% - Accent4 8 2 2 2 2 3 2" xfId="43704"/>
    <cellStyle name="20% - Accent4 8 2 2 2 2 4" xfId="34060"/>
    <cellStyle name="20% - Accent4 8 2 2 2 3" xfId="19042"/>
    <cellStyle name="20% - Accent4 8 2 2 2 3 2" xfId="28758"/>
    <cellStyle name="20% - Accent4 8 2 2 2 3 2 2" xfId="48512"/>
    <cellStyle name="20% - Accent4 8 2 2 2 3 3" xfId="38868"/>
    <cellStyle name="20% - Accent4 8 2 2 2 4" xfId="23948"/>
    <cellStyle name="20% - Accent4 8 2 2 2 4 2" xfId="43703"/>
    <cellStyle name="20% - Accent4 8 2 2 2 5" xfId="34059"/>
    <cellStyle name="20% - Accent4 8 2 2 3" xfId="3751"/>
    <cellStyle name="20% - Accent4 8 2 2 3 2" xfId="19044"/>
    <cellStyle name="20% - Accent4 8 2 2 3 2 2" xfId="28760"/>
    <cellStyle name="20% - Accent4 8 2 2 3 2 2 2" xfId="48514"/>
    <cellStyle name="20% - Accent4 8 2 2 3 2 3" xfId="38870"/>
    <cellStyle name="20% - Accent4 8 2 2 3 3" xfId="23950"/>
    <cellStyle name="20% - Accent4 8 2 2 3 3 2" xfId="43705"/>
    <cellStyle name="20% - Accent4 8 2 2 3 4" xfId="34061"/>
    <cellStyle name="20% - Accent4 8 2 2 4" xfId="15467"/>
    <cellStyle name="20% - Accent4 8 2 2 4 2" xfId="20339"/>
    <cellStyle name="20% - Accent4 8 2 2 4 2 2" xfId="30053"/>
    <cellStyle name="20% - Accent4 8 2 2 4 2 2 2" xfId="49806"/>
    <cellStyle name="20% - Accent4 8 2 2 4 2 3" xfId="40162"/>
    <cellStyle name="20% - Accent4 8 2 2 4 3" xfId="25241"/>
    <cellStyle name="20% - Accent4 8 2 2 4 3 2" xfId="44995"/>
    <cellStyle name="20% - Accent4 8 2 2 4 4" xfId="35351"/>
    <cellStyle name="20% - Accent4 8 2 2 5" xfId="16145"/>
    <cellStyle name="20% - Accent4 8 2 2 5 2" xfId="25861"/>
    <cellStyle name="20% - Accent4 8 2 2 5 2 2" xfId="45615"/>
    <cellStyle name="20% - Accent4 8 2 2 5 3" xfId="35971"/>
    <cellStyle name="20% - Accent4 8 2 2 6" xfId="21051"/>
    <cellStyle name="20% - Accent4 8 2 2 6 2" xfId="40806"/>
    <cellStyle name="20% - Accent4 8 2 2 7" xfId="30482"/>
    <cellStyle name="20% - Accent4 8 2 2 7 2" xfId="50230"/>
    <cellStyle name="20% - Accent4 8 2 2 8" xfId="31162"/>
    <cellStyle name="20% - Accent4 8 2 3" xfId="799"/>
    <cellStyle name="20% - Accent4 8 2 3 2" xfId="3752"/>
    <cellStyle name="20% - Accent4 8 2 3 2 2" xfId="19045"/>
    <cellStyle name="20% - Accent4 8 2 3 2 2 2" xfId="28761"/>
    <cellStyle name="20% - Accent4 8 2 3 2 2 2 2" xfId="48515"/>
    <cellStyle name="20% - Accent4 8 2 3 2 2 3" xfId="38871"/>
    <cellStyle name="20% - Accent4 8 2 3 2 3" xfId="23951"/>
    <cellStyle name="20% - Accent4 8 2 3 2 3 2" xfId="43706"/>
    <cellStyle name="20% - Accent4 8 2 3 2 4" xfId="34062"/>
    <cellStyle name="20% - Accent4 8 2 3 3" xfId="16146"/>
    <cellStyle name="20% - Accent4 8 2 3 3 2" xfId="25862"/>
    <cellStyle name="20% - Accent4 8 2 3 3 2 2" xfId="45616"/>
    <cellStyle name="20% - Accent4 8 2 3 3 3" xfId="35972"/>
    <cellStyle name="20% - Accent4 8 2 3 4" xfId="21052"/>
    <cellStyle name="20% - Accent4 8 2 3 4 2" xfId="40807"/>
    <cellStyle name="20% - Accent4 8 2 3 5" xfId="31163"/>
    <cellStyle name="20% - Accent4 8 2 4" xfId="3753"/>
    <cellStyle name="20% - Accent4 8 2 4 2" xfId="19046"/>
    <cellStyle name="20% - Accent4 8 2 4 2 2" xfId="28762"/>
    <cellStyle name="20% - Accent4 8 2 4 2 2 2" xfId="48516"/>
    <cellStyle name="20% - Accent4 8 2 4 2 3" xfId="38872"/>
    <cellStyle name="20% - Accent4 8 2 4 3" xfId="23952"/>
    <cellStyle name="20% - Accent4 8 2 4 3 2" xfId="43707"/>
    <cellStyle name="20% - Accent4 8 2 4 4" xfId="34063"/>
    <cellStyle name="20% - Accent4 8 2 5" xfId="15466"/>
    <cellStyle name="20% - Accent4 8 2 5 2" xfId="20338"/>
    <cellStyle name="20% - Accent4 8 2 5 2 2" xfId="30052"/>
    <cellStyle name="20% - Accent4 8 2 5 2 2 2" xfId="49805"/>
    <cellStyle name="20% - Accent4 8 2 5 2 3" xfId="40161"/>
    <cellStyle name="20% - Accent4 8 2 5 3" xfId="25240"/>
    <cellStyle name="20% - Accent4 8 2 5 3 2" xfId="44994"/>
    <cellStyle name="20% - Accent4 8 2 5 4" xfId="35350"/>
    <cellStyle name="20% - Accent4 8 2 6" xfId="15874"/>
    <cellStyle name="20% - Accent4 8 2 6 2" xfId="25590"/>
    <cellStyle name="20% - Accent4 8 2 6 2 2" xfId="45344"/>
    <cellStyle name="20% - Accent4 8 2 6 3" xfId="35700"/>
    <cellStyle name="20% - Accent4 8 2 7" xfId="20749"/>
    <cellStyle name="20% - Accent4 8 2 7 2" xfId="40529"/>
    <cellStyle name="20% - Accent4 8 2 8" xfId="30481"/>
    <cellStyle name="20% - Accent4 8 2 8 2" xfId="50229"/>
    <cellStyle name="20% - Accent4 8 2 9" xfId="30860"/>
    <cellStyle name="20% - Accent4 8 3" xfId="800"/>
    <cellStyle name="20% - Accent4 8 3 2" xfId="3754"/>
    <cellStyle name="20% - Accent4 8 3 2 2" xfId="3755"/>
    <cellStyle name="20% - Accent4 8 3 2 2 2" xfId="19048"/>
    <cellStyle name="20% - Accent4 8 3 2 2 2 2" xfId="28764"/>
    <cellStyle name="20% - Accent4 8 3 2 2 2 2 2" xfId="48518"/>
    <cellStyle name="20% - Accent4 8 3 2 2 2 3" xfId="38874"/>
    <cellStyle name="20% - Accent4 8 3 2 2 3" xfId="23954"/>
    <cellStyle name="20% - Accent4 8 3 2 2 3 2" xfId="43709"/>
    <cellStyle name="20% - Accent4 8 3 2 2 4" xfId="34065"/>
    <cellStyle name="20% - Accent4 8 3 2 3" xfId="19047"/>
    <cellStyle name="20% - Accent4 8 3 2 3 2" xfId="28763"/>
    <cellStyle name="20% - Accent4 8 3 2 3 2 2" xfId="48517"/>
    <cellStyle name="20% - Accent4 8 3 2 3 3" xfId="38873"/>
    <cellStyle name="20% - Accent4 8 3 2 4" xfId="23953"/>
    <cellStyle name="20% - Accent4 8 3 2 4 2" xfId="43708"/>
    <cellStyle name="20% - Accent4 8 3 2 5" xfId="34064"/>
    <cellStyle name="20% - Accent4 8 3 3" xfId="3756"/>
    <cellStyle name="20% - Accent4 8 3 3 2" xfId="19049"/>
    <cellStyle name="20% - Accent4 8 3 3 2 2" xfId="28765"/>
    <cellStyle name="20% - Accent4 8 3 3 2 2 2" xfId="48519"/>
    <cellStyle name="20% - Accent4 8 3 3 2 3" xfId="38875"/>
    <cellStyle name="20% - Accent4 8 3 3 3" xfId="23955"/>
    <cellStyle name="20% - Accent4 8 3 3 3 2" xfId="43710"/>
    <cellStyle name="20% - Accent4 8 3 3 4" xfId="34066"/>
    <cellStyle name="20% - Accent4 8 3 4" xfId="15468"/>
    <cellStyle name="20% - Accent4 8 3 4 2" xfId="20340"/>
    <cellStyle name="20% - Accent4 8 3 4 2 2" xfId="30054"/>
    <cellStyle name="20% - Accent4 8 3 4 2 2 2" xfId="49807"/>
    <cellStyle name="20% - Accent4 8 3 4 2 3" xfId="40163"/>
    <cellStyle name="20% - Accent4 8 3 4 3" xfId="25242"/>
    <cellStyle name="20% - Accent4 8 3 4 3 2" xfId="44996"/>
    <cellStyle name="20% - Accent4 8 3 4 4" xfId="35352"/>
    <cellStyle name="20% - Accent4 8 3 5" xfId="16147"/>
    <cellStyle name="20% - Accent4 8 3 5 2" xfId="25863"/>
    <cellStyle name="20% - Accent4 8 3 5 2 2" xfId="45617"/>
    <cellStyle name="20% - Accent4 8 3 5 3" xfId="35973"/>
    <cellStyle name="20% - Accent4 8 3 6" xfId="21053"/>
    <cellStyle name="20% - Accent4 8 3 6 2" xfId="40808"/>
    <cellStyle name="20% - Accent4 8 3 7" xfId="30483"/>
    <cellStyle name="20% - Accent4 8 3 7 2" xfId="50231"/>
    <cellStyle name="20% - Accent4 8 3 8" xfId="31164"/>
    <cellStyle name="20% - Accent4 8 4" xfId="801"/>
    <cellStyle name="20% - Accent4 8 4 2" xfId="3757"/>
    <cellStyle name="20% - Accent4 8 4 2 2" xfId="19050"/>
    <cellStyle name="20% - Accent4 8 4 2 2 2" xfId="28766"/>
    <cellStyle name="20% - Accent4 8 4 2 2 2 2" xfId="48520"/>
    <cellStyle name="20% - Accent4 8 4 2 2 3" xfId="38876"/>
    <cellStyle name="20% - Accent4 8 4 2 3" xfId="23956"/>
    <cellStyle name="20% - Accent4 8 4 2 3 2" xfId="43711"/>
    <cellStyle name="20% - Accent4 8 4 2 4" xfId="34067"/>
    <cellStyle name="20% - Accent4 8 4 3" xfId="16148"/>
    <cellStyle name="20% - Accent4 8 4 3 2" xfId="25864"/>
    <cellStyle name="20% - Accent4 8 4 3 2 2" xfId="45618"/>
    <cellStyle name="20% - Accent4 8 4 3 3" xfId="35974"/>
    <cellStyle name="20% - Accent4 8 4 4" xfId="21054"/>
    <cellStyle name="20% - Accent4 8 4 4 2" xfId="40809"/>
    <cellStyle name="20% - Accent4 8 4 5" xfId="31165"/>
    <cellStyle name="20% - Accent4 8 5" xfId="3758"/>
    <cellStyle name="20% - Accent4 8 5 2" xfId="19051"/>
    <cellStyle name="20% - Accent4 8 5 2 2" xfId="28767"/>
    <cellStyle name="20% - Accent4 8 5 2 2 2" xfId="48521"/>
    <cellStyle name="20% - Accent4 8 5 2 3" xfId="38877"/>
    <cellStyle name="20% - Accent4 8 5 3" xfId="23957"/>
    <cellStyle name="20% - Accent4 8 5 3 2" xfId="43712"/>
    <cellStyle name="20% - Accent4 8 5 4" xfId="34068"/>
    <cellStyle name="20% - Accent4 8 6" xfId="15465"/>
    <cellStyle name="20% - Accent4 8 6 2" xfId="20337"/>
    <cellStyle name="20% - Accent4 8 6 2 2" xfId="30051"/>
    <cellStyle name="20% - Accent4 8 6 2 2 2" xfId="49804"/>
    <cellStyle name="20% - Accent4 8 6 2 3" xfId="40160"/>
    <cellStyle name="20% - Accent4 8 6 3" xfId="25239"/>
    <cellStyle name="20% - Accent4 8 6 3 2" xfId="44993"/>
    <cellStyle name="20% - Accent4 8 6 4" xfId="35349"/>
    <cellStyle name="20% - Accent4 8 7" xfId="15873"/>
    <cellStyle name="20% - Accent4 8 7 2" xfId="25589"/>
    <cellStyle name="20% - Accent4 8 7 2 2" xfId="45343"/>
    <cellStyle name="20% - Accent4 8 7 3" xfId="35699"/>
    <cellStyle name="20% - Accent4 8 8" xfId="20748"/>
    <cellStyle name="20% - Accent4 8 8 2" xfId="40528"/>
    <cellStyle name="20% - Accent4 8 9" xfId="30480"/>
    <cellStyle name="20% - Accent4 8 9 2" xfId="50228"/>
    <cellStyle name="20% - Accent4 9" xfId="80"/>
    <cellStyle name="20% - Accent4 9 2" xfId="802"/>
    <cellStyle name="20% - Accent4 9 2 2" xfId="3759"/>
    <cellStyle name="20% - Accent4 9 2 2 2" xfId="3760"/>
    <cellStyle name="20% - Accent4 9 2 2 2 2" xfId="19053"/>
    <cellStyle name="20% - Accent4 9 2 2 2 2 2" xfId="28769"/>
    <cellStyle name="20% - Accent4 9 2 2 2 2 2 2" xfId="48523"/>
    <cellStyle name="20% - Accent4 9 2 2 2 2 3" xfId="38879"/>
    <cellStyle name="20% - Accent4 9 2 2 2 3" xfId="23959"/>
    <cellStyle name="20% - Accent4 9 2 2 2 3 2" xfId="43714"/>
    <cellStyle name="20% - Accent4 9 2 2 2 4" xfId="34070"/>
    <cellStyle name="20% - Accent4 9 2 2 3" xfId="19052"/>
    <cellStyle name="20% - Accent4 9 2 2 3 2" xfId="28768"/>
    <cellStyle name="20% - Accent4 9 2 2 3 2 2" xfId="48522"/>
    <cellStyle name="20% - Accent4 9 2 2 3 3" xfId="38878"/>
    <cellStyle name="20% - Accent4 9 2 2 4" xfId="23958"/>
    <cellStyle name="20% - Accent4 9 2 2 4 2" xfId="43713"/>
    <cellStyle name="20% - Accent4 9 2 2 5" xfId="34069"/>
    <cellStyle name="20% - Accent4 9 2 3" xfId="3761"/>
    <cellStyle name="20% - Accent4 9 2 3 2" xfId="19054"/>
    <cellStyle name="20% - Accent4 9 2 3 2 2" xfId="28770"/>
    <cellStyle name="20% - Accent4 9 2 3 2 2 2" xfId="48524"/>
    <cellStyle name="20% - Accent4 9 2 3 2 3" xfId="38880"/>
    <cellStyle name="20% - Accent4 9 2 3 3" xfId="23960"/>
    <cellStyle name="20% - Accent4 9 2 3 3 2" xfId="43715"/>
    <cellStyle name="20% - Accent4 9 2 3 4" xfId="34071"/>
    <cellStyle name="20% - Accent4 9 2 4" xfId="15470"/>
    <cellStyle name="20% - Accent4 9 2 4 2" xfId="20342"/>
    <cellStyle name="20% - Accent4 9 2 4 2 2" xfId="30056"/>
    <cellStyle name="20% - Accent4 9 2 4 2 2 2" xfId="49809"/>
    <cellStyle name="20% - Accent4 9 2 4 2 3" xfId="40165"/>
    <cellStyle name="20% - Accent4 9 2 4 3" xfId="25244"/>
    <cellStyle name="20% - Accent4 9 2 4 3 2" xfId="44998"/>
    <cellStyle name="20% - Accent4 9 2 4 4" xfId="35354"/>
    <cellStyle name="20% - Accent4 9 2 5" xfId="16149"/>
    <cellStyle name="20% - Accent4 9 2 5 2" xfId="25865"/>
    <cellStyle name="20% - Accent4 9 2 5 2 2" xfId="45619"/>
    <cellStyle name="20% - Accent4 9 2 5 3" xfId="35975"/>
    <cellStyle name="20% - Accent4 9 2 6" xfId="21055"/>
    <cellStyle name="20% - Accent4 9 2 6 2" xfId="40810"/>
    <cellStyle name="20% - Accent4 9 2 7" xfId="30485"/>
    <cellStyle name="20% - Accent4 9 2 7 2" xfId="50233"/>
    <cellStyle name="20% - Accent4 9 2 8" xfId="31166"/>
    <cellStyle name="20% - Accent4 9 3" xfId="803"/>
    <cellStyle name="20% - Accent4 9 3 2" xfId="3762"/>
    <cellStyle name="20% - Accent4 9 3 2 2" xfId="19055"/>
    <cellStyle name="20% - Accent4 9 3 2 2 2" xfId="28771"/>
    <cellStyle name="20% - Accent4 9 3 2 2 2 2" xfId="48525"/>
    <cellStyle name="20% - Accent4 9 3 2 2 3" xfId="38881"/>
    <cellStyle name="20% - Accent4 9 3 2 3" xfId="23961"/>
    <cellStyle name="20% - Accent4 9 3 2 3 2" xfId="43716"/>
    <cellStyle name="20% - Accent4 9 3 2 4" xfId="34072"/>
    <cellStyle name="20% - Accent4 9 3 3" xfId="16150"/>
    <cellStyle name="20% - Accent4 9 3 3 2" xfId="25866"/>
    <cellStyle name="20% - Accent4 9 3 3 2 2" xfId="45620"/>
    <cellStyle name="20% - Accent4 9 3 3 3" xfId="35976"/>
    <cellStyle name="20% - Accent4 9 3 4" xfId="21056"/>
    <cellStyle name="20% - Accent4 9 3 4 2" xfId="40811"/>
    <cellStyle name="20% - Accent4 9 3 5" xfId="31167"/>
    <cellStyle name="20% - Accent4 9 4" xfId="3763"/>
    <cellStyle name="20% - Accent4 9 4 2" xfId="19056"/>
    <cellStyle name="20% - Accent4 9 4 2 2" xfId="28772"/>
    <cellStyle name="20% - Accent4 9 4 2 2 2" xfId="48526"/>
    <cellStyle name="20% - Accent4 9 4 2 3" xfId="38882"/>
    <cellStyle name="20% - Accent4 9 4 3" xfId="23962"/>
    <cellStyle name="20% - Accent4 9 4 3 2" xfId="43717"/>
    <cellStyle name="20% - Accent4 9 4 4" xfId="34073"/>
    <cellStyle name="20% - Accent4 9 5" xfId="15469"/>
    <cellStyle name="20% - Accent4 9 5 2" xfId="20341"/>
    <cellStyle name="20% - Accent4 9 5 2 2" xfId="30055"/>
    <cellStyle name="20% - Accent4 9 5 2 2 2" xfId="49808"/>
    <cellStyle name="20% - Accent4 9 5 2 3" xfId="40164"/>
    <cellStyle name="20% - Accent4 9 5 3" xfId="25243"/>
    <cellStyle name="20% - Accent4 9 5 3 2" xfId="44997"/>
    <cellStyle name="20% - Accent4 9 5 4" xfId="35353"/>
    <cellStyle name="20% - Accent4 9 6" xfId="15875"/>
    <cellStyle name="20% - Accent4 9 6 2" xfId="25591"/>
    <cellStyle name="20% - Accent4 9 6 2 2" xfId="45345"/>
    <cellStyle name="20% - Accent4 9 6 3" xfId="35701"/>
    <cellStyle name="20% - Accent4 9 7" xfId="20750"/>
    <cellStyle name="20% - Accent4 9 7 2" xfId="40530"/>
    <cellStyle name="20% - Accent4 9 8" xfId="30484"/>
    <cellStyle name="20% - Accent4 9 8 2" xfId="50232"/>
    <cellStyle name="20% - Accent4 9 9" xfId="30861"/>
    <cellStyle name="20% - Accent5" xfId="81" builtinId="46" customBuiltin="1"/>
    <cellStyle name="20% - Accent5 10" xfId="804"/>
    <cellStyle name="20% - Accent5 10 2" xfId="3764"/>
    <cellStyle name="20% - Accent5 10 2 2" xfId="3765"/>
    <cellStyle name="20% - Accent5 10 2 2 2" xfId="19058"/>
    <cellStyle name="20% - Accent5 10 2 2 2 2" xfId="28774"/>
    <cellStyle name="20% - Accent5 10 2 2 2 2 2" xfId="48528"/>
    <cellStyle name="20% - Accent5 10 2 2 2 3" xfId="38884"/>
    <cellStyle name="20% - Accent5 10 2 2 3" xfId="23964"/>
    <cellStyle name="20% - Accent5 10 2 2 3 2" xfId="43719"/>
    <cellStyle name="20% - Accent5 10 2 2 4" xfId="34075"/>
    <cellStyle name="20% - Accent5 10 2 3" xfId="19057"/>
    <cellStyle name="20% - Accent5 10 2 3 2" xfId="28773"/>
    <cellStyle name="20% - Accent5 10 2 3 2 2" xfId="48527"/>
    <cellStyle name="20% - Accent5 10 2 3 3" xfId="38883"/>
    <cellStyle name="20% - Accent5 10 2 4" xfId="23963"/>
    <cellStyle name="20% - Accent5 10 2 4 2" xfId="43718"/>
    <cellStyle name="20% - Accent5 10 2 5" xfId="34074"/>
    <cellStyle name="20% - Accent5 10 3" xfId="3766"/>
    <cellStyle name="20% - Accent5 10 3 2" xfId="19059"/>
    <cellStyle name="20% - Accent5 10 3 2 2" xfId="28775"/>
    <cellStyle name="20% - Accent5 10 3 2 2 2" xfId="48529"/>
    <cellStyle name="20% - Accent5 10 3 2 3" xfId="38885"/>
    <cellStyle name="20% - Accent5 10 3 3" xfId="23965"/>
    <cellStyle name="20% - Accent5 10 3 3 2" xfId="43720"/>
    <cellStyle name="20% - Accent5 10 3 4" xfId="34076"/>
    <cellStyle name="20% - Accent5 10 4" xfId="15472"/>
    <cellStyle name="20% - Accent5 10 4 2" xfId="20344"/>
    <cellStyle name="20% - Accent5 10 4 2 2" xfId="30058"/>
    <cellStyle name="20% - Accent5 10 4 2 2 2" xfId="49811"/>
    <cellStyle name="20% - Accent5 10 4 2 3" xfId="40167"/>
    <cellStyle name="20% - Accent5 10 4 3" xfId="25246"/>
    <cellStyle name="20% - Accent5 10 4 3 2" xfId="45000"/>
    <cellStyle name="20% - Accent5 10 4 4" xfId="35356"/>
    <cellStyle name="20% - Accent5 10 5" xfId="16151"/>
    <cellStyle name="20% - Accent5 10 5 2" xfId="25867"/>
    <cellStyle name="20% - Accent5 10 5 2 2" xfId="45621"/>
    <cellStyle name="20% - Accent5 10 5 3" xfId="35977"/>
    <cellStyle name="20% - Accent5 10 6" xfId="21057"/>
    <cellStyle name="20% - Accent5 10 6 2" xfId="40812"/>
    <cellStyle name="20% - Accent5 10 7" xfId="30486"/>
    <cellStyle name="20% - Accent5 10 7 2" xfId="50234"/>
    <cellStyle name="20% - Accent5 10 8" xfId="31168"/>
    <cellStyle name="20% - Accent5 11" xfId="805"/>
    <cellStyle name="20% - Accent5 11 2" xfId="3767"/>
    <cellStyle name="20% - Accent5 11 2 2" xfId="19060"/>
    <cellStyle name="20% - Accent5 11 2 2 2" xfId="28776"/>
    <cellStyle name="20% - Accent5 11 2 2 2 2" xfId="48530"/>
    <cellStyle name="20% - Accent5 11 2 2 3" xfId="38886"/>
    <cellStyle name="20% - Accent5 11 2 3" xfId="23966"/>
    <cellStyle name="20% - Accent5 11 2 3 2" xfId="43721"/>
    <cellStyle name="20% - Accent5 11 2 4" xfId="34077"/>
    <cellStyle name="20% - Accent5 11 3" xfId="16152"/>
    <cellStyle name="20% - Accent5 11 3 2" xfId="25868"/>
    <cellStyle name="20% - Accent5 11 3 2 2" xfId="45622"/>
    <cellStyle name="20% - Accent5 11 3 3" xfId="35978"/>
    <cellStyle name="20% - Accent5 11 4" xfId="21058"/>
    <cellStyle name="20% - Accent5 11 4 2" xfId="40813"/>
    <cellStyle name="20% - Accent5 11 5" xfId="31169"/>
    <cellStyle name="20% - Accent5 12" xfId="806"/>
    <cellStyle name="20% - Accent5 12 2" xfId="16153"/>
    <cellStyle name="20% - Accent5 12 2 2" xfId="25869"/>
    <cellStyle name="20% - Accent5 12 2 2 2" xfId="45623"/>
    <cellStyle name="20% - Accent5 12 2 3" xfId="35979"/>
    <cellStyle name="20% - Accent5 12 3" xfId="21059"/>
    <cellStyle name="20% - Accent5 12 3 2" xfId="40814"/>
    <cellStyle name="20% - Accent5 12 4" xfId="31170"/>
    <cellStyle name="20% - Accent5 13" xfId="807"/>
    <cellStyle name="20% - Accent5 13 2" xfId="16154"/>
    <cellStyle name="20% - Accent5 13 2 2" xfId="25870"/>
    <cellStyle name="20% - Accent5 13 2 2 2" xfId="45624"/>
    <cellStyle name="20% - Accent5 13 2 3" xfId="35980"/>
    <cellStyle name="20% - Accent5 13 3" xfId="21060"/>
    <cellStyle name="20% - Accent5 13 3 2" xfId="40815"/>
    <cellStyle name="20% - Accent5 13 4" xfId="31171"/>
    <cellStyle name="20% - Accent5 14" xfId="15471"/>
    <cellStyle name="20% - Accent5 14 2" xfId="20343"/>
    <cellStyle name="20% - Accent5 14 2 2" xfId="30057"/>
    <cellStyle name="20% - Accent5 14 2 2 2" xfId="49810"/>
    <cellStyle name="20% - Accent5 14 2 3" xfId="40166"/>
    <cellStyle name="20% - Accent5 14 3" xfId="25245"/>
    <cellStyle name="20% - Accent5 14 3 2" xfId="44999"/>
    <cellStyle name="20% - Accent5 14 4" xfId="35355"/>
    <cellStyle name="20% - Accent5 15" xfId="15808"/>
    <cellStyle name="20% - Accent5 15 2" xfId="25524"/>
    <cellStyle name="20% - Accent5 15 2 2" xfId="45278"/>
    <cellStyle name="20% - Accent5 15 3" xfId="35634"/>
    <cellStyle name="20% - Accent5 16" xfId="20674"/>
    <cellStyle name="20% - Accent5 16 2" xfId="30351"/>
    <cellStyle name="20% - Accent5 16 2 2" xfId="50100"/>
    <cellStyle name="20% - Accent5 16 3" xfId="40456"/>
    <cellStyle name="20% - Accent5 17" xfId="20681"/>
    <cellStyle name="20% - Accent5 17 2" xfId="40462"/>
    <cellStyle name="20% - Accent5 18" xfId="30365"/>
    <cellStyle name="20% - Accent5 18 2" xfId="50114"/>
    <cellStyle name="20% - Accent5 19" xfId="30775"/>
    <cellStyle name="20% - Accent5 19 2" xfId="50514"/>
    <cellStyle name="20% - Accent5 2" xfId="82"/>
    <cellStyle name="20% - Accent5 2 10" xfId="3768"/>
    <cellStyle name="20% - Accent5 2 10 2" xfId="3769"/>
    <cellStyle name="20% - Accent5 2 10 2 2" xfId="19062"/>
    <cellStyle name="20% - Accent5 2 10 2 2 2" xfId="28778"/>
    <cellStyle name="20% - Accent5 2 10 2 2 2 2" xfId="48532"/>
    <cellStyle name="20% - Accent5 2 10 2 2 3" xfId="38888"/>
    <cellStyle name="20% - Accent5 2 10 2 3" xfId="23968"/>
    <cellStyle name="20% - Accent5 2 10 2 3 2" xfId="43723"/>
    <cellStyle name="20% - Accent5 2 10 2 4" xfId="34079"/>
    <cellStyle name="20% - Accent5 2 10 3" xfId="19061"/>
    <cellStyle name="20% - Accent5 2 10 3 2" xfId="28777"/>
    <cellStyle name="20% - Accent5 2 10 3 2 2" xfId="48531"/>
    <cellStyle name="20% - Accent5 2 10 3 3" xfId="38887"/>
    <cellStyle name="20% - Accent5 2 10 4" xfId="23967"/>
    <cellStyle name="20% - Accent5 2 10 4 2" xfId="43722"/>
    <cellStyle name="20% - Accent5 2 10 5" xfId="34078"/>
    <cellStyle name="20% - Accent5 2 11" xfId="3770"/>
    <cellStyle name="20% - Accent5 2 11 2" xfId="19063"/>
    <cellStyle name="20% - Accent5 2 11 2 2" xfId="28779"/>
    <cellStyle name="20% - Accent5 2 11 2 2 2" xfId="48533"/>
    <cellStyle name="20% - Accent5 2 11 2 3" xfId="38889"/>
    <cellStyle name="20% - Accent5 2 11 3" xfId="23969"/>
    <cellStyle name="20% - Accent5 2 11 3 2" xfId="43724"/>
    <cellStyle name="20% - Accent5 2 11 4" xfId="34080"/>
    <cellStyle name="20% - Accent5 2 12" xfId="3771"/>
    <cellStyle name="20% - Accent5 2 12 2" xfId="19064"/>
    <cellStyle name="20% - Accent5 2 12 2 2" xfId="28780"/>
    <cellStyle name="20% - Accent5 2 12 2 2 2" xfId="48534"/>
    <cellStyle name="20% - Accent5 2 12 2 3" xfId="38890"/>
    <cellStyle name="20% - Accent5 2 12 3" xfId="23970"/>
    <cellStyle name="20% - Accent5 2 12 3 2" xfId="43725"/>
    <cellStyle name="20% - Accent5 2 12 4" xfId="34081"/>
    <cellStyle name="20% - Accent5 2 13" xfId="3772"/>
    <cellStyle name="20% - Accent5 2 13 2" xfId="19065"/>
    <cellStyle name="20% - Accent5 2 13 2 2" xfId="28781"/>
    <cellStyle name="20% - Accent5 2 13 2 2 2" xfId="48535"/>
    <cellStyle name="20% - Accent5 2 13 2 3" xfId="38891"/>
    <cellStyle name="20% - Accent5 2 13 3" xfId="23971"/>
    <cellStyle name="20% - Accent5 2 13 3 2" xfId="43726"/>
    <cellStyle name="20% - Accent5 2 13 4" xfId="34082"/>
    <cellStyle name="20% - Accent5 2 2" xfId="83"/>
    <cellStyle name="20% - Accent5 2 2 10" xfId="3773"/>
    <cellStyle name="20% - Accent5 2 2 10 2" xfId="19066"/>
    <cellStyle name="20% - Accent5 2 2 10 2 2" xfId="28782"/>
    <cellStyle name="20% - Accent5 2 2 10 2 2 2" xfId="48536"/>
    <cellStyle name="20% - Accent5 2 2 10 2 3" xfId="38892"/>
    <cellStyle name="20% - Accent5 2 2 10 3" xfId="23972"/>
    <cellStyle name="20% - Accent5 2 2 10 3 2" xfId="43727"/>
    <cellStyle name="20% - Accent5 2 2 10 4" xfId="34083"/>
    <cellStyle name="20% - Accent5 2 2 11" xfId="3774"/>
    <cellStyle name="20% - Accent5 2 2 11 2" xfId="19067"/>
    <cellStyle name="20% - Accent5 2 2 11 2 2" xfId="28783"/>
    <cellStyle name="20% - Accent5 2 2 11 2 2 2" xfId="48537"/>
    <cellStyle name="20% - Accent5 2 2 11 2 3" xfId="38893"/>
    <cellStyle name="20% - Accent5 2 2 11 3" xfId="23973"/>
    <cellStyle name="20% - Accent5 2 2 11 3 2" xfId="43728"/>
    <cellStyle name="20% - Accent5 2 2 11 4" xfId="34084"/>
    <cellStyle name="20% - Accent5 2 2 12" xfId="3775"/>
    <cellStyle name="20% - Accent5 2 2 12 2" xfId="19068"/>
    <cellStyle name="20% - Accent5 2 2 12 2 2" xfId="28784"/>
    <cellStyle name="20% - Accent5 2 2 12 2 2 2" xfId="48538"/>
    <cellStyle name="20% - Accent5 2 2 12 2 3" xfId="38894"/>
    <cellStyle name="20% - Accent5 2 2 12 3" xfId="23974"/>
    <cellStyle name="20% - Accent5 2 2 12 3 2" xfId="43729"/>
    <cellStyle name="20% - Accent5 2 2 12 4" xfId="34085"/>
    <cellStyle name="20% - Accent5 2 2 2" xfId="3776"/>
    <cellStyle name="20% - Accent5 2 2 2 10" xfId="3777"/>
    <cellStyle name="20% - Accent5 2 2 2 10 2" xfId="19070"/>
    <cellStyle name="20% - Accent5 2 2 2 10 2 2" xfId="28786"/>
    <cellStyle name="20% - Accent5 2 2 2 10 2 2 2" xfId="48540"/>
    <cellStyle name="20% - Accent5 2 2 2 10 2 3" xfId="38896"/>
    <cellStyle name="20% - Accent5 2 2 2 10 3" xfId="23976"/>
    <cellStyle name="20% - Accent5 2 2 2 10 3 2" xfId="43731"/>
    <cellStyle name="20% - Accent5 2 2 2 10 4" xfId="34087"/>
    <cellStyle name="20% - Accent5 2 2 2 11" xfId="19069"/>
    <cellStyle name="20% - Accent5 2 2 2 11 2" xfId="28785"/>
    <cellStyle name="20% - Accent5 2 2 2 11 2 2" xfId="48539"/>
    <cellStyle name="20% - Accent5 2 2 2 11 3" xfId="38895"/>
    <cellStyle name="20% - Accent5 2 2 2 12" xfId="23975"/>
    <cellStyle name="20% - Accent5 2 2 2 12 2" xfId="43730"/>
    <cellStyle name="20% - Accent5 2 2 2 13" xfId="34086"/>
    <cellStyle name="20% - Accent5 2 2 2 2" xfId="3778"/>
    <cellStyle name="20% - Accent5 2 2 2 2 10" xfId="34088"/>
    <cellStyle name="20% - Accent5 2 2 2 2 2" xfId="3779"/>
    <cellStyle name="20% - Accent5 2 2 2 2 2 2" xfId="3780"/>
    <cellStyle name="20% - Accent5 2 2 2 2 2 2 2" xfId="3781"/>
    <cellStyle name="20% - Accent5 2 2 2 2 2 2 2 2" xfId="3782"/>
    <cellStyle name="20% - Accent5 2 2 2 2 2 2 2 2 2" xfId="19075"/>
    <cellStyle name="20% - Accent5 2 2 2 2 2 2 2 2 2 2" xfId="28791"/>
    <cellStyle name="20% - Accent5 2 2 2 2 2 2 2 2 2 2 2" xfId="48545"/>
    <cellStyle name="20% - Accent5 2 2 2 2 2 2 2 2 2 3" xfId="38901"/>
    <cellStyle name="20% - Accent5 2 2 2 2 2 2 2 2 3" xfId="23981"/>
    <cellStyle name="20% - Accent5 2 2 2 2 2 2 2 2 3 2" xfId="43736"/>
    <cellStyle name="20% - Accent5 2 2 2 2 2 2 2 2 4" xfId="34092"/>
    <cellStyle name="20% - Accent5 2 2 2 2 2 2 2 3" xfId="19074"/>
    <cellStyle name="20% - Accent5 2 2 2 2 2 2 2 3 2" xfId="28790"/>
    <cellStyle name="20% - Accent5 2 2 2 2 2 2 2 3 2 2" xfId="48544"/>
    <cellStyle name="20% - Accent5 2 2 2 2 2 2 2 3 3" xfId="38900"/>
    <cellStyle name="20% - Accent5 2 2 2 2 2 2 2 4" xfId="23980"/>
    <cellStyle name="20% - Accent5 2 2 2 2 2 2 2 4 2" xfId="43735"/>
    <cellStyle name="20% - Accent5 2 2 2 2 2 2 2 5" xfId="34091"/>
    <cellStyle name="20% - Accent5 2 2 2 2 2 2 3" xfId="3783"/>
    <cellStyle name="20% - Accent5 2 2 2 2 2 2 3 2" xfId="19076"/>
    <cellStyle name="20% - Accent5 2 2 2 2 2 2 3 2 2" xfId="28792"/>
    <cellStyle name="20% - Accent5 2 2 2 2 2 2 3 2 2 2" xfId="48546"/>
    <cellStyle name="20% - Accent5 2 2 2 2 2 2 3 2 3" xfId="38902"/>
    <cellStyle name="20% - Accent5 2 2 2 2 2 2 3 3" xfId="23982"/>
    <cellStyle name="20% - Accent5 2 2 2 2 2 2 3 3 2" xfId="43737"/>
    <cellStyle name="20% - Accent5 2 2 2 2 2 2 3 4" xfId="34093"/>
    <cellStyle name="20% - Accent5 2 2 2 2 2 2 4" xfId="19073"/>
    <cellStyle name="20% - Accent5 2 2 2 2 2 2 4 2" xfId="28789"/>
    <cellStyle name="20% - Accent5 2 2 2 2 2 2 4 2 2" xfId="48543"/>
    <cellStyle name="20% - Accent5 2 2 2 2 2 2 4 3" xfId="38899"/>
    <cellStyle name="20% - Accent5 2 2 2 2 2 2 5" xfId="23979"/>
    <cellStyle name="20% - Accent5 2 2 2 2 2 2 5 2" xfId="43734"/>
    <cellStyle name="20% - Accent5 2 2 2 2 2 2 6" xfId="34090"/>
    <cellStyle name="20% - Accent5 2 2 2 2 2 3" xfId="3784"/>
    <cellStyle name="20% - Accent5 2 2 2 2 2 3 2" xfId="3785"/>
    <cellStyle name="20% - Accent5 2 2 2 2 2 3 2 2" xfId="19078"/>
    <cellStyle name="20% - Accent5 2 2 2 2 2 3 2 2 2" xfId="28794"/>
    <cellStyle name="20% - Accent5 2 2 2 2 2 3 2 2 2 2" xfId="48548"/>
    <cellStyle name="20% - Accent5 2 2 2 2 2 3 2 2 3" xfId="38904"/>
    <cellStyle name="20% - Accent5 2 2 2 2 2 3 2 3" xfId="23984"/>
    <cellStyle name="20% - Accent5 2 2 2 2 2 3 2 3 2" xfId="43739"/>
    <cellStyle name="20% - Accent5 2 2 2 2 2 3 2 4" xfId="34095"/>
    <cellStyle name="20% - Accent5 2 2 2 2 2 3 3" xfId="19077"/>
    <cellStyle name="20% - Accent5 2 2 2 2 2 3 3 2" xfId="28793"/>
    <cellStyle name="20% - Accent5 2 2 2 2 2 3 3 2 2" xfId="48547"/>
    <cellStyle name="20% - Accent5 2 2 2 2 2 3 3 3" xfId="38903"/>
    <cellStyle name="20% - Accent5 2 2 2 2 2 3 4" xfId="23983"/>
    <cellStyle name="20% - Accent5 2 2 2 2 2 3 4 2" xfId="43738"/>
    <cellStyle name="20% - Accent5 2 2 2 2 2 3 5" xfId="34094"/>
    <cellStyle name="20% - Accent5 2 2 2 2 2 4" xfId="3786"/>
    <cellStyle name="20% - Accent5 2 2 2 2 2 4 2" xfId="19079"/>
    <cellStyle name="20% - Accent5 2 2 2 2 2 4 2 2" xfId="28795"/>
    <cellStyle name="20% - Accent5 2 2 2 2 2 4 2 2 2" xfId="48549"/>
    <cellStyle name="20% - Accent5 2 2 2 2 2 4 2 3" xfId="38905"/>
    <cellStyle name="20% - Accent5 2 2 2 2 2 4 3" xfId="23985"/>
    <cellStyle name="20% - Accent5 2 2 2 2 2 4 3 2" xfId="43740"/>
    <cellStyle name="20% - Accent5 2 2 2 2 2 4 4" xfId="34096"/>
    <cellStyle name="20% - Accent5 2 2 2 2 2 5" xfId="19072"/>
    <cellStyle name="20% - Accent5 2 2 2 2 2 5 2" xfId="28788"/>
    <cellStyle name="20% - Accent5 2 2 2 2 2 5 2 2" xfId="48542"/>
    <cellStyle name="20% - Accent5 2 2 2 2 2 5 3" xfId="38898"/>
    <cellStyle name="20% - Accent5 2 2 2 2 2 6" xfId="23978"/>
    <cellStyle name="20% - Accent5 2 2 2 2 2 6 2" xfId="43733"/>
    <cellStyle name="20% - Accent5 2 2 2 2 2 7" xfId="34089"/>
    <cellStyle name="20% - Accent5 2 2 2 2 3" xfId="3787"/>
    <cellStyle name="20% - Accent5 2 2 2 2 3 2" xfId="3788"/>
    <cellStyle name="20% - Accent5 2 2 2 2 3 2 2" xfId="3789"/>
    <cellStyle name="20% - Accent5 2 2 2 2 3 2 2 2" xfId="19082"/>
    <cellStyle name="20% - Accent5 2 2 2 2 3 2 2 2 2" xfId="28798"/>
    <cellStyle name="20% - Accent5 2 2 2 2 3 2 2 2 2 2" xfId="48552"/>
    <cellStyle name="20% - Accent5 2 2 2 2 3 2 2 2 3" xfId="38908"/>
    <cellStyle name="20% - Accent5 2 2 2 2 3 2 2 3" xfId="23988"/>
    <cellStyle name="20% - Accent5 2 2 2 2 3 2 2 3 2" xfId="43743"/>
    <cellStyle name="20% - Accent5 2 2 2 2 3 2 2 4" xfId="34099"/>
    <cellStyle name="20% - Accent5 2 2 2 2 3 2 3" xfId="19081"/>
    <cellStyle name="20% - Accent5 2 2 2 2 3 2 3 2" xfId="28797"/>
    <cellStyle name="20% - Accent5 2 2 2 2 3 2 3 2 2" xfId="48551"/>
    <cellStyle name="20% - Accent5 2 2 2 2 3 2 3 3" xfId="38907"/>
    <cellStyle name="20% - Accent5 2 2 2 2 3 2 4" xfId="23987"/>
    <cellStyle name="20% - Accent5 2 2 2 2 3 2 4 2" xfId="43742"/>
    <cellStyle name="20% - Accent5 2 2 2 2 3 2 5" xfId="34098"/>
    <cellStyle name="20% - Accent5 2 2 2 2 3 3" xfId="3790"/>
    <cellStyle name="20% - Accent5 2 2 2 2 3 3 2" xfId="19083"/>
    <cellStyle name="20% - Accent5 2 2 2 2 3 3 2 2" xfId="28799"/>
    <cellStyle name="20% - Accent5 2 2 2 2 3 3 2 2 2" xfId="48553"/>
    <cellStyle name="20% - Accent5 2 2 2 2 3 3 2 3" xfId="38909"/>
    <cellStyle name="20% - Accent5 2 2 2 2 3 3 3" xfId="23989"/>
    <cellStyle name="20% - Accent5 2 2 2 2 3 3 3 2" xfId="43744"/>
    <cellStyle name="20% - Accent5 2 2 2 2 3 3 4" xfId="34100"/>
    <cellStyle name="20% - Accent5 2 2 2 2 3 4" xfId="19080"/>
    <cellStyle name="20% - Accent5 2 2 2 2 3 4 2" xfId="28796"/>
    <cellStyle name="20% - Accent5 2 2 2 2 3 4 2 2" xfId="48550"/>
    <cellStyle name="20% - Accent5 2 2 2 2 3 4 3" xfId="38906"/>
    <cellStyle name="20% - Accent5 2 2 2 2 3 5" xfId="23986"/>
    <cellStyle name="20% - Accent5 2 2 2 2 3 5 2" xfId="43741"/>
    <cellStyle name="20% - Accent5 2 2 2 2 3 6" xfId="34097"/>
    <cellStyle name="20% - Accent5 2 2 2 2 4" xfId="3791"/>
    <cellStyle name="20% - Accent5 2 2 2 2 4 2" xfId="3792"/>
    <cellStyle name="20% - Accent5 2 2 2 2 4 2 2" xfId="19085"/>
    <cellStyle name="20% - Accent5 2 2 2 2 4 2 2 2" xfId="28801"/>
    <cellStyle name="20% - Accent5 2 2 2 2 4 2 2 2 2" xfId="48555"/>
    <cellStyle name="20% - Accent5 2 2 2 2 4 2 2 3" xfId="38911"/>
    <cellStyle name="20% - Accent5 2 2 2 2 4 2 3" xfId="23991"/>
    <cellStyle name="20% - Accent5 2 2 2 2 4 2 3 2" xfId="43746"/>
    <cellStyle name="20% - Accent5 2 2 2 2 4 2 4" xfId="34102"/>
    <cellStyle name="20% - Accent5 2 2 2 2 4 3" xfId="19084"/>
    <cellStyle name="20% - Accent5 2 2 2 2 4 3 2" xfId="28800"/>
    <cellStyle name="20% - Accent5 2 2 2 2 4 3 2 2" xfId="48554"/>
    <cellStyle name="20% - Accent5 2 2 2 2 4 3 3" xfId="38910"/>
    <cellStyle name="20% - Accent5 2 2 2 2 4 4" xfId="23990"/>
    <cellStyle name="20% - Accent5 2 2 2 2 4 4 2" xfId="43745"/>
    <cellStyle name="20% - Accent5 2 2 2 2 4 5" xfId="34101"/>
    <cellStyle name="20% - Accent5 2 2 2 2 5" xfId="3793"/>
    <cellStyle name="20% - Accent5 2 2 2 2 5 2" xfId="19086"/>
    <cellStyle name="20% - Accent5 2 2 2 2 5 2 2" xfId="28802"/>
    <cellStyle name="20% - Accent5 2 2 2 2 5 2 2 2" xfId="48556"/>
    <cellStyle name="20% - Accent5 2 2 2 2 5 2 3" xfId="38912"/>
    <cellStyle name="20% - Accent5 2 2 2 2 5 3" xfId="23992"/>
    <cellStyle name="20% - Accent5 2 2 2 2 5 3 2" xfId="43747"/>
    <cellStyle name="20% - Accent5 2 2 2 2 5 4" xfId="34103"/>
    <cellStyle name="20% - Accent5 2 2 2 2 6" xfId="3794"/>
    <cellStyle name="20% - Accent5 2 2 2 2 6 2" xfId="19087"/>
    <cellStyle name="20% - Accent5 2 2 2 2 6 2 2" xfId="28803"/>
    <cellStyle name="20% - Accent5 2 2 2 2 6 2 2 2" xfId="48557"/>
    <cellStyle name="20% - Accent5 2 2 2 2 6 2 3" xfId="38913"/>
    <cellStyle name="20% - Accent5 2 2 2 2 6 3" xfId="23993"/>
    <cellStyle name="20% - Accent5 2 2 2 2 6 3 2" xfId="43748"/>
    <cellStyle name="20% - Accent5 2 2 2 2 6 4" xfId="34104"/>
    <cellStyle name="20% - Accent5 2 2 2 2 7" xfId="3795"/>
    <cellStyle name="20% - Accent5 2 2 2 2 7 2" xfId="19088"/>
    <cellStyle name="20% - Accent5 2 2 2 2 7 2 2" xfId="28804"/>
    <cellStyle name="20% - Accent5 2 2 2 2 7 2 2 2" xfId="48558"/>
    <cellStyle name="20% - Accent5 2 2 2 2 7 2 3" xfId="38914"/>
    <cellStyle name="20% - Accent5 2 2 2 2 7 3" xfId="23994"/>
    <cellStyle name="20% - Accent5 2 2 2 2 7 3 2" xfId="43749"/>
    <cellStyle name="20% - Accent5 2 2 2 2 7 4" xfId="34105"/>
    <cellStyle name="20% - Accent5 2 2 2 2 8" xfId="19071"/>
    <cellStyle name="20% - Accent5 2 2 2 2 8 2" xfId="28787"/>
    <cellStyle name="20% - Accent5 2 2 2 2 8 2 2" xfId="48541"/>
    <cellStyle name="20% - Accent5 2 2 2 2 8 3" xfId="38897"/>
    <cellStyle name="20% - Accent5 2 2 2 2 9" xfId="23977"/>
    <cellStyle name="20% - Accent5 2 2 2 2 9 2" xfId="43732"/>
    <cellStyle name="20% - Accent5 2 2 2 3" xfId="3796"/>
    <cellStyle name="20% - Accent5 2 2 2 3 2" xfId="3797"/>
    <cellStyle name="20% - Accent5 2 2 2 3 2 2" xfId="3798"/>
    <cellStyle name="20% - Accent5 2 2 2 3 2 2 2" xfId="3799"/>
    <cellStyle name="20% - Accent5 2 2 2 3 2 2 2 2" xfId="19092"/>
    <cellStyle name="20% - Accent5 2 2 2 3 2 2 2 2 2" xfId="28808"/>
    <cellStyle name="20% - Accent5 2 2 2 3 2 2 2 2 2 2" xfId="48562"/>
    <cellStyle name="20% - Accent5 2 2 2 3 2 2 2 2 3" xfId="38918"/>
    <cellStyle name="20% - Accent5 2 2 2 3 2 2 2 3" xfId="23998"/>
    <cellStyle name="20% - Accent5 2 2 2 3 2 2 2 3 2" xfId="43753"/>
    <cellStyle name="20% - Accent5 2 2 2 3 2 2 2 4" xfId="34109"/>
    <cellStyle name="20% - Accent5 2 2 2 3 2 2 3" xfId="19091"/>
    <cellStyle name="20% - Accent5 2 2 2 3 2 2 3 2" xfId="28807"/>
    <cellStyle name="20% - Accent5 2 2 2 3 2 2 3 2 2" xfId="48561"/>
    <cellStyle name="20% - Accent5 2 2 2 3 2 2 3 3" xfId="38917"/>
    <cellStyle name="20% - Accent5 2 2 2 3 2 2 4" xfId="23997"/>
    <cellStyle name="20% - Accent5 2 2 2 3 2 2 4 2" xfId="43752"/>
    <cellStyle name="20% - Accent5 2 2 2 3 2 2 5" xfId="34108"/>
    <cellStyle name="20% - Accent5 2 2 2 3 2 3" xfId="3800"/>
    <cellStyle name="20% - Accent5 2 2 2 3 2 3 2" xfId="19093"/>
    <cellStyle name="20% - Accent5 2 2 2 3 2 3 2 2" xfId="28809"/>
    <cellStyle name="20% - Accent5 2 2 2 3 2 3 2 2 2" xfId="48563"/>
    <cellStyle name="20% - Accent5 2 2 2 3 2 3 2 3" xfId="38919"/>
    <cellStyle name="20% - Accent5 2 2 2 3 2 3 3" xfId="23999"/>
    <cellStyle name="20% - Accent5 2 2 2 3 2 3 3 2" xfId="43754"/>
    <cellStyle name="20% - Accent5 2 2 2 3 2 3 4" xfId="34110"/>
    <cellStyle name="20% - Accent5 2 2 2 3 2 4" xfId="19090"/>
    <cellStyle name="20% - Accent5 2 2 2 3 2 4 2" xfId="28806"/>
    <cellStyle name="20% - Accent5 2 2 2 3 2 4 2 2" xfId="48560"/>
    <cellStyle name="20% - Accent5 2 2 2 3 2 4 3" xfId="38916"/>
    <cellStyle name="20% - Accent5 2 2 2 3 2 5" xfId="23996"/>
    <cellStyle name="20% - Accent5 2 2 2 3 2 5 2" xfId="43751"/>
    <cellStyle name="20% - Accent5 2 2 2 3 2 6" xfId="34107"/>
    <cellStyle name="20% - Accent5 2 2 2 3 3" xfId="3801"/>
    <cellStyle name="20% - Accent5 2 2 2 3 3 2" xfId="3802"/>
    <cellStyle name="20% - Accent5 2 2 2 3 3 2 2" xfId="19095"/>
    <cellStyle name="20% - Accent5 2 2 2 3 3 2 2 2" xfId="28811"/>
    <cellStyle name="20% - Accent5 2 2 2 3 3 2 2 2 2" xfId="48565"/>
    <cellStyle name="20% - Accent5 2 2 2 3 3 2 2 3" xfId="38921"/>
    <cellStyle name="20% - Accent5 2 2 2 3 3 2 3" xfId="24001"/>
    <cellStyle name="20% - Accent5 2 2 2 3 3 2 3 2" xfId="43756"/>
    <cellStyle name="20% - Accent5 2 2 2 3 3 2 4" xfId="34112"/>
    <cellStyle name="20% - Accent5 2 2 2 3 3 3" xfId="19094"/>
    <cellStyle name="20% - Accent5 2 2 2 3 3 3 2" xfId="28810"/>
    <cellStyle name="20% - Accent5 2 2 2 3 3 3 2 2" xfId="48564"/>
    <cellStyle name="20% - Accent5 2 2 2 3 3 3 3" xfId="38920"/>
    <cellStyle name="20% - Accent5 2 2 2 3 3 4" xfId="24000"/>
    <cellStyle name="20% - Accent5 2 2 2 3 3 4 2" xfId="43755"/>
    <cellStyle name="20% - Accent5 2 2 2 3 3 5" xfId="34111"/>
    <cellStyle name="20% - Accent5 2 2 2 3 4" xfId="3803"/>
    <cellStyle name="20% - Accent5 2 2 2 3 4 2" xfId="19096"/>
    <cellStyle name="20% - Accent5 2 2 2 3 4 2 2" xfId="28812"/>
    <cellStyle name="20% - Accent5 2 2 2 3 4 2 2 2" xfId="48566"/>
    <cellStyle name="20% - Accent5 2 2 2 3 4 2 3" xfId="38922"/>
    <cellStyle name="20% - Accent5 2 2 2 3 4 3" xfId="24002"/>
    <cellStyle name="20% - Accent5 2 2 2 3 4 3 2" xfId="43757"/>
    <cellStyle name="20% - Accent5 2 2 2 3 4 4" xfId="34113"/>
    <cellStyle name="20% - Accent5 2 2 2 3 5" xfId="19089"/>
    <cellStyle name="20% - Accent5 2 2 2 3 5 2" xfId="28805"/>
    <cellStyle name="20% - Accent5 2 2 2 3 5 2 2" xfId="48559"/>
    <cellStyle name="20% - Accent5 2 2 2 3 5 3" xfId="38915"/>
    <cellStyle name="20% - Accent5 2 2 2 3 6" xfId="23995"/>
    <cellStyle name="20% - Accent5 2 2 2 3 6 2" xfId="43750"/>
    <cellStyle name="20% - Accent5 2 2 2 3 7" xfId="34106"/>
    <cellStyle name="20% - Accent5 2 2 2 4" xfId="3804"/>
    <cellStyle name="20% - Accent5 2 2 2 4 2" xfId="3805"/>
    <cellStyle name="20% - Accent5 2 2 2 4 2 2" xfId="3806"/>
    <cellStyle name="20% - Accent5 2 2 2 4 2 2 2" xfId="3807"/>
    <cellStyle name="20% - Accent5 2 2 2 4 2 2 2 2" xfId="19100"/>
    <cellStyle name="20% - Accent5 2 2 2 4 2 2 2 2 2" xfId="28816"/>
    <cellStyle name="20% - Accent5 2 2 2 4 2 2 2 2 2 2" xfId="48570"/>
    <cellStyle name="20% - Accent5 2 2 2 4 2 2 2 2 3" xfId="38926"/>
    <cellStyle name="20% - Accent5 2 2 2 4 2 2 2 3" xfId="24006"/>
    <cellStyle name="20% - Accent5 2 2 2 4 2 2 2 3 2" xfId="43761"/>
    <cellStyle name="20% - Accent5 2 2 2 4 2 2 2 4" xfId="34117"/>
    <cellStyle name="20% - Accent5 2 2 2 4 2 2 3" xfId="19099"/>
    <cellStyle name="20% - Accent5 2 2 2 4 2 2 3 2" xfId="28815"/>
    <cellStyle name="20% - Accent5 2 2 2 4 2 2 3 2 2" xfId="48569"/>
    <cellStyle name="20% - Accent5 2 2 2 4 2 2 3 3" xfId="38925"/>
    <cellStyle name="20% - Accent5 2 2 2 4 2 2 4" xfId="24005"/>
    <cellStyle name="20% - Accent5 2 2 2 4 2 2 4 2" xfId="43760"/>
    <cellStyle name="20% - Accent5 2 2 2 4 2 2 5" xfId="34116"/>
    <cellStyle name="20% - Accent5 2 2 2 4 2 3" xfId="3808"/>
    <cellStyle name="20% - Accent5 2 2 2 4 2 3 2" xfId="19101"/>
    <cellStyle name="20% - Accent5 2 2 2 4 2 3 2 2" xfId="28817"/>
    <cellStyle name="20% - Accent5 2 2 2 4 2 3 2 2 2" xfId="48571"/>
    <cellStyle name="20% - Accent5 2 2 2 4 2 3 2 3" xfId="38927"/>
    <cellStyle name="20% - Accent5 2 2 2 4 2 3 3" xfId="24007"/>
    <cellStyle name="20% - Accent5 2 2 2 4 2 3 3 2" xfId="43762"/>
    <cellStyle name="20% - Accent5 2 2 2 4 2 3 4" xfId="34118"/>
    <cellStyle name="20% - Accent5 2 2 2 4 2 4" xfId="19098"/>
    <cellStyle name="20% - Accent5 2 2 2 4 2 4 2" xfId="28814"/>
    <cellStyle name="20% - Accent5 2 2 2 4 2 4 2 2" xfId="48568"/>
    <cellStyle name="20% - Accent5 2 2 2 4 2 4 3" xfId="38924"/>
    <cellStyle name="20% - Accent5 2 2 2 4 2 5" xfId="24004"/>
    <cellStyle name="20% - Accent5 2 2 2 4 2 5 2" xfId="43759"/>
    <cellStyle name="20% - Accent5 2 2 2 4 2 6" xfId="34115"/>
    <cellStyle name="20% - Accent5 2 2 2 4 3" xfId="3809"/>
    <cellStyle name="20% - Accent5 2 2 2 4 3 2" xfId="3810"/>
    <cellStyle name="20% - Accent5 2 2 2 4 3 2 2" xfId="19103"/>
    <cellStyle name="20% - Accent5 2 2 2 4 3 2 2 2" xfId="28819"/>
    <cellStyle name="20% - Accent5 2 2 2 4 3 2 2 2 2" xfId="48573"/>
    <cellStyle name="20% - Accent5 2 2 2 4 3 2 2 3" xfId="38929"/>
    <cellStyle name="20% - Accent5 2 2 2 4 3 2 3" xfId="24009"/>
    <cellStyle name="20% - Accent5 2 2 2 4 3 2 3 2" xfId="43764"/>
    <cellStyle name="20% - Accent5 2 2 2 4 3 2 4" xfId="34120"/>
    <cellStyle name="20% - Accent5 2 2 2 4 3 3" xfId="19102"/>
    <cellStyle name="20% - Accent5 2 2 2 4 3 3 2" xfId="28818"/>
    <cellStyle name="20% - Accent5 2 2 2 4 3 3 2 2" xfId="48572"/>
    <cellStyle name="20% - Accent5 2 2 2 4 3 3 3" xfId="38928"/>
    <cellStyle name="20% - Accent5 2 2 2 4 3 4" xfId="24008"/>
    <cellStyle name="20% - Accent5 2 2 2 4 3 4 2" xfId="43763"/>
    <cellStyle name="20% - Accent5 2 2 2 4 3 5" xfId="34119"/>
    <cellStyle name="20% - Accent5 2 2 2 4 4" xfId="3811"/>
    <cellStyle name="20% - Accent5 2 2 2 4 4 2" xfId="19104"/>
    <cellStyle name="20% - Accent5 2 2 2 4 4 2 2" xfId="28820"/>
    <cellStyle name="20% - Accent5 2 2 2 4 4 2 2 2" xfId="48574"/>
    <cellStyle name="20% - Accent5 2 2 2 4 4 2 3" xfId="38930"/>
    <cellStyle name="20% - Accent5 2 2 2 4 4 3" xfId="24010"/>
    <cellStyle name="20% - Accent5 2 2 2 4 4 3 2" xfId="43765"/>
    <cellStyle name="20% - Accent5 2 2 2 4 4 4" xfId="34121"/>
    <cellStyle name="20% - Accent5 2 2 2 4 5" xfId="19097"/>
    <cellStyle name="20% - Accent5 2 2 2 4 5 2" xfId="28813"/>
    <cellStyle name="20% - Accent5 2 2 2 4 5 2 2" xfId="48567"/>
    <cellStyle name="20% - Accent5 2 2 2 4 5 3" xfId="38923"/>
    <cellStyle name="20% - Accent5 2 2 2 4 6" xfId="24003"/>
    <cellStyle name="20% - Accent5 2 2 2 4 6 2" xfId="43758"/>
    <cellStyle name="20% - Accent5 2 2 2 4 7" xfId="34114"/>
    <cellStyle name="20% - Accent5 2 2 2 5" xfId="3812"/>
    <cellStyle name="20% - Accent5 2 2 2 5 2" xfId="3813"/>
    <cellStyle name="20% - Accent5 2 2 2 5 2 2" xfId="3814"/>
    <cellStyle name="20% - Accent5 2 2 2 5 2 2 2" xfId="19107"/>
    <cellStyle name="20% - Accent5 2 2 2 5 2 2 2 2" xfId="28823"/>
    <cellStyle name="20% - Accent5 2 2 2 5 2 2 2 2 2" xfId="48577"/>
    <cellStyle name="20% - Accent5 2 2 2 5 2 2 2 3" xfId="38933"/>
    <cellStyle name="20% - Accent5 2 2 2 5 2 2 3" xfId="24013"/>
    <cellStyle name="20% - Accent5 2 2 2 5 2 2 3 2" xfId="43768"/>
    <cellStyle name="20% - Accent5 2 2 2 5 2 2 4" xfId="34124"/>
    <cellStyle name="20% - Accent5 2 2 2 5 2 3" xfId="19106"/>
    <cellStyle name="20% - Accent5 2 2 2 5 2 3 2" xfId="28822"/>
    <cellStyle name="20% - Accent5 2 2 2 5 2 3 2 2" xfId="48576"/>
    <cellStyle name="20% - Accent5 2 2 2 5 2 3 3" xfId="38932"/>
    <cellStyle name="20% - Accent5 2 2 2 5 2 4" xfId="24012"/>
    <cellStyle name="20% - Accent5 2 2 2 5 2 4 2" xfId="43767"/>
    <cellStyle name="20% - Accent5 2 2 2 5 2 5" xfId="34123"/>
    <cellStyle name="20% - Accent5 2 2 2 5 3" xfId="3815"/>
    <cellStyle name="20% - Accent5 2 2 2 5 3 2" xfId="19108"/>
    <cellStyle name="20% - Accent5 2 2 2 5 3 2 2" xfId="28824"/>
    <cellStyle name="20% - Accent5 2 2 2 5 3 2 2 2" xfId="48578"/>
    <cellStyle name="20% - Accent5 2 2 2 5 3 2 3" xfId="38934"/>
    <cellStyle name="20% - Accent5 2 2 2 5 3 3" xfId="24014"/>
    <cellStyle name="20% - Accent5 2 2 2 5 3 3 2" xfId="43769"/>
    <cellStyle name="20% - Accent5 2 2 2 5 3 4" xfId="34125"/>
    <cellStyle name="20% - Accent5 2 2 2 5 4" xfId="19105"/>
    <cellStyle name="20% - Accent5 2 2 2 5 4 2" xfId="28821"/>
    <cellStyle name="20% - Accent5 2 2 2 5 4 2 2" xfId="48575"/>
    <cellStyle name="20% - Accent5 2 2 2 5 4 3" xfId="38931"/>
    <cellStyle name="20% - Accent5 2 2 2 5 5" xfId="24011"/>
    <cellStyle name="20% - Accent5 2 2 2 5 5 2" xfId="43766"/>
    <cellStyle name="20% - Accent5 2 2 2 5 6" xfId="34122"/>
    <cellStyle name="20% - Accent5 2 2 2 6" xfId="3816"/>
    <cellStyle name="20% - Accent5 2 2 2 6 2" xfId="3817"/>
    <cellStyle name="20% - Accent5 2 2 2 6 2 2" xfId="19110"/>
    <cellStyle name="20% - Accent5 2 2 2 6 2 2 2" xfId="28826"/>
    <cellStyle name="20% - Accent5 2 2 2 6 2 2 2 2" xfId="48580"/>
    <cellStyle name="20% - Accent5 2 2 2 6 2 2 3" xfId="38936"/>
    <cellStyle name="20% - Accent5 2 2 2 6 2 3" xfId="24016"/>
    <cellStyle name="20% - Accent5 2 2 2 6 2 3 2" xfId="43771"/>
    <cellStyle name="20% - Accent5 2 2 2 6 2 4" xfId="34127"/>
    <cellStyle name="20% - Accent5 2 2 2 6 3" xfId="19109"/>
    <cellStyle name="20% - Accent5 2 2 2 6 3 2" xfId="28825"/>
    <cellStyle name="20% - Accent5 2 2 2 6 3 2 2" xfId="48579"/>
    <cellStyle name="20% - Accent5 2 2 2 6 3 3" xfId="38935"/>
    <cellStyle name="20% - Accent5 2 2 2 6 4" xfId="24015"/>
    <cellStyle name="20% - Accent5 2 2 2 6 4 2" xfId="43770"/>
    <cellStyle name="20% - Accent5 2 2 2 6 5" xfId="34126"/>
    <cellStyle name="20% - Accent5 2 2 2 7" xfId="3818"/>
    <cellStyle name="20% - Accent5 2 2 2 7 2" xfId="3819"/>
    <cellStyle name="20% - Accent5 2 2 2 7 2 2" xfId="19112"/>
    <cellStyle name="20% - Accent5 2 2 2 7 2 2 2" xfId="28828"/>
    <cellStyle name="20% - Accent5 2 2 2 7 2 2 2 2" xfId="48582"/>
    <cellStyle name="20% - Accent5 2 2 2 7 2 2 3" xfId="38938"/>
    <cellStyle name="20% - Accent5 2 2 2 7 2 3" xfId="24018"/>
    <cellStyle name="20% - Accent5 2 2 2 7 2 3 2" xfId="43773"/>
    <cellStyle name="20% - Accent5 2 2 2 7 2 4" xfId="34129"/>
    <cellStyle name="20% - Accent5 2 2 2 7 3" xfId="19111"/>
    <cellStyle name="20% - Accent5 2 2 2 7 3 2" xfId="28827"/>
    <cellStyle name="20% - Accent5 2 2 2 7 3 2 2" xfId="48581"/>
    <cellStyle name="20% - Accent5 2 2 2 7 3 3" xfId="38937"/>
    <cellStyle name="20% - Accent5 2 2 2 7 4" xfId="24017"/>
    <cellStyle name="20% - Accent5 2 2 2 7 4 2" xfId="43772"/>
    <cellStyle name="20% - Accent5 2 2 2 7 5" xfId="34128"/>
    <cellStyle name="20% - Accent5 2 2 2 8" xfId="3820"/>
    <cellStyle name="20% - Accent5 2 2 2 8 2" xfId="19113"/>
    <cellStyle name="20% - Accent5 2 2 2 8 2 2" xfId="28829"/>
    <cellStyle name="20% - Accent5 2 2 2 8 2 2 2" xfId="48583"/>
    <cellStyle name="20% - Accent5 2 2 2 8 2 3" xfId="38939"/>
    <cellStyle name="20% - Accent5 2 2 2 8 3" xfId="24019"/>
    <cellStyle name="20% - Accent5 2 2 2 8 3 2" xfId="43774"/>
    <cellStyle name="20% - Accent5 2 2 2 8 4" xfId="34130"/>
    <cellStyle name="20% - Accent5 2 2 2 9" xfId="3821"/>
    <cellStyle name="20% - Accent5 2 2 2 9 2" xfId="19114"/>
    <cellStyle name="20% - Accent5 2 2 2 9 2 2" xfId="28830"/>
    <cellStyle name="20% - Accent5 2 2 2 9 2 2 2" xfId="48584"/>
    <cellStyle name="20% - Accent5 2 2 2 9 2 3" xfId="38940"/>
    <cellStyle name="20% - Accent5 2 2 2 9 3" xfId="24020"/>
    <cellStyle name="20% - Accent5 2 2 2 9 3 2" xfId="43775"/>
    <cellStyle name="20% - Accent5 2 2 2 9 4" xfId="34131"/>
    <cellStyle name="20% - Accent5 2 2 3" xfId="3822"/>
    <cellStyle name="20% - Accent5 2 2 3 10" xfId="34132"/>
    <cellStyle name="20% - Accent5 2 2 3 2" xfId="3823"/>
    <cellStyle name="20% - Accent5 2 2 3 2 2" xfId="3824"/>
    <cellStyle name="20% - Accent5 2 2 3 2 2 2" xfId="3825"/>
    <cellStyle name="20% - Accent5 2 2 3 2 2 2 2" xfId="3826"/>
    <cellStyle name="20% - Accent5 2 2 3 2 2 2 2 2" xfId="19119"/>
    <cellStyle name="20% - Accent5 2 2 3 2 2 2 2 2 2" xfId="28835"/>
    <cellStyle name="20% - Accent5 2 2 3 2 2 2 2 2 2 2" xfId="48589"/>
    <cellStyle name="20% - Accent5 2 2 3 2 2 2 2 2 3" xfId="38945"/>
    <cellStyle name="20% - Accent5 2 2 3 2 2 2 2 3" xfId="24025"/>
    <cellStyle name="20% - Accent5 2 2 3 2 2 2 2 3 2" xfId="43780"/>
    <cellStyle name="20% - Accent5 2 2 3 2 2 2 2 4" xfId="34136"/>
    <cellStyle name="20% - Accent5 2 2 3 2 2 2 3" xfId="19118"/>
    <cellStyle name="20% - Accent5 2 2 3 2 2 2 3 2" xfId="28834"/>
    <cellStyle name="20% - Accent5 2 2 3 2 2 2 3 2 2" xfId="48588"/>
    <cellStyle name="20% - Accent5 2 2 3 2 2 2 3 3" xfId="38944"/>
    <cellStyle name="20% - Accent5 2 2 3 2 2 2 4" xfId="24024"/>
    <cellStyle name="20% - Accent5 2 2 3 2 2 2 4 2" xfId="43779"/>
    <cellStyle name="20% - Accent5 2 2 3 2 2 2 5" xfId="34135"/>
    <cellStyle name="20% - Accent5 2 2 3 2 2 3" xfId="3827"/>
    <cellStyle name="20% - Accent5 2 2 3 2 2 3 2" xfId="19120"/>
    <cellStyle name="20% - Accent5 2 2 3 2 2 3 2 2" xfId="28836"/>
    <cellStyle name="20% - Accent5 2 2 3 2 2 3 2 2 2" xfId="48590"/>
    <cellStyle name="20% - Accent5 2 2 3 2 2 3 2 3" xfId="38946"/>
    <cellStyle name="20% - Accent5 2 2 3 2 2 3 3" xfId="24026"/>
    <cellStyle name="20% - Accent5 2 2 3 2 2 3 3 2" xfId="43781"/>
    <cellStyle name="20% - Accent5 2 2 3 2 2 3 4" xfId="34137"/>
    <cellStyle name="20% - Accent5 2 2 3 2 2 4" xfId="19117"/>
    <cellStyle name="20% - Accent5 2 2 3 2 2 4 2" xfId="28833"/>
    <cellStyle name="20% - Accent5 2 2 3 2 2 4 2 2" xfId="48587"/>
    <cellStyle name="20% - Accent5 2 2 3 2 2 4 3" xfId="38943"/>
    <cellStyle name="20% - Accent5 2 2 3 2 2 5" xfId="24023"/>
    <cellStyle name="20% - Accent5 2 2 3 2 2 5 2" xfId="43778"/>
    <cellStyle name="20% - Accent5 2 2 3 2 2 6" xfId="34134"/>
    <cellStyle name="20% - Accent5 2 2 3 2 3" xfId="3828"/>
    <cellStyle name="20% - Accent5 2 2 3 2 3 2" xfId="3829"/>
    <cellStyle name="20% - Accent5 2 2 3 2 3 2 2" xfId="19122"/>
    <cellStyle name="20% - Accent5 2 2 3 2 3 2 2 2" xfId="28838"/>
    <cellStyle name="20% - Accent5 2 2 3 2 3 2 2 2 2" xfId="48592"/>
    <cellStyle name="20% - Accent5 2 2 3 2 3 2 2 3" xfId="38948"/>
    <cellStyle name="20% - Accent5 2 2 3 2 3 2 3" xfId="24028"/>
    <cellStyle name="20% - Accent5 2 2 3 2 3 2 3 2" xfId="43783"/>
    <cellStyle name="20% - Accent5 2 2 3 2 3 2 4" xfId="34139"/>
    <cellStyle name="20% - Accent5 2 2 3 2 3 3" xfId="19121"/>
    <cellStyle name="20% - Accent5 2 2 3 2 3 3 2" xfId="28837"/>
    <cellStyle name="20% - Accent5 2 2 3 2 3 3 2 2" xfId="48591"/>
    <cellStyle name="20% - Accent5 2 2 3 2 3 3 3" xfId="38947"/>
    <cellStyle name="20% - Accent5 2 2 3 2 3 4" xfId="24027"/>
    <cellStyle name="20% - Accent5 2 2 3 2 3 4 2" xfId="43782"/>
    <cellStyle name="20% - Accent5 2 2 3 2 3 5" xfId="34138"/>
    <cellStyle name="20% - Accent5 2 2 3 2 4" xfId="3830"/>
    <cellStyle name="20% - Accent5 2 2 3 2 4 2" xfId="19123"/>
    <cellStyle name="20% - Accent5 2 2 3 2 4 2 2" xfId="28839"/>
    <cellStyle name="20% - Accent5 2 2 3 2 4 2 2 2" xfId="48593"/>
    <cellStyle name="20% - Accent5 2 2 3 2 4 2 3" xfId="38949"/>
    <cellStyle name="20% - Accent5 2 2 3 2 4 3" xfId="24029"/>
    <cellStyle name="20% - Accent5 2 2 3 2 4 3 2" xfId="43784"/>
    <cellStyle name="20% - Accent5 2 2 3 2 4 4" xfId="34140"/>
    <cellStyle name="20% - Accent5 2 2 3 2 5" xfId="19116"/>
    <cellStyle name="20% - Accent5 2 2 3 2 5 2" xfId="28832"/>
    <cellStyle name="20% - Accent5 2 2 3 2 5 2 2" xfId="48586"/>
    <cellStyle name="20% - Accent5 2 2 3 2 5 3" xfId="38942"/>
    <cellStyle name="20% - Accent5 2 2 3 2 6" xfId="24022"/>
    <cellStyle name="20% - Accent5 2 2 3 2 6 2" xfId="43777"/>
    <cellStyle name="20% - Accent5 2 2 3 2 7" xfId="34133"/>
    <cellStyle name="20% - Accent5 2 2 3 3" xfId="3831"/>
    <cellStyle name="20% - Accent5 2 2 3 3 2" xfId="3832"/>
    <cellStyle name="20% - Accent5 2 2 3 3 2 2" xfId="3833"/>
    <cellStyle name="20% - Accent5 2 2 3 3 2 2 2" xfId="19126"/>
    <cellStyle name="20% - Accent5 2 2 3 3 2 2 2 2" xfId="28842"/>
    <cellStyle name="20% - Accent5 2 2 3 3 2 2 2 2 2" xfId="48596"/>
    <cellStyle name="20% - Accent5 2 2 3 3 2 2 2 3" xfId="38952"/>
    <cellStyle name="20% - Accent5 2 2 3 3 2 2 3" xfId="24032"/>
    <cellStyle name="20% - Accent5 2 2 3 3 2 2 3 2" xfId="43787"/>
    <cellStyle name="20% - Accent5 2 2 3 3 2 2 4" xfId="34143"/>
    <cellStyle name="20% - Accent5 2 2 3 3 2 3" xfId="19125"/>
    <cellStyle name="20% - Accent5 2 2 3 3 2 3 2" xfId="28841"/>
    <cellStyle name="20% - Accent5 2 2 3 3 2 3 2 2" xfId="48595"/>
    <cellStyle name="20% - Accent5 2 2 3 3 2 3 3" xfId="38951"/>
    <cellStyle name="20% - Accent5 2 2 3 3 2 4" xfId="24031"/>
    <cellStyle name="20% - Accent5 2 2 3 3 2 4 2" xfId="43786"/>
    <cellStyle name="20% - Accent5 2 2 3 3 2 5" xfId="34142"/>
    <cellStyle name="20% - Accent5 2 2 3 3 3" xfId="3834"/>
    <cellStyle name="20% - Accent5 2 2 3 3 3 2" xfId="19127"/>
    <cellStyle name="20% - Accent5 2 2 3 3 3 2 2" xfId="28843"/>
    <cellStyle name="20% - Accent5 2 2 3 3 3 2 2 2" xfId="48597"/>
    <cellStyle name="20% - Accent5 2 2 3 3 3 2 3" xfId="38953"/>
    <cellStyle name="20% - Accent5 2 2 3 3 3 3" xfId="24033"/>
    <cellStyle name="20% - Accent5 2 2 3 3 3 3 2" xfId="43788"/>
    <cellStyle name="20% - Accent5 2 2 3 3 3 4" xfId="34144"/>
    <cellStyle name="20% - Accent5 2 2 3 3 4" xfId="19124"/>
    <cellStyle name="20% - Accent5 2 2 3 3 4 2" xfId="28840"/>
    <cellStyle name="20% - Accent5 2 2 3 3 4 2 2" xfId="48594"/>
    <cellStyle name="20% - Accent5 2 2 3 3 4 3" xfId="38950"/>
    <cellStyle name="20% - Accent5 2 2 3 3 5" xfId="24030"/>
    <cellStyle name="20% - Accent5 2 2 3 3 5 2" xfId="43785"/>
    <cellStyle name="20% - Accent5 2 2 3 3 6" xfId="34141"/>
    <cellStyle name="20% - Accent5 2 2 3 4" xfId="3835"/>
    <cellStyle name="20% - Accent5 2 2 3 4 2" xfId="3836"/>
    <cellStyle name="20% - Accent5 2 2 3 4 2 2" xfId="19129"/>
    <cellStyle name="20% - Accent5 2 2 3 4 2 2 2" xfId="28845"/>
    <cellStyle name="20% - Accent5 2 2 3 4 2 2 2 2" xfId="48599"/>
    <cellStyle name="20% - Accent5 2 2 3 4 2 2 3" xfId="38955"/>
    <cellStyle name="20% - Accent5 2 2 3 4 2 3" xfId="24035"/>
    <cellStyle name="20% - Accent5 2 2 3 4 2 3 2" xfId="43790"/>
    <cellStyle name="20% - Accent5 2 2 3 4 2 4" xfId="34146"/>
    <cellStyle name="20% - Accent5 2 2 3 4 3" xfId="19128"/>
    <cellStyle name="20% - Accent5 2 2 3 4 3 2" xfId="28844"/>
    <cellStyle name="20% - Accent5 2 2 3 4 3 2 2" xfId="48598"/>
    <cellStyle name="20% - Accent5 2 2 3 4 3 3" xfId="38954"/>
    <cellStyle name="20% - Accent5 2 2 3 4 4" xfId="24034"/>
    <cellStyle name="20% - Accent5 2 2 3 4 4 2" xfId="43789"/>
    <cellStyle name="20% - Accent5 2 2 3 4 5" xfId="34145"/>
    <cellStyle name="20% - Accent5 2 2 3 5" xfId="3837"/>
    <cellStyle name="20% - Accent5 2 2 3 5 2" xfId="19130"/>
    <cellStyle name="20% - Accent5 2 2 3 5 2 2" xfId="28846"/>
    <cellStyle name="20% - Accent5 2 2 3 5 2 2 2" xfId="48600"/>
    <cellStyle name="20% - Accent5 2 2 3 5 2 3" xfId="38956"/>
    <cellStyle name="20% - Accent5 2 2 3 5 3" xfId="24036"/>
    <cellStyle name="20% - Accent5 2 2 3 5 3 2" xfId="43791"/>
    <cellStyle name="20% - Accent5 2 2 3 5 4" xfId="34147"/>
    <cellStyle name="20% - Accent5 2 2 3 6" xfId="3838"/>
    <cellStyle name="20% - Accent5 2 2 3 6 2" xfId="19131"/>
    <cellStyle name="20% - Accent5 2 2 3 6 2 2" xfId="28847"/>
    <cellStyle name="20% - Accent5 2 2 3 6 2 2 2" xfId="48601"/>
    <cellStyle name="20% - Accent5 2 2 3 6 2 3" xfId="38957"/>
    <cellStyle name="20% - Accent5 2 2 3 6 3" xfId="24037"/>
    <cellStyle name="20% - Accent5 2 2 3 6 3 2" xfId="43792"/>
    <cellStyle name="20% - Accent5 2 2 3 6 4" xfId="34148"/>
    <cellStyle name="20% - Accent5 2 2 3 7" xfId="3839"/>
    <cellStyle name="20% - Accent5 2 2 3 7 2" xfId="19132"/>
    <cellStyle name="20% - Accent5 2 2 3 7 2 2" xfId="28848"/>
    <cellStyle name="20% - Accent5 2 2 3 7 2 2 2" xfId="48602"/>
    <cellStyle name="20% - Accent5 2 2 3 7 2 3" xfId="38958"/>
    <cellStyle name="20% - Accent5 2 2 3 7 3" xfId="24038"/>
    <cellStyle name="20% - Accent5 2 2 3 7 3 2" xfId="43793"/>
    <cellStyle name="20% - Accent5 2 2 3 7 4" xfId="34149"/>
    <cellStyle name="20% - Accent5 2 2 3 8" xfId="19115"/>
    <cellStyle name="20% - Accent5 2 2 3 8 2" xfId="28831"/>
    <cellStyle name="20% - Accent5 2 2 3 8 2 2" xfId="48585"/>
    <cellStyle name="20% - Accent5 2 2 3 8 3" xfId="38941"/>
    <cellStyle name="20% - Accent5 2 2 3 9" xfId="24021"/>
    <cellStyle name="20% - Accent5 2 2 3 9 2" xfId="43776"/>
    <cellStyle name="20% - Accent5 2 2 4" xfId="3840"/>
    <cellStyle name="20% - Accent5 2 2 4 2" xfId="3841"/>
    <cellStyle name="20% - Accent5 2 2 4 2 2" xfId="3842"/>
    <cellStyle name="20% - Accent5 2 2 4 2 2 2" xfId="3843"/>
    <cellStyle name="20% - Accent5 2 2 4 2 2 2 2" xfId="19136"/>
    <cellStyle name="20% - Accent5 2 2 4 2 2 2 2 2" xfId="28852"/>
    <cellStyle name="20% - Accent5 2 2 4 2 2 2 2 2 2" xfId="48606"/>
    <cellStyle name="20% - Accent5 2 2 4 2 2 2 2 3" xfId="38962"/>
    <cellStyle name="20% - Accent5 2 2 4 2 2 2 3" xfId="24042"/>
    <cellStyle name="20% - Accent5 2 2 4 2 2 2 3 2" xfId="43797"/>
    <cellStyle name="20% - Accent5 2 2 4 2 2 2 4" xfId="34153"/>
    <cellStyle name="20% - Accent5 2 2 4 2 2 3" xfId="19135"/>
    <cellStyle name="20% - Accent5 2 2 4 2 2 3 2" xfId="28851"/>
    <cellStyle name="20% - Accent5 2 2 4 2 2 3 2 2" xfId="48605"/>
    <cellStyle name="20% - Accent5 2 2 4 2 2 3 3" xfId="38961"/>
    <cellStyle name="20% - Accent5 2 2 4 2 2 4" xfId="24041"/>
    <cellStyle name="20% - Accent5 2 2 4 2 2 4 2" xfId="43796"/>
    <cellStyle name="20% - Accent5 2 2 4 2 2 5" xfId="34152"/>
    <cellStyle name="20% - Accent5 2 2 4 2 3" xfId="3844"/>
    <cellStyle name="20% - Accent5 2 2 4 2 3 2" xfId="19137"/>
    <cellStyle name="20% - Accent5 2 2 4 2 3 2 2" xfId="28853"/>
    <cellStyle name="20% - Accent5 2 2 4 2 3 2 2 2" xfId="48607"/>
    <cellStyle name="20% - Accent5 2 2 4 2 3 2 3" xfId="38963"/>
    <cellStyle name="20% - Accent5 2 2 4 2 3 3" xfId="24043"/>
    <cellStyle name="20% - Accent5 2 2 4 2 3 3 2" xfId="43798"/>
    <cellStyle name="20% - Accent5 2 2 4 2 3 4" xfId="34154"/>
    <cellStyle name="20% - Accent5 2 2 4 2 4" xfId="19134"/>
    <cellStyle name="20% - Accent5 2 2 4 2 4 2" xfId="28850"/>
    <cellStyle name="20% - Accent5 2 2 4 2 4 2 2" xfId="48604"/>
    <cellStyle name="20% - Accent5 2 2 4 2 4 3" xfId="38960"/>
    <cellStyle name="20% - Accent5 2 2 4 2 5" xfId="24040"/>
    <cellStyle name="20% - Accent5 2 2 4 2 5 2" xfId="43795"/>
    <cellStyle name="20% - Accent5 2 2 4 2 6" xfId="34151"/>
    <cellStyle name="20% - Accent5 2 2 4 3" xfId="3845"/>
    <cellStyle name="20% - Accent5 2 2 4 3 2" xfId="3846"/>
    <cellStyle name="20% - Accent5 2 2 4 3 2 2" xfId="19139"/>
    <cellStyle name="20% - Accent5 2 2 4 3 2 2 2" xfId="28855"/>
    <cellStyle name="20% - Accent5 2 2 4 3 2 2 2 2" xfId="48609"/>
    <cellStyle name="20% - Accent5 2 2 4 3 2 2 3" xfId="38965"/>
    <cellStyle name="20% - Accent5 2 2 4 3 2 3" xfId="24045"/>
    <cellStyle name="20% - Accent5 2 2 4 3 2 3 2" xfId="43800"/>
    <cellStyle name="20% - Accent5 2 2 4 3 2 4" xfId="34156"/>
    <cellStyle name="20% - Accent5 2 2 4 3 3" xfId="19138"/>
    <cellStyle name="20% - Accent5 2 2 4 3 3 2" xfId="28854"/>
    <cellStyle name="20% - Accent5 2 2 4 3 3 2 2" xfId="48608"/>
    <cellStyle name="20% - Accent5 2 2 4 3 3 3" xfId="38964"/>
    <cellStyle name="20% - Accent5 2 2 4 3 4" xfId="24044"/>
    <cellStyle name="20% - Accent5 2 2 4 3 4 2" xfId="43799"/>
    <cellStyle name="20% - Accent5 2 2 4 3 5" xfId="34155"/>
    <cellStyle name="20% - Accent5 2 2 4 4" xfId="3847"/>
    <cellStyle name="20% - Accent5 2 2 4 4 2" xfId="19140"/>
    <cellStyle name="20% - Accent5 2 2 4 4 2 2" xfId="28856"/>
    <cellStyle name="20% - Accent5 2 2 4 4 2 2 2" xfId="48610"/>
    <cellStyle name="20% - Accent5 2 2 4 4 2 3" xfId="38966"/>
    <cellStyle name="20% - Accent5 2 2 4 4 3" xfId="24046"/>
    <cellStyle name="20% - Accent5 2 2 4 4 3 2" xfId="43801"/>
    <cellStyle name="20% - Accent5 2 2 4 4 4" xfId="34157"/>
    <cellStyle name="20% - Accent5 2 2 4 5" xfId="19133"/>
    <cellStyle name="20% - Accent5 2 2 4 5 2" xfId="28849"/>
    <cellStyle name="20% - Accent5 2 2 4 5 2 2" xfId="48603"/>
    <cellStyle name="20% - Accent5 2 2 4 5 3" xfId="38959"/>
    <cellStyle name="20% - Accent5 2 2 4 6" xfId="24039"/>
    <cellStyle name="20% - Accent5 2 2 4 6 2" xfId="43794"/>
    <cellStyle name="20% - Accent5 2 2 4 7" xfId="34150"/>
    <cellStyle name="20% - Accent5 2 2 5" xfId="3848"/>
    <cellStyle name="20% - Accent5 2 2 5 2" xfId="3849"/>
    <cellStyle name="20% - Accent5 2 2 5 2 2" xfId="3850"/>
    <cellStyle name="20% - Accent5 2 2 5 2 2 2" xfId="3851"/>
    <cellStyle name="20% - Accent5 2 2 5 2 2 2 2" xfId="19144"/>
    <cellStyle name="20% - Accent5 2 2 5 2 2 2 2 2" xfId="28860"/>
    <cellStyle name="20% - Accent5 2 2 5 2 2 2 2 2 2" xfId="48614"/>
    <cellStyle name="20% - Accent5 2 2 5 2 2 2 2 3" xfId="38970"/>
    <cellStyle name="20% - Accent5 2 2 5 2 2 2 3" xfId="24050"/>
    <cellStyle name="20% - Accent5 2 2 5 2 2 2 3 2" xfId="43805"/>
    <cellStyle name="20% - Accent5 2 2 5 2 2 2 4" xfId="34161"/>
    <cellStyle name="20% - Accent5 2 2 5 2 2 3" xfId="19143"/>
    <cellStyle name="20% - Accent5 2 2 5 2 2 3 2" xfId="28859"/>
    <cellStyle name="20% - Accent5 2 2 5 2 2 3 2 2" xfId="48613"/>
    <cellStyle name="20% - Accent5 2 2 5 2 2 3 3" xfId="38969"/>
    <cellStyle name="20% - Accent5 2 2 5 2 2 4" xfId="24049"/>
    <cellStyle name="20% - Accent5 2 2 5 2 2 4 2" xfId="43804"/>
    <cellStyle name="20% - Accent5 2 2 5 2 2 5" xfId="34160"/>
    <cellStyle name="20% - Accent5 2 2 5 2 3" xfId="3852"/>
    <cellStyle name="20% - Accent5 2 2 5 2 3 2" xfId="19145"/>
    <cellStyle name="20% - Accent5 2 2 5 2 3 2 2" xfId="28861"/>
    <cellStyle name="20% - Accent5 2 2 5 2 3 2 2 2" xfId="48615"/>
    <cellStyle name="20% - Accent5 2 2 5 2 3 2 3" xfId="38971"/>
    <cellStyle name="20% - Accent5 2 2 5 2 3 3" xfId="24051"/>
    <cellStyle name="20% - Accent5 2 2 5 2 3 3 2" xfId="43806"/>
    <cellStyle name="20% - Accent5 2 2 5 2 3 4" xfId="34162"/>
    <cellStyle name="20% - Accent5 2 2 5 2 4" xfId="19142"/>
    <cellStyle name="20% - Accent5 2 2 5 2 4 2" xfId="28858"/>
    <cellStyle name="20% - Accent5 2 2 5 2 4 2 2" xfId="48612"/>
    <cellStyle name="20% - Accent5 2 2 5 2 4 3" xfId="38968"/>
    <cellStyle name="20% - Accent5 2 2 5 2 5" xfId="24048"/>
    <cellStyle name="20% - Accent5 2 2 5 2 5 2" xfId="43803"/>
    <cellStyle name="20% - Accent5 2 2 5 2 6" xfId="34159"/>
    <cellStyle name="20% - Accent5 2 2 5 3" xfId="3853"/>
    <cellStyle name="20% - Accent5 2 2 5 3 2" xfId="3854"/>
    <cellStyle name="20% - Accent5 2 2 5 3 2 2" xfId="19147"/>
    <cellStyle name="20% - Accent5 2 2 5 3 2 2 2" xfId="28863"/>
    <cellStyle name="20% - Accent5 2 2 5 3 2 2 2 2" xfId="48617"/>
    <cellStyle name="20% - Accent5 2 2 5 3 2 2 3" xfId="38973"/>
    <cellStyle name="20% - Accent5 2 2 5 3 2 3" xfId="24053"/>
    <cellStyle name="20% - Accent5 2 2 5 3 2 3 2" xfId="43808"/>
    <cellStyle name="20% - Accent5 2 2 5 3 2 4" xfId="34164"/>
    <cellStyle name="20% - Accent5 2 2 5 3 3" xfId="19146"/>
    <cellStyle name="20% - Accent5 2 2 5 3 3 2" xfId="28862"/>
    <cellStyle name="20% - Accent5 2 2 5 3 3 2 2" xfId="48616"/>
    <cellStyle name="20% - Accent5 2 2 5 3 3 3" xfId="38972"/>
    <cellStyle name="20% - Accent5 2 2 5 3 4" xfId="24052"/>
    <cellStyle name="20% - Accent5 2 2 5 3 4 2" xfId="43807"/>
    <cellStyle name="20% - Accent5 2 2 5 3 5" xfId="34163"/>
    <cellStyle name="20% - Accent5 2 2 5 4" xfId="3855"/>
    <cellStyle name="20% - Accent5 2 2 5 4 2" xfId="19148"/>
    <cellStyle name="20% - Accent5 2 2 5 4 2 2" xfId="28864"/>
    <cellStyle name="20% - Accent5 2 2 5 4 2 2 2" xfId="48618"/>
    <cellStyle name="20% - Accent5 2 2 5 4 2 3" xfId="38974"/>
    <cellStyle name="20% - Accent5 2 2 5 4 3" xfId="24054"/>
    <cellStyle name="20% - Accent5 2 2 5 4 3 2" xfId="43809"/>
    <cellStyle name="20% - Accent5 2 2 5 4 4" xfId="34165"/>
    <cellStyle name="20% - Accent5 2 2 5 5" xfId="19141"/>
    <cellStyle name="20% - Accent5 2 2 5 5 2" xfId="28857"/>
    <cellStyle name="20% - Accent5 2 2 5 5 2 2" xfId="48611"/>
    <cellStyle name="20% - Accent5 2 2 5 5 3" xfId="38967"/>
    <cellStyle name="20% - Accent5 2 2 5 6" xfId="24047"/>
    <cellStyle name="20% - Accent5 2 2 5 6 2" xfId="43802"/>
    <cellStyle name="20% - Accent5 2 2 5 7" xfId="34158"/>
    <cellStyle name="20% - Accent5 2 2 6" xfId="3856"/>
    <cellStyle name="20% - Accent5 2 2 7" xfId="3857"/>
    <cellStyle name="20% - Accent5 2 2 7 2" xfId="3858"/>
    <cellStyle name="20% - Accent5 2 2 7 2 2" xfId="3859"/>
    <cellStyle name="20% - Accent5 2 2 7 2 2 2" xfId="19151"/>
    <cellStyle name="20% - Accent5 2 2 7 2 2 2 2" xfId="28867"/>
    <cellStyle name="20% - Accent5 2 2 7 2 2 2 2 2" xfId="48621"/>
    <cellStyle name="20% - Accent5 2 2 7 2 2 2 3" xfId="38977"/>
    <cellStyle name="20% - Accent5 2 2 7 2 2 3" xfId="24057"/>
    <cellStyle name="20% - Accent5 2 2 7 2 2 3 2" xfId="43812"/>
    <cellStyle name="20% - Accent5 2 2 7 2 2 4" xfId="34168"/>
    <cellStyle name="20% - Accent5 2 2 7 2 3" xfId="19150"/>
    <cellStyle name="20% - Accent5 2 2 7 2 3 2" xfId="28866"/>
    <cellStyle name="20% - Accent5 2 2 7 2 3 2 2" xfId="48620"/>
    <cellStyle name="20% - Accent5 2 2 7 2 3 3" xfId="38976"/>
    <cellStyle name="20% - Accent5 2 2 7 2 4" xfId="24056"/>
    <cellStyle name="20% - Accent5 2 2 7 2 4 2" xfId="43811"/>
    <cellStyle name="20% - Accent5 2 2 7 2 5" xfId="34167"/>
    <cellStyle name="20% - Accent5 2 2 7 3" xfId="3860"/>
    <cellStyle name="20% - Accent5 2 2 7 3 2" xfId="19152"/>
    <cellStyle name="20% - Accent5 2 2 7 3 2 2" xfId="28868"/>
    <cellStyle name="20% - Accent5 2 2 7 3 2 2 2" xfId="48622"/>
    <cellStyle name="20% - Accent5 2 2 7 3 2 3" xfId="38978"/>
    <cellStyle name="20% - Accent5 2 2 7 3 3" xfId="24058"/>
    <cellStyle name="20% - Accent5 2 2 7 3 3 2" xfId="43813"/>
    <cellStyle name="20% - Accent5 2 2 7 3 4" xfId="34169"/>
    <cellStyle name="20% - Accent5 2 2 7 4" xfId="19149"/>
    <cellStyle name="20% - Accent5 2 2 7 4 2" xfId="28865"/>
    <cellStyle name="20% - Accent5 2 2 7 4 2 2" xfId="48619"/>
    <cellStyle name="20% - Accent5 2 2 7 4 3" xfId="38975"/>
    <cellStyle name="20% - Accent5 2 2 7 5" xfId="24055"/>
    <cellStyle name="20% - Accent5 2 2 7 5 2" xfId="43810"/>
    <cellStyle name="20% - Accent5 2 2 7 6" xfId="34166"/>
    <cellStyle name="20% - Accent5 2 2 8" xfId="3861"/>
    <cellStyle name="20% - Accent5 2 2 8 2" xfId="3862"/>
    <cellStyle name="20% - Accent5 2 2 8 2 2" xfId="19154"/>
    <cellStyle name="20% - Accent5 2 2 8 2 2 2" xfId="28870"/>
    <cellStyle name="20% - Accent5 2 2 8 2 2 2 2" xfId="48624"/>
    <cellStyle name="20% - Accent5 2 2 8 2 2 3" xfId="38980"/>
    <cellStyle name="20% - Accent5 2 2 8 2 3" xfId="24060"/>
    <cellStyle name="20% - Accent5 2 2 8 2 3 2" xfId="43815"/>
    <cellStyle name="20% - Accent5 2 2 8 2 4" xfId="34171"/>
    <cellStyle name="20% - Accent5 2 2 8 3" xfId="19153"/>
    <cellStyle name="20% - Accent5 2 2 8 3 2" xfId="28869"/>
    <cellStyle name="20% - Accent5 2 2 8 3 2 2" xfId="48623"/>
    <cellStyle name="20% - Accent5 2 2 8 3 3" xfId="38979"/>
    <cellStyle name="20% - Accent5 2 2 8 4" xfId="24059"/>
    <cellStyle name="20% - Accent5 2 2 8 4 2" xfId="43814"/>
    <cellStyle name="20% - Accent5 2 2 8 5" xfId="34170"/>
    <cellStyle name="20% - Accent5 2 2 9" xfId="3863"/>
    <cellStyle name="20% - Accent5 2 2 9 2" xfId="3864"/>
    <cellStyle name="20% - Accent5 2 2 9 2 2" xfId="19156"/>
    <cellStyle name="20% - Accent5 2 2 9 2 2 2" xfId="28872"/>
    <cellStyle name="20% - Accent5 2 2 9 2 2 2 2" xfId="48626"/>
    <cellStyle name="20% - Accent5 2 2 9 2 2 3" xfId="38982"/>
    <cellStyle name="20% - Accent5 2 2 9 2 3" xfId="24062"/>
    <cellStyle name="20% - Accent5 2 2 9 2 3 2" xfId="43817"/>
    <cellStyle name="20% - Accent5 2 2 9 2 4" xfId="34173"/>
    <cellStyle name="20% - Accent5 2 2 9 3" xfId="19155"/>
    <cellStyle name="20% - Accent5 2 2 9 3 2" xfId="28871"/>
    <cellStyle name="20% - Accent5 2 2 9 3 2 2" xfId="48625"/>
    <cellStyle name="20% - Accent5 2 2 9 3 3" xfId="38981"/>
    <cellStyle name="20% - Accent5 2 2 9 4" xfId="24061"/>
    <cellStyle name="20% - Accent5 2 2 9 4 2" xfId="43816"/>
    <cellStyle name="20% - Accent5 2 2 9 5" xfId="34172"/>
    <cellStyle name="20% - Accent5 2 3" xfId="84"/>
    <cellStyle name="20% - Accent5 2 3 10" xfId="3865"/>
    <cellStyle name="20% - Accent5 2 3 10 2" xfId="19157"/>
    <cellStyle name="20% - Accent5 2 3 10 2 2" xfId="28873"/>
    <cellStyle name="20% - Accent5 2 3 10 2 2 2" xfId="48627"/>
    <cellStyle name="20% - Accent5 2 3 10 2 3" xfId="38983"/>
    <cellStyle name="20% - Accent5 2 3 10 3" xfId="24063"/>
    <cellStyle name="20% - Accent5 2 3 10 3 2" xfId="43818"/>
    <cellStyle name="20% - Accent5 2 3 10 4" xfId="34174"/>
    <cellStyle name="20% - Accent5 2 3 11" xfId="15473"/>
    <cellStyle name="20% - Accent5 2 3 11 2" xfId="20345"/>
    <cellStyle name="20% - Accent5 2 3 11 2 2" xfId="30059"/>
    <cellStyle name="20% - Accent5 2 3 11 2 2 2" xfId="49812"/>
    <cellStyle name="20% - Accent5 2 3 11 2 3" xfId="40168"/>
    <cellStyle name="20% - Accent5 2 3 11 3" xfId="25247"/>
    <cellStyle name="20% - Accent5 2 3 11 3 2" xfId="45001"/>
    <cellStyle name="20% - Accent5 2 3 11 4" xfId="35357"/>
    <cellStyle name="20% - Accent5 2 3 12" xfId="15876"/>
    <cellStyle name="20% - Accent5 2 3 12 2" xfId="25592"/>
    <cellStyle name="20% - Accent5 2 3 12 2 2" xfId="45346"/>
    <cellStyle name="20% - Accent5 2 3 12 3" xfId="35702"/>
    <cellStyle name="20% - Accent5 2 3 13" xfId="20751"/>
    <cellStyle name="20% - Accent5 2 3 13 2" xfId="40531"/>
    <cellStyle name="20% - Accent5 2 3 14" xfId="30487"/>
    <cellStyle name="20% - Accent5 2 3 14 2" xfId="50235"/>
    <cellStyle name="20% - Accent5 2 3 15" xfId="30862"/>
    <cellStyle name="20% - Accent5 2 3 2" xfId="808"/>
    <cellStyle name="20% - Accent5 2 3 2 10" xfId="31172"/>
    <cellStyle name="20% - Accent5 2 3 2 2" xfId="3866"/>
    <cellStyle name="20% - Accent5 2 3 2 2 2" xfId="3867"/>
    <cellStyle name="20% - Accent5 2 3 2 2 2 2" xfId="3868"/>
    <cellStyle name="20% - Accent5 2 3 2 2 2 2 2" xfId="3869"/>
    <cellStyle name="20% - Accent5 2 3 2 2 2 2 2 2" xfId="19161"/>
    <cellStyle name="20% - Accent5 2 3 2 2 2 2 2 2 2" xfId="28877"/>
    <cellStyle name="20% - Accent5 2 3 2 2 2 2 2 2 2 2" xfId="48631"/>
    <cellStyle name="20% - Accent5 2 3 2 2 2 2 2 2 3" xfId="38987"/>
    <cellStyle name="20% - Accent5 2 3 2 2 2 2 2 3" xfId="24067"/>
    <cellStyle name="20% - Accent5 2 3 2 2 2 2 2 3 2" xfId="43822"/>
    <cellStyle name="20% - Accent5 2 3 2 2 2 2 2 4" xfId="34178"/>
    <cellStyle name="20% - Accent5 2 3 2 2 2 2 3" xfId="19160"/>
    <cellStyle name="20% - Accent5 2 3 2 2 2 2 3 2" xfId="28876"/>
    <cellStyle name="20% - Accent5 2 3 2 2 2 2 3 2 2" xfId="48630"/>
    <cellStyle name="20% - Accent5 2 3 2 2 2 2 3 3" xfId="38986"/>
    <cellStyle name="20% - Accent5 2 3 2 2 2 2 4" xfId="24066"/>
    <cellStyle name="20% - Accent5 2 3 2 2 2 2 4 2" xfId="43821"/>
    <cellStyle name="20% - Accent5 2 3 2 2 2 2 5" xfId="34177"/>
    <cellStyle name="20% - Accent5 2 3 2 2 2 3" xfId="3870"/>
    <cellStyle name="20% - Accent5 2 3 2 2 2 3 2" xfId="19162"/>
    <cellStyle name="20% - Accent5 2 3 2 2 2 3 2 2" xfId="28878"/>
    <cellStyle name="20% - Accent5 2 3 2 2 2 3 2 2 2" xfId="48632"/>
    <cellStyle name="20% - Accent5 2 3 2 2 2 3 2 3" xfId="38988"/>
    <cellStyle name="20% - Accent5 2 3 2 2 2 3 3" xfId="24068"/>
    <cellStyle name="20% - Accent5 2 3 2 2 2 3 3 2" xfId="43823"/>
    <cellStyle name="20% - Accent5 2 3 2 2 2 3 4" xfId="34179"/>
    <cellStyle name="20% - Accent5 2 3 2 2 2 4" xfId="19159"/>
    <cellStyle name="20% - Accent5 2 3 2 2 2 4 2" xfId="28875"/>
    <cellStyle name="20% - Accent5 2 3 2 2 2 4 2 2" xfId="48629"/>
    <cellStyle name="20% - Accent5 2 3 2 2 2 4 3" xfId="38985"/>
    <cellStyle name="20% - Accent5 2 3 2 2 2 5" xfId="24065"/>
    <cellStyle name="20% - Accent5 2 3 2 2 2 5 2" xfId="43820"/>
    <cellStyle name="20% - Accent5 2 3 2 2 2 6" xfId="34176"/>
    <cellStyle name="20% - Accent5 2 3 2 2 3" xfId="3871"/>
    <cellStyle name="20% - Accent5 2 3 2 2 3 2" xfId="3872"/>
    <cellStyle name="20% - Accent5 2 3 2 2 3 2 2" xfId="19164"/>
    <cellStyle name="20% - Accent5 2 3 2 2 3 2 2 2" xfId="28880"/>
    <cellStyle name="20% - Accent5 2 3 2 2 3 2 2 2 2" xfId="48634"/>
    <cellStyle name="20% - Accent5 2 3 2 2 3 2 2 3" xfId="38990"/>
    <cellStyle name="20% - Accent5 2 3 2 2 3 2 3" xfId="24070"/>
    <cellStyle name="20% - Accent5 2 3 2 2 3 2 3 2" xfId="43825"/>
    <cellStyle name="20% - Accent5 2 3 2 2 3 2 4" xfId="34181"/>
    <cellStyle name="20% - Accent5 2 3 2 2 3 3" xfId="19163"/>
    <cellStyle name="20% - Accent5 2 3 2 2 3 3 2" xfId="28879"/>
    <cellStyle name="20% - Accent5 2 3 2 2 3 3 2 2" xfId="48633"/>
    <cellStyle name="20% - Accent5 2 3 2 2 3 3 3" xfId="38989"/>
    <cellStyle name="20% - Accent5 2 3 2 2 3 4" xfId="24069"/>
    <cellStyle name="20% - Accent5 2 3 2 2 3 4 2" xfId="43824"/>
    <cellStyle name="20% - Accent5 2 3 2 2 3 5" xfId="34180"/>
    <cellStyle name="20% - Accent5 2 3 2 2 4" xfId="3873"/>
    <cellStyle name="20% - Accent5 2 3 2 2 4 2" xfId="19165"/>
    <cellStyle name="20% - Accent5 2 3 2 2 4 2 2" xfId="28881"/>
    <cellStyle name="20% - Accent5 2 3 2 2 4 2 2 2" xfId="48635"/>
    <cellStyle name="20% - Accent5 2 3 2 2 4 2 3" xfId="38991"/>
    <cellStyle name="20% - Accent5 2 3 2 2 4 3" xfId="24071"/>
    <cellStyle name="20% - Accent5 2 3 2 2 4 3 2" xfId="43826"/>
    <cellStyle name="20% - Accent5 2 3 2 2 4 4" xfId="34182"/>
    <cellStyle name="20% - Accent5 2 3 2 2 5" xfId="19158"/>
    <cellStyle name="20% - Accent5 2 3 2 2 5 2" xfId="28874"/>
    <cellStyle name="20% - Accent5 2 3 2 2 5 2 2" xfId="48628"/>
    <cellStyle name="20% - Accent5 2 3 2 2 5 3" xfId="38984"/>
    <cellStyle name="20% - Accent5 2 3 2 2 6" xfId="24064"/>
    <cellStyle name="20% - Accent5 2 3 2 2 6 2" xfId="43819"/>
    <cellStyle name="20% - Accent5 2 3 2 2 7" xfId="34175"/>
    <cellStyle name="20% - Accent5 2 3 2 3" xfId="3874"/>
    <cellStyle name="20% - Accent5 2 3 2 3 2" xfId="3875"/>
    <cellStyle name="20% - Accent5 2 3 2 3 2 2" xfId="3876"/>
    <cellStyle name="20% - Accent5 2 3 2 3 2 2 2" xfId="19168"/>
    <cellStyle name="20% - Accent5 2 3 2 3 2 2 2 2" xfId="28884"/>
    <cellStyle name="20% - Accent5 2 3 2 3 2 2 2 2 2" xfId="48638"/>
    <cellStyle name="20% - Accent5 2 3 2 3 2 2 2 3" xfId="38994"/>
    <cellStyle name="20% - Accent5 2 3 2 3 2 2 3" xfId="24074"/>
    <cellStyle name="20% - Accent5 2 3 2 3 2 2 3 2" xfId="43829"/>
    <cellStyle name="20% - Accent5 2 3 2 3 2 2 4" xfId="34185"/>
    <cellStyle name="20% - Accent5 2 3 2 3 2 3" xfId="19167"/>
    <cellStyle name="20% - Accent5 2 3 2 3 2 3 2" xfId="28883"/>
    <cellStyle name="20% - Accent5 2 3 2 3 2 3 2 2" xfId="48637"/>
    <cellStyle name="20% - Accent5 2 3 2 3 2 3 3" xfId="38993"/>
    <cellStyle name="20% - Accent5 2 3 2 3 2 4" xfId="24073"/>
    <cellStyle name="20% - Accent5 2 3 2 3 2 4 2" xfId="43828"/>
    <cellStyle name="20% - Accent5 2 3 2 3 2 5" xfId="34184"/>
    <cellStyle name="20% - Accent5 2 3 2 3 3" xfId="3877"/>
    <cellStyle name="20% - Accent5 2 3 2 3 3 2" xfId="19169"/>
    <cellStyle name="20% - Accent5 2 3 2 3 3 2 2" xfId="28885"/>
    <cellStyle name="20% - Accent5 2 3 2 3 3 2 2 2" xfId="48639"/>
    <cellStyle name="20% - Accent5 2 3 2 3 3 2 3" xfId="38995"/>
    <cellStyle name="20% - Accent5 2 3 2 3 3 3" xfId="24075"/>
    <cellStyle name="20% - Accent5 2 3 2 3 3 3 2" xfId="43830"/>
    <cellStyle name="20% - Accent5 2 3 2 3 3 4" xfId="34186"/>
    <cellStyle name="20% - Accent5 2 3 2 3 4" xfId="19166"/>
    <cellStyle name="20% - Accent5 2 3 2 3 4 2" xfId="28882"/>
    <cellStyle name="20% - Accent5 2 3 2 3 4 2 2" xfId="48636"/>
    <cellStyle name="20% - Accent5 2 3 2 3 4 3" xfId="38992"/>
    <cellStyle name="20% - Accent5 2 3 2 3 5" xfId="24072"/>
    <cellStyle name="20% - Accent5 2 3 2 3 5 2" xfId="43827"/>
    <cellStyle name="20% - Accent5 2 3 2 3 6" xfId="34183"/>
    <cellStyle name="20% - Accent5 2 3 2 4" xfId="3878"/>
    <cellStyle name="20% - Accent5 2 3 2 4 2" xfId="3879"/>
    <cellStyle name="20% - Accent5 2 3 2 4 2 2" xfId="19171"/>
    <cellStyle name="20% - Accent5 2 3 2 4 2 2 2" xfId="28887"/>
    <cellStyle name="20% - Accent5 2 3 2 4 2 2 2 2" xfId="48641"/>
    <cellStyle name="20% - Accent5 2 3 2 4 2 2 3" xfId="38997"/>
    <cellStyle name="20% - Accent5 2 3 2 4 2 3" xfId="24077"/>
    <cellStyle name="20% - Accent5 2 3 2 4 2 3 2" xfId="43832"/>
    <cellStyle name="20% - Accent5 2 3 2 4 2 4" xfId="34188"/>
    <cellStyle name="20% - Accent5 2 3 2 4 3" xfId="19170"/>
    <cellStyle name="20% - Accent5 2 3 2 4 3 2" xfId="28886"/>
    <cellStyle name="20% - Accent5 2 3 2 4 3 2 2" xfId="48640"/>
    <cellStyle name="20% - Accent5 2 3 2 4 3 3" xfId="38996"/>
    <cellStyle name="20% - Accent5 2 3 2 4 4" xfId="24076"/>
    <cellStyle name="20% - Accent5 2 3 2 4 4 2" xfId="43831"/>
    <cellStyle name="20% - Accent5 2 3 2 4 5" xfId="34187"/>
    <cellStyle name="20% - Accent5 2 3 2 5" xfId="3880"/>
    <cellStyle name="20% - Accent5 2 3 2 5 2" xfId="19172"/>
    <cellStyle name="20% - Accent5 2 3 2 5 2 2" xfId="28888"/>
    <cellStyle name="20% - Accent5 2 3 2 5 2 2 2" xfId="48642"/>
    <cellStyle name="20% - Accent5 2 3 2 5 2 3" xfId="38998"/>
    <cellStyle name="20% - Accent5 2 3 2 5 3" xfId="24078"/>
    <cellStyle name="20% - Accent5 2 3 2 5 3 2" xfId="43833"/>
    <cellStyle name="20% - Accent5 2 3 2 5 4" xfId="34189"/>
    <cellStyle name="20% - Accent5 2 3 2 6" xfId="3881"/>
    <cellStyle name="20% - Accent5 2 3 2 6 2" xfId="19173"/>
    <cellStyle name="20% - Accent5 2 3 2 6 2 2" xfId="28889"/>
    <cellStyle name="20% - Accent5 2 3 2 6 2 2 2" xfId="48643"/>
    <cellStyle name="20% - Accent5 2 3 2 6 2 3" xfId="38999"/>
    <cellStyle name="20% - Accent5 2 3 2 6 3" xfId="24079"/>
    <cellStyle name="20% - Accent5 2 3 2 6 3 2" xfId="43834"/>
    <cellStyle name="20% - Accent5 2 3 2 6 4" xfId="34190"/>
    <cellStyle name="20% - Accent5 2 3 2 7" xfId="3882"/>
    <cellStyle name="20% - Accent5 2 3 2 7 2" xfId="19174"/>
    <cellStyle name="20% - Accent5 2 3 2 7 2 2" xfId="28890"/>
    <cellStyle name="20% - Accent5 2 3 2 7 2 2 2" xfId="48644"/>
    <cellStyle name="20% - Accent5 2 3 2 7 2 3" xfId="39000"/>
    <cellStyle name="20% - Accent5 2 3 2 7 3" xfId="24080"/>
    <cellStyle name="20% - Accent5 2 3 2 7 3 2" xfId="43835"/>
    <cellStyle name="20% - Accent5 2 3 2 7 4" xfId="34191"/>
    <cellStyle name="20% - Accent5 2 3 2 8" xfId="16155"/>
    <cellStyle name="20% - Accent5 2 3 2 8 2" xfId="25871"/>
    <cellStyle name="20% - Accent5 2 3 2 8 2 2" xfId="45625"/>
    <cellStyle name="20% - Accent5 2 3 2 8 3" xfId="35981"/>
    <cellStyle name="20% - Accent5 2 3 2 9" xfId="21061"/>
    <cellStyle name="20% - Accent5 2 3 2 9 2" xfId="40816"/>
    <cellStyle name="20% - Accent5 2 3 3" xfId="3883"/>
    <cellStyle name="20% - Accent5 2 3 3 2" xfId="3884"/>
    <cellStyle name="20% - Accent5 2 3 3 2 2" xfId="3885"/>
    <cellStyle name="20% - Accent5 2 3 3 2 2 2" xfId="3886"/>
    <cellStyle name="20% - Accent5 2 3 3 2 2 2 2" xfId="19178"/>
    <cellStyle name="20% - Accent5 2 3 3 2 2 2 2 2" xfId="28894"/>
    <cellStyle name="20% - Accent5 2 3 3 2 2 2 2 2 2" xfId="48648"/>
    <cellStyle name="20% - Accent5 2 3 3 2 2 2 2 3" xfId="39004"/>
    <cellStyle name="20% - Accent5 2 3 3 2 2 2 3" xfId="24084"/>
    <cellStyle name="20% - Accent5 2 3 3 2 2 2 3 2" xfId="43839"/>
    <cellStyle name="20% - Accent5 2 3 3 2 2 2 4" xfId="34195"/>
    <cellStyle name="20% - Accent5 2 3 3 2 2 3" xfId="19177"/>
    <cellStyle name="20% - Accent5 2 3 3 2 2 3 2" xfId="28893"/>
    <cellStyle name="20% - Accent5 2 3 3 2 2 3 2 2" xfId="48647"/>
    <cellStyle name="20% - Accent5 2 3 3 2 2 3 3" xfId="39003"/>
    <cellStyle name="20% - Accent5 2 3 3 2 2 4" xfId="24083"/>
    <cellStyle name="20% - Accent5 2 3 3 2 2 4 2" xfId="43838"/>
    <cellStyle name="20% - Accent5 2 3 3 2 2 5" xfId="34194"/>
    <cellStyle name="20% - Accent5 2 3 3 2 3" xfId="3887"/>
    <cellStyle name="20% - Accent5 2 3 3 2 3 2" xfId="19179"/>
    <cellStyle name="20% - Accent5 2 3 3 2 3 2 2" xfId="28895"/>
    <cellStyle name="20% - Accent5 2 3 3 2 3 2 2 2" xfId="48649"/>
    <cellStyle name="20% - Accent5 2 3 3 2 3 2 3" xfId="39005"/>
    <cellStyle name="20% - Accent5 2 3 3 2 3 3" xfId="24085"/>
    <cellStyle name="20% - Accent5 2 3 3 2 3 3 2" xfId="43840"/>
    <cellStyle name="20% - Accent5 2 3 3 2 3 4" xfId="34196"/>
    <cellStyle name="20% - Accent5 2 3 3 2 4" xfId="19176"/>
    <cellStyle name="20% - Accent5 2 3 3 2 4 2" xfId="28892"/>
    <cellStyle name="20% - Accent5 2 3 3 2 4 2 2" xfId="48646"/>
    <cellStyle name="20% - Accent5 2 3 3 2 4 3" xfId="39002"/>
    <cellStyle name="20% - Accent5 2 3 3 2 5" xfId="24082"/>
    <cellStyle name="20% - Accent5 2 3 3 2 5 2" xfId="43837"/>
    <cellStyle name="20% - Accent5 2 3 3 2 6" xfId="34193"/>
    <cellStyle name="20% - Accent5 2 3 3 3" xfId="3888"/>
    <cellStyle name="20% - Accent5 2 3 3 3 2" xfId="3889"/>
    <cellStyle name="20% - Accent5 2 3 3 3 2 2" xfId="19181"/>
    <cellStyle name="20% - Accent5 2 3 3 3 2 2 2" xfId="28897"/>
    <cellStyle name="20% - Accent5 2 3 3 3 2 2 2 2" xfId="48651"/>
    <cellStyle name="20% - Accent5 2 3 3 3 2 2 3" xfId="39007"/>
    <cellStyle name="20% - Accent5 2 3 3 3 2 3" xfId="24087"/>
    <cellStyle name="20% - Accent5 2 3 3 3 2 3 2" xfId="43842"/>
    <cellStyle name="20% - Accent5 2 3 3 3 2 4" xfId="34198"/>
    <cellStyle name="20% - Accent5 2 3 3 3 3" xfId="19180"/>
    <cellStyle name="20% - Accent5 2 3 3 3 3 2" xfId="28896"/>
    <cellStyle name="20% - Accent5 2 3 3 3 3 2 2" xfId="48650"/>
    <cellStyle name="20% - Accent5 2 3 3 3 3 3" xfId="39006"/>
    <cellStyle name="20% - Accent5 2 3 3 3 4" xfId="24086"/>
    <cellStyle name="20% - Accent5 2 3 3 3 4 2" xfId="43841"/>
    <cellStyle name="20% - Accent5 2 3 3 3 5" xfId="34197"/>
    <cellStyle name="20% - Accent5 2 3 3 4" xfId="3890"/>
    <cellStyle name="20% - Accent5 2 3 3 4 2" xfId="19182"/>
    <cellStyle name="20% - Accent5 2 3 3 4 2 2" xfId="28898"/>
    <cellStyle name="20% - Accent5 2 3 3 4 2 2 2" xfId="48652"/>
    <cellStyle name="20% - Accent5 2 3 3 4 2 3" xfId="39008"/>
    <cellStyle name="20% - Accent5 2 3 3 4 3" xfId="24088"/>
    <cellStyle name="20% - Accent5 2 3 3 4 3 2" xfId="43843"/>
    <cellStyle name="20% - Accent5 2 3 3 4 4" xfId="34199"/>
    <cellStyle name="20% - Accent5 2 3 3 5" xfId="19175"/>
    <cellStyle name="20% - Accent5 2 3 3 5 2" xfId="28891"/>
    <cellStyle name="20% - Accent5 2 3 3 5 2 2" xfId="48645"/>
    <cellStyle name="20% - Accent5 2 3 3 5 3" xfId="39001"/>
    <cellStyle name="20% - Accent5 2 3 3 6" xfId="24081"/>
    <cellStyle name="20% - Accent5 2 3 3 6 2" xfId="43836"/>
    <cellStyle name="20% - Accent5 2 3 3 7" xfId="34192"/>
    <cellStyle name="20% - Accent5 2 3 4" xfId="3891"/>
    <cellStyle name="20% - Accent5 2 3 4 2" xfId="3892"/>
    <cellStyle name="20% - Accent5 2 3 4 2 2" xfId="3893"/>
    <cellStyle name="20% - Accent5 2 3 4 2 2 2" xfId="3894"/>
    <cellStyle name="20% - Accent5 2 3 4 2 2 2 2" xfId="19186"/>
    <cellStyle name="20% - Accent5 2 3 4 2 2 2 2 2" xfId="28902"/>
    <cellStyle name="20% - Accent5 2 3 4 2 2 2 2 2 2" xfId="48656"/>
    <cellStyle name="20% - Accent5 2 3 4 2 2 2 2 3" xfId="39012"/>
    <cellStyle name="20% - Accent5 2 3 4 2 2 2 3" xfId="24092"/>
    <cellStyle name="20% - Accent5 2 3 4 2 2 2 3 2" xfId="43847"/>
    <cellStyle name="20% - Accent5 2 3 4 2 2 2 4" xfId="34203"/>
    <cellStyle name="20% - Accent5 2 3 4 2 2 3" xfId="19185"/>
    <cellStyle name="20% - Accent5 2 3 4 2 2 3 2" xfId="28901"/>
    <cellStyle name="20% - Accent5 2 3 4 2 2 3 2 2" xfId="48655"/>
    <cellStyle name="20% - Accent5 2 3 4 2 2 3 3" xfId="39011"/>
    <cellStyle name="20% - Accent5 2 3 4 2 2 4" xfId="24091"/>
    <cellStyle name="20% - Accent5 2 3 4 2 2 4 2" xfId="43846"/>
    <cellStyle name="20% - Accent5 2 3 4 2 2 5" xfId="34202"/>
    <cellStyle name="20% - Accent5 2 3 4 2 3" xfId="3895"/>
    <cellStyle name="20% - Accent5 2 3 4 2 3 2" xfId="19187"/>
    <cellStyle name="20% - Accent5 2 3 4 2 3 2 2" xfId="28903"/>
    <cellStyle name="20% - Accent5 2 3 4 2 3 2 2 2" xfId="48657"/>
    <cellStyle name="20% - Accent5 2 3 4 2 3 2 3" xfId="39013"/>
    <cellStyle name="20% - Accent5 2 3 4 2 3 3" xfId="24093"/>
    <cellStyle name="20% - Accent5 2 3 4 2 3 3 2" xfId="43848"/>
    <cellStyle name="20% - Accent5 2 3 4 2 3 4" xfId="34204"/>
    <cellStyle name="20% - Accent5 2 3 4 2 4" xfId="19184"/>
    <cellStyle name="20% - Accent5 2 3 4 2 4 2" xfId="28900"/>
    <cellStyle name="20% - Accent5 2 3 4 2 4 2 2" xfId="48654"/>
    <cellStyle name="20% - Accent5 2 3 4 2 4 3" xfId="39010"/>
    <cellStyle name="20% - Accent5 2 3 4 2 5" xfId="24090"/>
    <cellStyle name="20% - Accent5 2 3 4 2 5 2" xfId="43845"/>
    <cellStyle name="20% - Accent5 2 3 4 2 6" xfId="34201"/>
    <cellStyle name="20% - Accent5 2 3 4 3" xfId="3896"/>
    <cellStyle name="20% - Accent5 2 3 4 3 2" xfId="3897"/>
    <cellStyle name="20% - Accent5 2 3 4 3 2 2" xfId="19189"/>
    <cellStyle name="20% - Accent5 2 3 4 3 2 2 2" xfId="28905"/>
    <cellStyle name="20% - Accent5 2 3 4 3 2 2 2 2" xfId="48659"/>
    <cellStyle name="20% - Accent5 2 3 4 3 2 2 3" xfId="39015"/>
    <cellStyle name="20% - Accent5 2 3 4 3 2 3" xfId="24095"/>
    <cellStyle name="20% - Accent5 2 3 4 3 2 3 2" xfId="43850"/>
    <cellStyle name="20% - Accent5 2 3 4 3 2 4" xfId="34206"/>
    <cellStyle name="20% - Accent5 2 3 4 3 3" xfId="19188"/>
    <cellStyle name="20% - Accent5 2 3 4 3 3 2" xfId="28904"/>
    <cellStyle name="20% - Accent5 2 3 4 3 3 2 2" xfId="48658"/>
    <cellStyle name="20% - Accent5 2 3 4 3 3 3" xfId="39014"/>
    <cellStyle name="20% - Accent5 2 3 4 3 4" xfId="24094"/>
    <cellStyle name="20% - Accent5 2 3 4 3 4 2" xfId="43849"/>
    <cellStyle name="20% - Accent5 2 3 4 3 5" xfId="34205"/>
    <cellStyle name="20% - Accent5 2 3 4 4" xfId="3898"/>
    <cellStyle name="20% - Accent5 2 3 4 4 2" xfId="19190"/>
    <cellStyle name="20% - Accent5 2 3 4 4 2 2" xfId="28906"/>
    <cellStyle name="20% - Accent5 2 3 4 4 2 2 2" xfId="48660"/>
    <cellStyle name="20% - Accent5 2 3 4 4 2 3" xfId="39016"/>
    <cellStyle name="20% - Accent5 2 3 4 4 3" xfId="24096"/>
    <cellStyle name="20% - Accent5 2 3 4 4 3 2" xfId="43851"/>
    <cellStyle name="20% - Accent5 2 3 4 4 4" xfId="34207"/>
    <cellStyle name="20% - Accent5 2 3 4 5" xfId="19183"/>
    <cellStyle name="20% - Accent5 2 3 4 5 2" xfId="28899"/>
    <cellStyle name="20% - Accent5 2 3 4 5 2 2" xfId="48653"/>
    <cellStyle name="20% - Accent5 2 3 4 5 3" xfId="39009"/>
    <cellStyle name="20% - Accent5 2 3 4 6" xfId="24089"/>
    <cellStyle name="20% - Accent5 2 3 4 6 2" xfId="43844"/>
    <cellStyle name="20% - Accent5 2 3 4 7" xfId="34200"/>
    <cellStyle name="20% - Accent5 2 3 5" xfId="3899"/>
    <cellStyle name="20% - Accent5 2 3 5 2" xfId="3900"/>
    <cellStyle name="20% - Accent5 2 3 5 2 2" xfId="3901"/>
    <cellStyle name="20% - Accent5 2 3 5 2 2 2" xfId="19193"/>
    <cellStyle name="20% - Accent5 2 3 5 2 2 2 2" xfId="28909"/>
    <cellStyle name="20% - Accent5 2 3 5 2 2 2 2 2" xfId="48663"/>
    <cellStyle name="20% - Accent5 2 3 5 2 2 2 3" xfId="39019"/>
    <cellStyle name="20% - Accent5 2 3 5 2 2 3" xfId="24099"/>
    <cellStyle name="20% - Accent5 2 3 5 2 2 3 2" xfId="43854"/>
    <cellStyle name="20% - Accent5 2 3 5 2 2 4" xfId="34210"/>
    <cellStyle name="20% - Accent5 2 3 5 2 3" xfId="19192"/>
    <cellStyle name="20% - Accent5 2 3 5 2 3 2" xfId="28908"/>
    <cellStyle name="20% - Accent5 2 3 5 2 3 2 2" xfId="48662"/>
    <cellStyle name="20% - Accent5 2 3 5 2 3 3" xfId="39018"/>
    <cellStyle name="20% - Accent5 2 3 5 2 4" xfId="24098"/>
    <cellStyle name="20% - Accent5 2 3 5 2 4 2" xfId="43853"/>
    <cellStyle name="20% - Accent5 2 3 5 2 5" xfId="34209"/>
    <cellStyle name="20% - Accent5 2 3 5 3" xfId="3902"/>
    <cellStyle name="20% - Accent5 2 3 5 3 2" xfId="19194"/>
    <cellStyle name="20% - Accent5 2 3 5 3 2 2" xfId="28910"/>
    <cellStyle name="20% - Accent5 2 3 5 3 2 2 2" xfId="48664"/>
    <cellStyle name="20% - Accent5 2 3 5 3 2 3" xfId="39020"/>
    <cellStyle name="20% - Accent5 2 3 5 3 3" xfId="24100"/>
    <cellStyle name="20% - Accent5 2 3 5 3 3 2" xfId="43855"/>
    <cellStyle name="20% - Accent5 2 3 5 3 4" xfId="34211"/>
    <cellStyle name="20% - Accent5 2 3 5 4" xfId="19191"/>
    <cellStyle name="20% - Accent5 2 3 5 4 2" xfId="28907"/>
    <cellStyle name="20% - Accent5 2 3 5 4 2 2" xfId="48661"/>
    <cellStyle name="20% - Accent5 2 3 5 4 3" xfId="39017"/>
    <cellStyle name="20% - Accent5 2 3 5 5" xfId="24097"/>
    <cellStyle name="20% - Accent5 2 3 5 5 2" xfId="43852"/>
    <cellStyle name="20% - Accent5 2 3 5 6" xfId="34208"/>
    <cellStyle name="20% - Accent5 2 3 6" xfId="3903"/>
    <cellStyle name="20% - Accent5 2 3 6 2" xfId="3904"/>
    <cellStyle name="20% - Accent5 2 3 6 2 2" xfId="19196"/>
    <cellStyle name="20% - Accent5 2 3 6 2 2 2" xfId="28912"/>
    <cellStyle name="20% - Accent5 2 3 6 2 2 2 2" xfId="48666"/>
    <cellStyle name="20% - Accent5 2 3 6 2 2 3" xfId="39022"/>
    <cellStyle name="20% - Accent5 2 3 6 2 3" xfId="24102"/>
    <cellStyle name="20% - Accent5 2 3 6 2 3 2" xfId="43857"/>
    <cellStyle name="20% - Accent5 2 3 6 2 4" xfId="34213"/>
    <cellStyle name="20% - Accent5 2 3 6 3" xfId="19195"/>
    <cellStyle name="20% - Accent5 2 3 6 3 2" xfId="28911"/>
    <cellStyle name="20% - Accent5 2 3 6 3 2 2" xfId="48665"/>
    <cellStyle name="20% - Accent5 2 3 6 3 3" xfId="39021"/>
    <cellStyle name="20% - Accent5 2 3 6 4" xfId="24101"/>
    <cellStyle name="20% - Accent5 2 3 6 4 2" xfId="43856"/>
    <cellStyle name="20% - Accent5 2 3 6 5" xfId="34212"/>
    <cellStyle name="20% - Accent5 2 3 7" xfId="3905"/>
    <cellStyle name="20% - Accent5 2 3 7 2" xfId="3906"/>
    <cellStyle name="20% - Accent5 2 3 7 2 2" xfId="19198"/>
    <cellStyle name="20% - Accent5 2 3 7 2 2 2" xfId="28914"/>
    <cellStyle name="20% - Accent5 2 3 7 2 2 2 2" xfId="48668"/>
    <cellStyle name="20% - Accent5 2 3 7 2 2 3" xfId="39024"/>
    <cellStyle name="20% - Accent5 2 3 7 2 3" xfId="24104"/>
    <cellStyle name="20% - Accent5 2 3 7 2 3 2" xfId="43859"/>
    <cellStyle name="20% - Accent5 2 3 7 2 4" xfId="34215"/>
    <cellStyle name="20% - Accent5 2 3 7 3" xfId="19197"/>
    <cellStyle name="20% - Accent5 2 3 7 3 2" xfId="28913"/>
    <cellStyle name="20% - Accent5 2 3 7 3 2 2" xfId="48667"/>
    <cellStyle name="20% - Accent5 2 3 7 3 3" xfId="39023"/>
    <cellStyle name="20% - Accent5 2 3 7 4" xfId="24103"/>
    <cellStyle name="20% - Accent5 2 3 7 4 2" xfId="43858"/>
    <cellStyle name="20% - Accent5 2 3 7 5" xfId="34214"/>
    <cellStyle name="20% - Accent5 2 3 8" xfId="3907"/>
    <cellStyle name="20% - Accent5 2 3 8 2" xfId="19199"/>
    <cellStyle name="20% - Accent5 2 3 8 2 2" xfId="28915"/>
    <cellStyle name="20% - Accent5 2 3 8 2 2 2" xfId="48669"/>
    <cellStyle name="20% - Accent5 2 3 8 2 3" xfId="39025"/>
    <cellStyle name="20% - Accent5 2 3 8 3" xfId="24105"/>
    <cellStyle name="20% - Accent5 2 3 8 3 2" xfId="43860"/>
    <cellStyle name="20% - Accent5 2 3 8 4" xfId="34216"/>
    <cellStyle name="20% - Accent5 2 3 9" xfId="3908"/>
    <cellStyle name="20% - Accent5 2 3 9 2" xfId="19200"/>
    <cellStyle name="20% - Accent5 2 3 9 2 2" xfId="28916"/>
    <cellStyle name="20% - Accent5 2 3 9 2 2 2" xfId="48670"/>
    <cellStyle name="20% - Accent5 2 3 9 2 3" xfId="39026"/>
    <cellStyle name="20% - Accent5 2 3 9 3" xfId="24106"/>
    <cellStyle name="20% - Accent5 2 3 9 3 2" xfId="43861"/>
    <cellStyle name="20% - Accent5 2 3 9 4" xfId="34217"/>
    <cellStyle name="20% - Accent5 2 4" xfId="3909"/>
    <cellStyle name="20% - Accent5 2 4 10" xfId="34218"/>
    <cellStyle name="20% - Accent5 2 4 2" xfId="3910"/>
    <cellStyle name="20% - Accent5 2 4 2 2" xfId="3911"/>
    <cellStyle name="20% - Accent5 2 4 2 2 2" xfId="3912"/>
    <cellStyle name="20% - Accent5 2 4 2 2 2 2" xfId="3913"/>
    <cellStyle name="20% - Accent5 2 4 2 2 2 2 2" xfId="19205"/>
    <cellStyle name="20% - Accent5 2 4 2 2 2 2 2 2" xfId="28921"/>
    <cellStyle name="20% - Accent5 2 4 2 2 2 2 2 2 2" xfId="48675"/>
    <cellStyle name="20% - Accent5 2 4 2 2 2 2 2 3" xfId="39031"/>
    <cellStyle name="20% - Accent5 2 4 2 2 2 2 3" xfId="24111"/>
    <cellStyle name="20% - Accent5 2 4 2 2 2 2 3 2" xfId="43866"/>
    <cellStyle name="20% - Accent5 2 4 2 2 2 2 4" xfId="34222"/>
    <cellStyle name="20% - Accent5 2 4 2 2 2 3" xfId="19204"/>
    <cellStyle name="20% - Accent5 2 4 2 2 2 3 2" xfId="28920"/>
    <cellStyle name="20% - Accent5 2 4 2 2 2 3 2 2" xfId="48674"/>
    <cellStyle name="20% - Accent5 2 4 2 2 2 3 3" xfId="39030"/>
    <cellStyle name="20% - Accent5 2 4 2 2 2 4" xfId="24110"/>
    <cellStyle name="20% - Accent5 2 4 2 2 2 4 2" xfId="43865"/>
    <cellStyle name="20% - Accent5 2 4 2 2 2 5" xfId="34221"/>
    <cellStyle name="20% - Accent5 2 4 2 2 3" xfId="3914"/>
    <cellStyle name="20% - Accent5 2 4 2 2 3 2" xfId="19206"/>
    <cellStyle name="20% - Accent5 2 4 2 2 3 2 2" xfId="28922"/>
    <cellStyle name="20% - Accent5 2 4 2 2 3 2 2 2" xfId="48676"/>
    <cellStyle name="20% - Accent5 2 4 2 2 3 2 3" xfId="39032"/>
    <cellStyle name="20% - Accent5 2 4 2 2 3 3" xfId="24112"/>
    <cellStyle name="20% - Accent5 2 4 2 2 3 3 2" xfId="43867"/>
    <cellStyle name="20% - Accent5 2 4 2 2 3 4" xfId="34223"/>
    <cellStyle name="20% - Accent5 2 4 2 2 4" xfId="19203"/>
    <cellStyle name="20% - Accent5 2 4 2 2 4 2" xfId="28919"/>
    <cellStyle name="20% - Accent5 2 4 2 2 4 2 2" xfId="48673"/>
    <cellStyle name="20% - Accent5 2 4 2 2 4 3" xfId="39029"/>
    <cellStyle name="20% - Accent5 2 4 2 2 5" xfId="24109"/>
    <cellStyle name="20% - Accent5 2 4 2 2 5 2" xfId="43864"/>
    <cellStyle name="20% - Accent5 2 4 2 2 6" xfId="34220"/>
    <cellStyle name="20% - Accent5 2 4 2 3" xfId="3915"/>
    <cellStyle name="20% - Accent5 2 4 2 3 2" xfId="3916"/>
    <cellStyle name="20% - Accent5 2 4 2 3 2 2" xfId="19208"/>
    <cellStyle name="20% - Accent5 2 4 2 3 2 2 2" xfId="28924"/>
    <cellStyle name="20% - Accent5 2 4 2 3 2 2 2 2" xfId="48678"/>
    <cellStyle name="20% - Accent5 2 4 2 3 2 2 3" xfId="39034"/>
    <cellStyle name="20% - Accent5 2 4 2 3 2 3" xfId="24114"/>
    <cellStyle name="20% - Accent5 2 4 2 3 2 3 2" xfId="43869"/>
    <cellStyle name="20% - Accent5 2 4 2 3 2 4" xfId="34225"/>
    <cellStyle name="20% - Accent5 2 4 2 3 3" xfId="19207"/>
    <cellStyle name="20% - Accent5 2 4 2 3 3 2" xfId="28923"/>
    <cellStyle name="20% - Accent5 2 4 2 3 3 2 2" xfId="48677"/>
    <cellStyle name="20% - Accent5 2 4 2 3 3 3" xfId="39033"/>
    <cellStyle name="20% - Accent5 2 4 2 3 4" xfId="24113"/>
    <cellStyle name="20% - Accent5 2 4 2 3 4 2" xfId="43868"/>
    <cellStyle name="20% - Accent5 2 4 2 3 5" xfId="34224"/>
    <cellStyle name="20% - Accent5 2 4 2 4" xfId="3917"/>
    <cellStyle name="20% - Accent5 2 4 2 4 2" xfId="19209"/>
    <cellStyle name="20% - Accent5 2 4 2 4 2 2" xfId="28925"/>
    <cellStyle name="20% - Accent5 2 4 2 4 2 2 2" xfId="48679"/>
    <cellStyle name="20% - Accent5 2 4 2 4 2 3" xfId="39035"/>
    <cellStyle name="20% - Accent5 2 4 2 4 3" xfId="24115"/>
    <cellStyle name="20% - Accent5 2 4 2 4 3 2" xfId="43870"/>
    <cellStyle name="20% - Accent5 2 4 2 4 4" xfId="34226"/>
    <cellStyle name="20% - Accent5 2 4 2 5" xfId="19202"/>
    <cellStyle name="20% - Accent5 2 4 2 5 2" xfId="28918"/>
    <cellStyle name="20% - Accent5 2 4 2 5 2 2" xfId="48672"/>
    <cellStyle name="20% - Accent5 2 4 2 5 3" xfId="39028"/>
    <cellStyle name="20% - Accent5 2 4 2 6" xfId="24108"/>
    <cellStyle name="20% - Accent5 2 4 2 6 2" xfId="43863"/>
    <cellStyle name="20% - Accent5 2 4 2 7" xfId="34219"/>
    <cellStyle name="20% - Accent5 2 4 3" xfId="3918"/>
    <cellStyle name="20% - Accent5 2 4 3 2" xfId="3919"/>
    <cellStyle name="20% - Accent5 2 4 3 2 2" xfId="3920"/>
    <cellStyle name="20% - Accent5 2 4 3 2 2 2" xfId="19212"/>
    <cellStyle name="20% - Accent5 2 4 3 2 2 2 2" xfId="28928"/>
    <cellStyle name="20% - Accent5 2 4 3 2 2 2 2 2" xfId="48682"/>
    <cellStyle name="20% - Accent5 2 4 3 2 2 2 3" xfId="39038"/>
    <cellStyle name="20% - Accent5 2 4 3 2 2 3" xfId="24118"/>
    <cellStyle name="20% - Accent5 2 4 3 2 2 3 2" xfId="43873"/>
    <cellStyle name="20% - Accent5 2 4 3 2 2 4" xfId="34229"/>
    <cellStyle name="20% - Accent5 2 4 3 2 3" xfId="19211"/>
    <cellStyle name="20% - Accent5 2 4 3 2 3 2" xfId="28927"/>
    <cellStyle name="20% - Accent5 2 4 3 2 3 2 2" xfId="48681"/>
    <cellStyle name="20% - Accent5 2 4 3 2 3 3" xfId="39037"/>
    <cellStyle name="20% - Accent5 2 4 3 2 4" xfId="24117"/>
    <cellStyle name="20% - Accent5 2 4 3 2 4 2" xfId="43872"/>
    <cellStyle name="20% - Accent5 2 4 3 2 5" xfId="34228"/>
    <cellStyle name="20% - Accent5 2 4 3 3" xfId="3921"/>
    <cellStyle name="20% - Accent5 2 4 3 3 2" xfId="19213"/>
    <cellStyle name="20% - Accent5 2 4 3 3 2 2" xfId="28929"/>
    <cellStyle name="20% - Accent5 2 4 3 3 2 2 2" xfId="48683"/>
    <cellStyle name="20% - Accent5 2 4 3 3 2 3" xfId="39039"/>
    <cellStyle name="20% - Accent5 2 4 3 3 3" xfId="24119"/>
    <cellStyle name="20% - Accent5 2 4 3 3 3 2" xfId="43874"/>
    <cellStyle name="20% - Accent5 2 4 3 3 4" xfId="34230"/>
    <cellStyle name="20% - Accent5 2 4 3 4" xfId="19210"/>
    <cellStyle name="20% - Accent5 2 4 3 4 2" xfId="28926"/>
    <cellStyle name="20% - Accent5 2 4 3 4 2 2" xfId="48680"/>
    <cellStyle name="20% - Accent5 2 4 3 4 3" xfId="39036"/>
    <cellStyle name="20% - Accent5 2 4 3 5" xfId="24116"/>
    <cellStyle name="20% - Accent5 2 4 3 5 2" xfId="43871"/>
    <cellStyle name="20% - Accent5 2 4 3 6" xfId="34227"/>
    <cellStyle name="20% - Accent5 2 4 4" xfId="3922"/>
    <cellStyle name="20% - Accent5 2 4 4 2" xfId="3923"/>
    <cellStyle name="20% - Accent5 2 4 4 2 2" xfId="19215"/>
    <cellStyle name="20% - Accent5 2 4 4 2 2 2" xfId="28931"/>
    <cellStyle name="20% - Accent5 2 4 4 2 2 2 2" xfId="48685"/>
    <cellStyle name="20% - Accent5 2 4 4 2 2 3" xfId="39041"/>
    <cellStyle name="20% - Accent5 2 4 4 2 3" xfId="24121"/>
    <cellStyle name="20% - Accent5 2 4 4 2 3 2" xfId="43876"/>
    <cellStyle name="20% - Accent5 2 4 4 2 4" xfId="34232"/>
    <cellStyle name="20% - Accent5 2 4 4 3" xfId="19214"/>
    <cellStyle name="20% - Accent5 2 4 4 3 2" xfId="28930"/>
    <cellStyle name="20% - Accent5 2 4 4 3 2 2" xfId="48684"/>
    <cellStyle name="20% - Accent5 2 4 4 3 3" xfId="39040"/>
    <cellStyle name="20% - Accent5 2 4 4 4" xfId="24120"/>
    <cellStyle name="20% - Accent5 2 4 4 4 2" xfId="43875"/>
    <cellStyle name="20% - Accent5 2 4 4 5" xfId="34231"/>
    <cellStyle name="20% - Accent5 2 4 5" xfId="3924"/>
    <cellStyle name="20% - Accent5 2 4 5 2" xfId="19216"/>
    <cellStyle name="20% - Accent5 2 4 5 2 2" xfId="28932"/>
    <cellStyle name="20% - Accent5 2 4 5 2 2 2" xfId="48686"/>
    <cellStyle name="20% - Accent5 2 4 5 2 3" xfId="39042"/>
    <cellStyle name="20% - Accent5 2 4 5 3" xfId="24122"/>
    <cellStyle name="20% - Accent5 2 4 5 3 2" xfId="43877"/>
    <cellStyle name="20% - Accent5 2 4 5 4" xfId="34233"/>
    <cellStyle name="20% - Accent5 2 4 6" xfId="3925"/>
    <cellStyle name="20% - Accent5 2 4 6 2" xfId="19217"/>
    <cellStyle name="20% - Accent5 2 4 6 2 2" xfId="28933"/>
    <cellStyle name="20% - Accent5 2 4 6 2 2 2" xfId="48687"/>
    <cellStyle name="20% - Accent5 2 4 6 2 3" xfId="39043"/>
    <cellStyle name="20% - Accent5 2 4 6 3" xfId="24123"/>
    <cellStyle name="20% - Accent5 2 4 6 3 2" xfId="43878"/>
    <cellStyle name="20% - Accent5 2 4 6 4" xfId="34234"/>
    <cellStyle name="20% - Accent5 2 4 7" xfId="3926"/>
    <cellStyle name="20% - Accent5 2 4 7 2" xfId="19218"/>
    <cellStyle name="20% - Accent5 2 4 7 2 2" xfId="28934"/>
    <cellStyle name="20% - Accent5 2 4 7 2 2 2" xfId="48688"/>
    <cellStyle name="20% - Accent5 2 4 7 2 3" xfId="39044"/>
    <cellStyle name="20% - Accent5 2 4 7 3" xfId="24124"/>
    <cellStyle name="20% - Accent5 2 4 7 3 2" xfId="43879"/>
    <cellStyle name="20% - Accent5 2 4 7 4" xfId="34235"/>
    <cellStyle name="20% - Accent5 2 4 8" xfId="19201"/>
    <cellStyle name="20% - Accent5 2 4 8 2" xfId="28917"/>
    <cellStyle name="20% - Accent5 2 4 8 2 2" xfId="48671"/>
    <cellStyle name="20% - Accent5 2 4 8 3" xfId="39027"/>
    <cellStyle name="20% - Accent5 2 4 9" xfId="24107"/>
    <cellStyle name="20% - Accent5 2 4 9 2" xfId="43862"/>
    <cellStyle name="20% - Accent5 2 5" xfId="3927"/>
    <cellStyle name="20% - Accent5 2 5 2" xfId="3928"/>
    <cellStyle name="20% - Accent5 2 5 2 2" xfId="3929"/>
    <cellStyle name="20% - Accent5 2 5 2 2 2" xfId="3930"/>
    <cellStyle name="20% - Accent5 2 5 2 2 2 2" xfId="19222"/>
    <cellStyle name="20% - Accent5 2 5 2 2 2 2 2" xfId="28938"/>
    <cellStyle name="20% - Accent5 2 5 2 2 2 2 2 2" xfId="48692"/>
    <cellStyle name="20% - Accent5 2 5 2 2 2 2 3" xfId="39048"/>
    <cellStyle name="20% - Accent5 2 5 2 2 2 3" xfId="24128"/>
    <cellStyle name="20% - Accent5 2 5 2 2 2 3 2" xfId="43883"/>
    <cellStyle name="20% - Accent5 2 5 2 2 2 4" xfId="34239"/>
    <cellStyle name="20% - Accent5 2 5 2 2 3" xfId="19221"/>
    <cellStyle name="20% - Accent5 2 5 2 2 3 2" xfId="28937"/>
    <cellStyle name="20% - Accent5 2 5 2 2 3 2 2" xfId="48691"/>
    <cellStyle name="20% - Accent5 2 5 2 2 3 3" xfId="39047"/>
    <cellStyle name="20% - Accent5 2 5 2 2 4" xfId="24127"/>
    <cellStyle name="20% - Accent5 2 5 2 2 4 2" xfId="43882"/>
    <cellStyle name="20% - Accent5 2 5 2 2 5" xfId="34238"/>
    <cellStyle name="20% - Accent5 2 5 2 3" xfId="3931"/>
    <cellStyle name="20% - Accent5 2 5 2 3 2" xfId="19223"/>
    <cellStyle name="20% - Accent5 2 5 2 3 2 2" xfId="28939"/>
    <cellStyle name="20% - Accent5 2 5 2 3 2 2 2" xfId="48693"/>
    <cellStyle name="20% - Accent5 2 5 2 3 2 3" xfId="39049"/>
    <cellStyle name="20% - Accent5 2 5 2 3 3" xfId="24129"/>
    <cellStyle name="20% - Accent5 2 5 2 3 3 2" xfId="43884"/>
    <cellStyle name="20% - Accent5 2 5 2 3 4" xfId="34240"/>
    <cellStyle name="20% - Accent5 2 5 2 4" xfId="19220"/>
    <cellStyle name="20% - Accent5 2 5 2 4 2" xfId="28936"/>
    <cellStyle name="20% - Accent5 2 5 2 4 2 2" xfId="48690"/>
    <cellStyle name="20% - Accent5 2 5 2 4 3" xfId="39046"/>
    <cellStyle name="20% - Accent5 2 5 2 5" xfId="24126"/>
    <cellStyle name="20% - Accent5 2 5 2 5 2" xfId="43881"/>
    <cellStyle name="20% - Accent5 2 5 2 6" xfId="34237"/>
    <cellStyle name="20% - Accent5 2 5 3" xfId="3932"/>
    <cellStyle name="20% - Accent5 2 5 3 2" xfId="3933"/>
    <cellStyle name="20% - Accent5 2 5 3 2 2" xfId="19225"/>
    <cellStyle name="20% - Accent5 2 5 3 2 2 2" xfId="28941"/>
    <cellStyle name="20% - Accent5 2 5 3 2 2 2 2" xfId="48695"/>
    <cellStyle name="20% - Accent5 2 5 3 2 2 3" xfId="39051"/>
    <cellStyle name="20% - Accent5 2 5 3 2 3" xfId="24131"/>
    <cellStyle name="20% - Accent5 2 5 3 2 3 2" xfId="43886"/>
    <cellStyle name="20% - Accent5 2 5 3 2 4" xfId="34242"/>
    <cellStyle name="20% - Accent5 2 5 3 3" xfId="19224"/>
    <cellStyle name="20% - Accent5 2 5 3 3 2" xfId="28940"/>
    <cellStyle name="20% - Accent5 2 5 3 3 2 2" xfId="48694"/>
    <cellStyle name="20% - Accent5 2 5 3 3 3" xfId="39050"/>
    <cellStyle name="20% - Accent5 2 5 3 4" xfId="24130"/>
    <cellStyle name="20% - Accent5 2 5 3 4 2" xfId="43885"/>
    <cellStyle name="20% - Accent5 2 5 3 5" xfId="34241"/>
    <cellStyle name="20% - Accent5 2 5 4" xfId="3934"/>
    <cellStyle name="20% - Accent5 2 5 4 2" xfId="19226"/>
    <cellStyle name="20% - Accent5 2 5 4 2 2" xfId="28942"/>
    <cellStyle name="20% - Accent5 2 5 4 2 2 2" xfId="48696"/>
    <cellStyle name="20% - Accent5 2 5 4 2 3" xfId="39052"/>
    <cellStyle name="20% - Accent5 2 5 4 3" xfId="24132"/>
    <cellStyle name="20% - Accent5 2 5 4 3 2" xfId="43887"/>
    <cellStyle name="20% - Accent5 2 5 4 4" xfId="34243"/>
    <cellStyle name="20% - Accent5 2 5 5" xfId="19219"/>
    <cellStyle name="20% - Accent5 2 5 5 2" xfId="28935"/>
    <cellStyle name="20% - Accent5 2 5 5 2 2" xfId="48689"/>
    <cellStyle name="20% - Accent5 2 5 5 3" xfId="39045"/>
    <cellStyle name="20% - Accent5 2 5 6" xfId="24125"/>
    <cellStyle name="20% - Accent5 2 5 6 2" xfId="43880"/>
    <cellStyle name="20% - Accent5 2 5 7" xfId="34236"/>
    <cellStyle name="20% - Accent5 2 6" xfId="3935"/>
    <cellStyle name="20% - Accent5 2 6 2" xfId="3936"/>
    <cellStyle name="20% - Accent5 2 6 2 2" xfId="3937"/>
    <cellStyle name="20% - Accent5 2 6 2 2 2" xfId="3938"/>
    <cellStyle name="20% - Accent5 2 6 2 2 2 2" xfId="19230"/>
    <cellStyle name="20% - Accent5 2 6 2 2 2 2 2" xfId="28946"/>
    <cellStyle name="20% - Accent5 2 6 2 2 2 2 2 2" xfId="48700"/>
    <cellStyle name="20% - Accent5 2 6 2 2 2 2 3" xfId="39056"/>
    <cellStyle name="20% - Accent5 2 6 2 2 2 3" xfId="24136"/>
    <cellStyle name="20% - Accent5 2 6 2 2 2 3 2" xfId="43891"/>
    <cellStyle name="20% - Accent5 2 6 2 2 2 4" xfId="34247"/>
    <cellStyle name="20% - Accent5 2 6 2 2 3" xfId="19229"/>
    <cellStyle name="20% - Accent5 2 6 2 2 3 2" xfId="28945"/>
    <cellStyle name="20% - Accent5 2 6 2 2 3 2 2" xfId="48699"/>
    <cellStyle name="20% - Accent5 2 6 2 2 3 3" xfId="39055"/>
    <cellStyle name="20% - Accent5 2 6 2 2 4" xfId="24135"/>
    <cellStyle name="20% - Accent5 2 6 2 2 4 2" xfId="43890"/>
    <cellStyle name="20% - Accent5 2 6 2 2 5" xfId="34246"/>
    <cellStyle name="20% - Accent5 2 6 2 3" xfId="3939"/>
    <cellStyle name="20% - Accent5 2 6 2 3 2" xfId="19231"/>
    <cellStyle name="20% - Accent5 2 6 2 3 2 2" xfId="28947"/>
    <cellStyle name="20% - Accent5 2 6 2 3 2 2 2" xfId="48701"/>
    <cellStyle name="20% - Accent5 2 6 2 3 2 3" xfId="39057"/>
    <cellStyle name="20% - Accent5 2 6 2 3 3" xfId="24137"/>
    <cellStyle name="20% - Accent5 2 6 2 3 3 2" xfId="43892"/>
    <cellStyle name="20% - Accent5 2 6 2 3 4" xfId="34248"/>
    <cellStyle name="20% - Accent5 2 6 2 4" xfId="19228"/>
    <cellStyle name="20% - Accent5 2 6 2 4 2" xfId="28944"/>
    <cellStyle name="20% - Accent5 2 6 2 4 2 2" xfId="48698"/>
    <cellStyle name="20% - Accent5 2 6 2 4 3" xfId="39054"/>
    <cellStyle name="20% - Accent5 2 6 2 5" xfId="24134"/>
    <cellStyle name="20% - Accent5 2 6 2 5 2" xfId="43889"/>
    <cellStyle name="20% - Accent5 2 6 2 6" xfId="34245"/>
    <cellStyle name="20% - Accent5 2 6 3" xfId="3940"/>
    <cellStyle name="20% - Accent5 2 6 3 2" xfId="3941"/>
    <cellStyle name="20% - Accent5 2 6 3 2 2" xfId="19233"/>
    <cellStyle name="20% - Accent5 2 6 3 2 2 2" xfId="28949"/>
    <cellStyle name="20% - Accent5 2 6 3 2 2 2 2" xfId="48703"/>
    <cellStyle name="20% - Accent5 2 6 3 2 2 3" xfId="39059"/>
    <cellStyle name="20% - Accent5 2 6 3 2 3" xfId="24139"/>
    <cellStyle name="20% - Accent5 2 6 3 2 3 2" xfId="43894"/>
    <cellStyle name="20% - Accent5 2 6 3 2 4" xfId="34250"/>
    <cellStyle name="20% - Accent5 2 6 3 3" xfId="19232"/>
    <cellStyle name="20% - Accent5 2 6 3 3 2" xfId="28948"/>
    <cellStyle name="20% - Accent5 2 6 3 3 2 2" xfId="48702"/>
    <cellStyle name="20% - Accent5 2 6 3 3 3" xfId="39058"/>
    <cellStyle name="20% - Accent5 2 6 3 4" xfId="24138"/>
    <cellStyle name="20% - Accent5 2 6 3 4 2" xfId="43893"/>
    <cellStyle name="20% - Accent5 2 6 3 5" xfId="34249"/>
    <cellStyle name="20% - Accent5 2 6 4" xfId="3942"/>
    <cellStyle name="20% - Accent5 2 6 4 2" xfId="19234"/>
    <cellStyle name="20% - Accent5 2 6 4 2 2" xfId="28950"/>
    <cellStyle name="20% - Accent5 2 6 4 2 2 2" xfId="48704"/>
    <cellStyle name="20% - Accent5 2 6 4 2 3" xfId="39060"/>
    <cellStyle name="20% - Accent5 2 6 4 3" xfId="24140"/>
    <cellStyle name="20% - Accent5 2 6 4 3 2" xfId="43895"/>
    <cellStyle name="20% - Accent5 2 6 4 4" xfId="34251"/>
    <cellStyle name="20% - Accent5 2 6 5" xfId="19227"/>
    <cellStyle name="20% - Accent5 2 6 5 2" xfId="28943"/>
    <cellStyle name="20% - Accent5 2 6 5 2 2" xfId="48697"/>
    <cellStyle name="20% - Accent5 2 6 5 3" xfId="39053"/>
    <cellStyle name="20% - Accent5 2 6 6" xfId="24133"/>
    <cellStyle name="20% - Accent5 2 6 6 2" xfId="43888"/>
    <cellStyle name="20% - Accent5 2 6 7" xfId="34244"/>
    <cellStyle name="20% - Accent5 2 7" xfId="3943"/>
    <cellStyle name="20% - Accent5 2 8" xfId="3944"/>
    <cellStyle name="20% - Accent5 2 8 2" xfId="3945"/>
    <cellStyle name="20% - Accent5 2 8 2 2" xfId="3946"/>
    <cellStyle name="20% - Accent5 2 8 2 2 2" xfId="19237"/>
    <cellStyle name="20% - Accent5 2 8 2 2 2 2" xfId="28953"/>
    <cellStyle name="20% - Accent5 2 8 2 2 2 2 2" xfId="48707"/>
    <cellStyle name="20% - Accent5 2 8 2 2 2 3" xfId="39063"/>
    <cellStyle name="20% - Accent5 2 8 2 2 3" xfId="24143"/>
    <cellStyle name="20% - Accent5 2 8 2 2 3 2" xfId="43898"/>
    <cellStyle name="20% - Accent5 2 8 2 2 4" xfId="34254"/>
    <cellStyle name="20% - Accent5 2 8 2 3" xfId="19236"/>
    <cellStyle name="20% - Accent5 2 8 2 3 2" xfId="28952"/>
    <cellStyle name="20% - Accent5 2 8 2 3 2 2" xfId="48706"/>
    <cellStyle name="20% - Accent5 2 8 2 3 3" xfId="39062"/>
    <cellStyle name="20% - Accent5 2 8 2 4" xfId="24142"/>
    <cellStyle name="20% - Accent5 2 8 2 4 2" xfId="43897"/>
    <cellStyle name="20% - Accent5 2 8 2 5" xfId="34253"/>
    <cellStyle name="20% - Accent5 2 8 3" xfId="3947"/>
    <cellStyle name="20% - Accent5 2 8 3 2" xfId="19238"/>
    <cellStyle name="20% - Accent5 2 8 3 2 2" xfId="28954"/>
    <cellStyle name="20% - Accent5 2 8 3 2 2 2" xfId="48708"/>
    <cellStyle name="20% - Accent5 2 8 3 2 3" xfId="39064"/>
    <cellStyle name="20% - Accent5 2 8 3 3" xfId="24144"/>
    <cellStyle name="20% - Accent5 2 8 3 3 2" xfId="43899"/>
    <cellStyle name="20% - Accent5 2 8 3 4" xfId="34255"/>
    <cellStyle name="20% - Accent5 2 8 4" xfId="19235"/>
    <cellStyle name="20% - Accent5 2 8 4 2" xfId="28951"/>
    <cellStyle name="20% - Accent5 2 8 4 2 2" xfId="48705"/>
    <cellStyle name="20% - Accent5 2 8 4 3" xfId="39061"/>
    <cellStyle name="20% - Accent5 2 8 5" xfId="24141"/>
    <cellStyle name="20% - Accent5 2 8 5 2" xfId="43896"/>
    <cellStyle name="20% - Accent5 2 8 6" xfId="34252"/>
    <cellStyle name="20% - Accent5 2 9" xfId="3948"/>
    <cellStyle name="20% - Accent5 2 9 2" xfId="3949"/>
    <cellStyle name="20% - Accent5 2 9 2 2" xfId="19240"/>
    <cellStyle name="20% - Accent5 2 9 2 2 2" xfId="28956"/>
    <cellStyle name="20% - Accent5 2 9 2 2 2 2" xfId="48710"/>
    <cellStyle name="20% - Accent5 2 9 2 2 3" xfId="39066"/>
    <cellStyle name="20% - Accent5 2 9 2 3" xfId="24146"/>
    <cellStyle name="20% - Accent5 2 9 2 3 2" xfId="43901"/>
    <cellStyle name="20% - Accent5 2 9 2 4" xfId="34257"/>
    <cellStyle name="20% - Accent5 2 9 3" xfId="19239"/>
    <cellStyle name="20% - Accent5 2 9 3 2" xfId="28955"/>
    <cellStyle name="20% - Accent5 2 9 3 2 2" xfId="48709"/>
    <cellStyle name="20% - Accent5 2 9 3 3" xfId="39065"/>
    <cellStyle name="20% - Accent5 2 9 4" xfId="24145"/>
    <cellStyle name="20% - Accent5 2 9 4 2" xfId="43900"/>
    <cellStyle name="20% - Accent5 2 9 5" xfId="34256"/>
    <cellStyle name="20% - Accent5 20" xfId="30789"/>
    <cellStyle name="20% - Accent5 21" xfId="50530"/>
    <cellStyle name="20% - Accent5 3" xfId="85"/>
    <cellStyle name="20% - Accent5 3 10" xfId="3950"/>
    <cellStyle name="20% - Accent5 3 10 2" xfId="3951"/>
    <cellStyle name="20% - Accent5 3 10 2 2" xfId="19242"/>
    <cellStyle name="20% - Accent5 3 10 2 2 2" xfId="28958"/>
    <cellStyle name="20% - Accent5 3 10 2 2 2 2" xfId="48712"/>
    <cellStyle name="20% - Accent5 3 10 2 2 3" xfId="39068"/>
    <cellStyle name="20% - Accent5 3 10 2 3" xfId="24148"/>
    <cellStyle name="20% - Accent5 3 10 2 3 2" xfId="43903"/>
    <cellStyle name="20% - Accent5 3 10 2 4" xfId="34259"/>
    <cellStyle name="20% - Accent5 3 10 3" xfId="19241"/>
    <cellStyle name="20% - Accent5 3 10 3 2" xfId="28957"/>
    <cellStyle name="20% - Accent5 3 10 3 2 2" xfId="48711"/>
    <cellStyle name="20% - Accent5 3 10 3 3" xfId="39067"/>
    <cellStyle name="20% - Accent5 3 10 4" xfId="24147"/>
    <cellStyle name="20% - Accent5 3 10 4 2" xfId="43902"/>
    <cellStyle name="20% - Accent5 3 10 5" xfId="34258"/>
    <cellStyle name="20% - Accent5 3 11" xfId="3952"/>
    <cellStyle name="20% - Accent5 3 11 2" xfId="19243"/>
    <cellStyle name="20% - Accent5 3 11 2 2" xfId="28959"/>
    <cellStyle name="20% - Accent5 3 11 2 2 2" xfId="48713"/>
    <cellStyle name="20% - Accent5 3 11 2 3" xfId="39069"/>
    <cellStyle name="20% - Accent5 3 11 3" xfId="24149"/>
    <cellStyle name="20% - Accent5 3 11 3 2" xfId="43904"/>
    <cellStyle name="20% - Accent5 3 11 4" xfId="34260"/>
    <cellStyle name="20% - Accent5 3 12" xfId="3953"/>
    <cellStyle name="20% - Accent5 3 12 2" xfId="19244"/>
    <cellStyle name="20% - Accent5 3 12 2 2" xfId="28960"/>
    <cellStyle name="20% - Accent5 3 12 2 2 2" xfId="48714"/>
    <cellStyle name="20% - Accent5 3 12 2 3" xfId="39070"/>
    <cellStyle name="20% - Accent5 3 12 3" xfId="24150"/>
    <cellStyle name="20% - Accent5 3 12 3 2" xfId="43905"/>
    <cellStyle name="20% - Accent5 3 12 4" xfId="34261"/>
    <cellStyle name="20% - Accent5 3 13" xfId="3954"/>
    <cellStyle name="20% - Accent5 3 13 2" xfId="19245"/>
    <cellStyle name="20% - Accent5 3 13 2 2" xfId="28961"/>
    <cellStyle name="20% - Accent5 3 13 2 2 2" xfId="48715"/>
    <cellStyle name="20% - Accent5 3 13 2 3" xfId="39071"/>
    <cellStyle name="20% - Accent5 3 13 3" xfId="24151"/>
    <cellStyle name="20% - Accent5 3 13 3 2" xfId="43906"/>
    <cellStyle name="20% - Accent5 3 13 4" xfId="34262"/>
    <cellStyle name="20% - Accent5 3 2" xfId="3955"/>
    <cellStyle name="20% - Accent5 3 2 10" xfId="3956"/>
    <cellStyle name="20% - Accent5 3 2 10 2" xfId="19247"/>
    <cellStyle name="20% - Accent5 3 2 10 2 2" xfId="28963"/>
    <cellStyle name="20% - Accent5 3 2 10 2 2 2" xfId="48717"/>
    <cellStyle name="20% - Accent5 3 2 10 2 3" xfId="39073"/>
    <cellStyle name="20% - Accent5 3 2 10 3" xfId="24153"/>
    <cellStyle name="20% - Accent5 3 2 10 3 2" xfId="43908"/>
    <cellStyle name="20% - Accent5 3 2 10 4" xfId="34264"/>
    <cellStyle name="20% - Accent5 3 2 11" xfId="3957"/>
    <cellStyle name="20% - Accent5 3 2 11 2" xfId="19248"/>
    <cellStyle name="20% - Accent5 3 2 11 2 2" xfId="28964"/>
    <cellStyle name="20% - Accent5 3 2 11 2 2 2" xfId="48718"/>
    <cellStyle name="20% - Accent5 3 2 11 2 3" xfId="39074"/>
    <cellStyle name="20% - Accent5 3 2 11 3" xfId="24154"/>
    <cellStyle name="20% - Accent5 3 2 11 3 2" xfId="43909"/>
    <cellStyle name="20% - Accent5 3 2 11 4" xfId="34265"/>
    <cellStyle name="20% - Accent5 3 2 12" xfId="19246"/>
    <cellStyle name="20% - Accent5 3 2 12 2" xfId="28962"/>
    <cellStyle name="20% - Accent5 3 2 12 2 2" xfId="48716"/>
    <cellStyle name="20% - Accent5 3 2 12 3" xfId="39072"/>
    <cellStyle name="20% - Accent5 3 2 13" xfId="24152"/>
    <cellStyle name="20% - Accent5 3 2 13 2" xfId="43907"/>
    <cellStyle name="20% - Accent5 3 2 14" xfId="34263"/>
    <cellStyle name="20% - Accent5 3 2 2" xfId="3958"/>
    <cellStyle name="20% - Accent5 3 2 2 10" xfId="3959"/>
    <cellStyle name="20% - Accent5 3 2 2 10 2" xfId="19250"/>
    <cellStyle name="20% - Accent5 3 2 2 10 2 2" xfId="28966"/>
    <cellStyle name="20% - Accent5 3 2 2 10 2 2 2" xfId="48720"/>
    <cellStyle name="20% - Accent5 3 2 2 10 2 3" xfId="39076"/>
    <cellStyle name="20% - Accent5 3 2 2 10 3" xfId="24156"/>
    <cellStyle name="20% - Accent5 3 2 2 10 3 2" xfId="43911"/>
    <cellStyle name="20% - Accent5 3 2 2 10 4" xfId="34267"/>
    <cellStyle name="20% - Accent5 3 2 2 11" xfId="19249"/>
    <cellStyle name="20% - Accent5 3 2 2 11 2" xfId="28965"/>
    <cellStyle name="20% - Accent5 3 2 2 11 2 2" xfId="48719"/>
    <cellStyle name="20% - Accent5 3 2 2 11 3" xfId="39075"/>
    <cellStyle name="20% - Accent5 3 2 2 12" xfId="24155"/>
    <cellStyle name="20% - Accent5 3 2 2 12 2" xfId="43910"/>
    <cellStyle name="20% - Accent5 3 2 2 13" xfId="34266"/>
    <cellStyle name="20% - Accent5 3 2 2 2" xfId="3960"/>
    <cellStyle name="20% - Accent5 3 2 2 2 10" xfId="34268"/>
    <cellStyle name="20% - Accent5 3 2 2 2 2" xfId="3961"/>
    <cellStyle name="20% - Accent5 3 2 2 2 2 2" xfId="3962"/>
    <cellStyle name="20% - Accent5 3 2 2 2 2 2 2" xfId="3963"/>
    <cellStyle name="20% - Accent5 3 2 2 2 2 2 2 2" xfId="3964"/>
    <cellStyle name="20% - Accent5 3 2 2 2 2 2 2 2 2" xfId="19255"/>
    <cellStyle name="20% - Accent5 3 2 2 2 2 2 2 2 2 2" xfId="28971"/>
    <cellStyle name="20% - Accent5 3 2 2 2 2 2 2 2 2 2 2" xfId="48725"/>
    <cellStyle name="20% - Accent5 3 2 2 2 2 2 2 2 2 3" xfId="39081"/>
    <cellStyle name="20% - Accent5 3 2 2 2 2 2 2 2 3" xfId="24161"/>
    <cellStyle name="20% - Accent5 3 2 2 2 2 2 2 2 3 2" xfId="43916"/>
    <cellStyle name="20% - Accent5 3 2 2 2 2 2 2 2 4" xfId="34272"/>
    <cellStyle name="20% - Accent5 3 2 2 2 2 2 2 3" xfId="19254"/>
    <cellStyle name="20% - Accent5 3 2 2 2 2 2 2 3 2" xfId="28970"/>
    <cellStyle name="20% - Accent5 3 2 2 2 2 2 2 3 2 2" xfId="48724"/>
    <cellStyle name="20% - Accent5 3 2 2 2 2 2 2 3 3" xfId="39080"/>
    <cellStyle name="20% - Accent5 3 2 2 2 2 2 2 4" xfId="24160"/>
    <cellStyle name="20% - Accent5 3 2 2 2 2 2 2 4 2" xfId="43915"/>
    <cellStyle name="20% - Accent5 3 2 2 2 2 2 2 5" xfId="34271"/>
    <cellStyle name="20% - Accent5 3 2 2 2 2 2 3" xfId="3965"/>
    <cellStyle name="20% - Accent5 3 2 2 2 2 2 3 2" xfId="19256"/>
    <cellStyle name="20% - Accent5 3 2 2 2 2 2 3 2 2" xfId="28972"/>
    <cellStyle name="20% - Accent5 3 2 2 2 2 2 3 2 2 2" xfId="48726"/>
    <cellStyle name="20% - Accent5 3 2 2 2 2 2 3 2 3" xfId="39082"/>
    <cellStyle name="20% - Accent5 3 2 2 2 2 2 3 3" xfId="24162"/>
    <cellStyle name="20% - Accent5 3 2 2 2 2 2 3 3 2" xfId="43917"/>
    <cellStyle name="20% - Accent5 3 2 2 2 2 2 3 4" xfId="34273"/>
    <cellStyle name="20% - Accent5 3 2 2 2 2 2 4" xfId="19253"/>
    <cellStyle name="20% - Accent5 3 2 2 2 2 2 4 2" xfId="28969"/>
    <cellStyle name="20% - Accent5 3 2 2 2 2 2 4 2 2" xfId="48723"/>
    <cellStyle name="20% - Accent5 3 2 2 2 2 2 4 3" xfId="39079"/>
    <cellStyle name="20% - Accent5 3 2 2 2 2 2 5" xfId="24159"/>
    <cellStyle name="20% - Accent5 3 2 2 2 2 2 5 2" xfId="43914"/>
    <cellStyle name="20% - Accent5 3 2 2 2 2 2 6" xfId="34270"/>
    <cellStyle name="20% - Accent5 3 2 2 2 2 3" xfId="3966"/>
    <cellStyle name="20% - Accent5 3 2 2 2 2 3 2" xfId="3967"/>
    <cellStyle name="20% - Accent5 3 2 2 2 2 3 2 2" xfId="19258"/>
    <cellStyle name="20% - Accent5 3 2 2 2 2 3 2 2 2" xfId="28974"/>
    <cellStyle name="20% - Accent5 3 2 2 2 2 3 2 2 2 2" xfId="48728"/>
    <cellStyle name="20% - Accent5 3 2 2 2 2 3 2 2 3" xfId="39084"/>
    <cellStyle name="20% - Accent5 3 2 2 2 2 3 2 3" xfId="24164"/>
    <cellStyle name="20% - Accent5 3 2 2 2 2 3 2 3 2" xfId="43919"/>
    <cellStyle name="20% - Accent5 3 2 2 2 2 3 2 4" xfId="34275"/>
    <cellStyle name="20% - Accent5 3 2 2 2 2 3 3" xfId="19257"/>
    <cellStyle name="20% - Accent5 3 2 2 2 2 3 3 2" xfId="28973"/>
    <cellStyle name="20% - Accent5 3 2 2 2 2 3 3 2 2" xfId="48727"/>
    <cellStyle name="20% - Accent5 3 2 2 2 2 3 3 3" xfId="39083"/>
    <cellStyle name="20% - Accent5 3 2 2 2 2 3 4" xfId="24163"/>
    <cellStyle name="20% - Accent5 3 2 2 2 2 3 4 2" xfId="43918"/>
    <cellStyle name="20% - Accent5 3 2 2 2 2 3 5" xfId="34274"/>
    <cellStyle name="20% - Accent5 3 2 2 2 2 4" xfId="3968"/>
    <cellStyle name="20% - Accent5 3 2 2 2 2 4 2" xfId="19259"/>
    <cellStyle name="20% - Accent5 3 2 2 2 2 4 2 2" xfId="28975"/>
    <cellStyle name="20% - Accent5 3 2 2 2 2 4 2 2 2" xfId="48729"/>
    <cellStyle name="20% - Accent5 3 2 2 2 2 4 2 3" xfId="39085"/>
    <cellStyle name="20% - Accent5 3 2 2 2 2 4 3" xfId="24165"/>
    <cellStyle name="20% - Accent5 3 2 2 2 2 4 3 2" xfId="43920"/>
    <cellStyle name="20% - Accent5 3 2 2 2 2 4 4" xfId="34276"/>
    <cellStyle name="20% - Accent5 3 2 2 2 2 5" xfId="19252"/>
    <cellStyle name="20% - Accent5 3 2 2 2 2 5 2" xfId="28968"/>
    <cellStyle name="20% - Accent5 3 2 2 2 2 5 2 2" xfId="48722"/>
    <cellStyle name="20% - Accent5 3 2 2 2 2 5 3" xfId="39078"/>
    <cellStyle name="20% - Accent5 3 2 2 2 2 6" xfId="24158"/>
    <cellStyle name="20% - Accent5 3 2 2 2 2 6 2" xfId="43913"/>
    <cellStyle name="20% - Accent5 3 2 2 2 2 7" xfId="34269"/>
    <cellStyle name="20% - Accent5 3 2 2 2 3" xfId="3969"/>
    <cellStyle name="20% - Accent5 3 2 2 2 3 2" xfId="3970"/>
    <cellStyle name="20% - Accent5 3 2 2 2 3 2 2" xfId="3971"/>
    <cellStyle name="20% - Accent5 3 2 2 2 3 2 2 2" xfId="19262"/>
    <cellStyle name="20% - Accent5 3 2 2 2 3 2 2 2 2" xfId="28978"/>
    <cellStyle name="20% - Accent5 3 2 2 2 3 2 2 2 2 2" xfId="48732"/>
    <cellStyle name="20% - Accent5 3 2 2 2 3 2 2 2 3" xfId="39088"/>
    <cellStyle name="20% - Accent5 3 2 2 2 3 2 2 3" xfId="24168"/>
    <cellStyle name="20% - Accent5 3 2 2 2 3 2 2 3 2" xfId="43923"/>
    <cellStyle name="20% - Accent5 3 2 2 2 3 2 2 4" xfId="34279"/>
    <cellStyle name="20% - Accent5 3 2 2 2 3 2 3" xfId="19261"/>
    <cellStyle name="20% - Accent5 3 2 2 2 3 2 3 2" xfId="28977"/>
    <cellStyle name="20% - Accent5 3 2 2 2 3 2 3 2 2" xfId="48731"/>
    <cellStyle name="20% - Accent5 3 2 2 2 3 2 3 3" xfId="39087"/>
    <cellStyle name="20% - Accent5 3 2 2 2 3 2 4" xfId="24167"/>
    <cellStyle name="20% - Accent5 3 2 2 2 3 2 4 2" xfId="43922"/>
    <cellStyle name="20% - Accent5 3 2 2 2 3 2 5" xfId="34278"/>
    <cellStyle name="20% - Accent5 3 2 2 2 3 3" xfId="3972"/>
    <cellStyle name="20% - Accent5 3 2 2 2 3 3 2" xfId="19263"/>
    <cellStyle name="20% - Accent5 3 2 2 2 3 3 2 2" xfId="28979"/>
    <cellStyle name="20% - Accent5 3 2 2 2 3 3 2 2 2" xfId="48733"/>
    <cellStyle name="20% - Accent5 3 2 2 2 3 3 2 3" xfId="39089"/>
    <cellStyle name="20% - Accent5 3 2 2 2 3 3 3" xfId="24169"/>
    <cellStyle name="20% - Accent5 3 2 2 2 3 3 3 2" xfId="43924"/>
    <cellStyle name="20% - Accent5 3 2 2 2 3 3 4" xfId="34280"/>
    <cellStyle name="20% - Accent5 3 2 2 2 3 4" xfId="19260"/>
    <cellStyle name="20% - Accent5 3 2 2 2 3 4 2" xfId="28976"/>
    <cellStyle name="20% - Accent5 3 2 2 2 3 4 2 2" xfId="48730"/>
    <cellStyle name="20% - Accent5 3 2 2 2 3 4 3" xfId="39086"/>
    <cellStyle name="20% - Accent5 3 2 2 2 3 5" xfId="24166"/>
    <cellStyle name="20% - Accent5 3 2 2 2 3 5 2" xfId="43921"/>
    <cellStyle name="20% - Accent5 3 2 2 2 3 6" xfId="34277"/>
    <cellStyle name="20% - Accent5 3 2 2 2 4" xfId="3973"/>
    <cellStyle name="20% - Accent5 3 2 2 2 4 2" xfId="3974"/>
    <cellStyle name="20% - Accent5 3 2 2 2 4 2 2" xfId="19265"/>
    <cellStyle name="20% - Accent5 3 2 2 2 4 2 2 2" xfId="28981"/>
    <cellStyle name="20% - Accent5 3 2 2 2 4 2 2 2 2" xfId="48735"/>
    <cellStyle name="20% - Accent5 3 2 2 2 4 2 2 3" xfId="39091"/>
    <cellStyle name="20% - Accent5 3 2 2 2 4 2 3" xfId="24171"/>
    <cellStyle name="20% - Accent5 3 2 2 2 4 2 3 2" xfId="43926"/>
    <cellStyle name="20% - Accent5 3 2 2 2 4 2 4" xfId="34282"/>
    <cellStyle name="20% - Accent5 3 2 2 2 4 3" xfId="19264"/>
    <cellStyle name="20% - Accent5 3 2 2 2 4 3 2" xfId="28980"/>
    <cellStyle name="20% - Accent5 3 2 2 2 4 3 2 2" xfId="48734"/>
    <cellStyle name="20% - Accent5 3 2 2 2 4 3 3" xfId="39090"/>
    <cellStyle name="20% - Accent5 3 2 2 2 4 4" xfId="24170"/>
    <cellStyle name="20% - Accent5 3 2 2 2 4 4 2" xfId="43925"/>
    <cellStyle name="20% - Accent5 3 2 2 2 4 5" xfId="34281"/>
    <cellStyle name="20% - Accent5 3 2 2 2 5" xfId="3975"/>
    <cellStyle name="20% - Accent5 3 2 2 2 5 2" xfId="19266"/>
    <cellStyle name="20% - Accent5 3 2 2 2 5 2 2" xfId="28982"/>
    <cellStyle name="20% - Accent5 3 2 2 2 5 2 2 2" xfId="48736"/>
    <cellStyle name="20% - Accent5 3 2 2 2 5 2 3" xfId="39092"/>
    <cellStyle name="20% - Accent5 3 2 2 2 5 3" xfId="24172"/>
    <cellStyle name="20% - Accent5 3 2 2 2 5 3 2" xfId="43927"/>
    <cellStyle name="20% - Accent5 3 2 2 2 5 4" xfId="34283"/>
    <cellStyle name="20% - Accent5 3 2 2 2 6" xfId="3976"/>
    <cellStyle name="20% - Accent5 3 2 2 2 6 2" xfId="19267"/>
    <cellStyle name="20% - Accent5 3 2 2 2 6 2 2" xfId="28983"/>
    <cellStyle name="20% - Accent5 3 2 2 2 6 2 2 2" xfId="48737"/>
    <cellStyle name="20% - Accent5 3 2 2 2 6 2 3" xfId="39093"/>
    <cellStyle name="20% - Accent5 3 2 2 2 6 3" xfId="24173"/>
    <cellStyle name="20% - Accent5 3 2 2 2 6 3 2" xfId="43928"/>
    <cellStyle name="20% - Accent5 3 2 2 2 6 4" xfId="34284"/>
    <cellStyle name="20% - Accent5 3 2 2 2 7" xfId="3977"/>
    <cellStyle name="20% - Accent5 3 2 2 2 7 2" xfId="19268"/>
    <cellStyle name="20% - Accent5 3 2 2 2 7 2 2" xfId="28984"/>
    <cellStyle name="20% - Accent5 3 2 2 2 7 2 2 2" xfId="48738"/>
    <cellStyle name="20% - Accent5 3 2 2 2 7 2 3" xfId="39094"/>
    <cellStyle name="20% - Accent5 3 2 2 2 7 3" xfId="24174"/>
    <cellStyle name="20% - Accent5 3 2 2 2 7 3 2" xfId="43929"/>
    <cellStyle name="20% - Accent5 3 2 2 2 7 4" xfId="34285"/>
    <cellStyle name="20% - Accent5 3 2 2 2 8" xfId="19251"/>
    <cellStyle name="20% - Accent5 3 2 2 2 8 2" xfId="28967"/>
    <cellStyle name="20% - Accent5 3 2 2 2 8 2 2" xfId="48721"/>
    <cellStyle name="20% - Accent5 3 2 2 2 8 3" xfId="39077"/>
    <cellStyle name="20% - Accent5 3 2 2 2 9" xfId="24157"/>
    <cellStyle name="20% - Accent5 3 2 2 2 9 2" xfId="43912"/>
    <cellStyle name="20% - Accent5 3 2 2 3" xfId="3978"/>
    <cellStyle name="20% - Accent5 3 2 2 3 2" xfId="3979"/>
    <cellStyle name="20% - Accent5 3 2 2 3 2 2" xfId="3980"/>
    <cellStyle name="20% - Accent5 3 2 2 3 2 2 2" xfId="3981"/>
    <cellStyle name="20% - Accent5 3 2 2 3 2 2 2 2" xfId="19272"/>
    <cellStyle name="20% - Accent5 3 2 2 3 2 2 2 2 2" xfId="28988"/>
    <cellStyle name="20% - Accent5 3 2 2 3 2 2 2 2 2 2" xfId="48742"/>
    <cellStyle name="20% - Accent5 3 2 2 3 2 2 2 2 3" xfId="39098"/>
    <cellStyle name="20% - Accent5 3 2 2 3 2 2 2 3" xfId="24178"/>
    <cellStyle name="20% - Accent5 3 2 2 3 2 2 2 3 2" xfId="43933"/>
    <cellStyle name="20% - Accent5 3 2 2 3 2 2 2 4" xfId="34289"/>
    <cellStyle name="20% - Accent5 3 2 2 3 2 2 3" xfId="19271"/>
    <cellStyle name="20% - Accent5 3 2 2 3 2 2 3 2" xfId="28987"/>
    <cellStyle name="20% - Accent5 3 2 2 3 2 2 3 2 2" xfId="48741"/>
    <cellStyle name="20% - Accent5 3 2 2 3 2 2 3 3" xfId="39097"/>
    <cellStyle name="20% - Accent5 3 2 2 3 2 2 4" xfId="24177"/>
    <cellStyle name="20% - Accent5 3 2 2 3 2 2 4 2" xfId="43932"/>
    <cellStyle name="20% - Accent5 3 2 2 3 2 2 5" xfId="34288"/>
    <cellStyle name="20% - Accent5 3 2 2 3 2 3" xfId="3982"/>
    <cellStyle name="20% - Accent5 3 2 2 3 2 3 2" xfId="19273"/>
    <cellStyle name="20% - Accent5 3 2 2 3 2 3 2 2" xfId="28989"/>
    <cellStyle name="20% - Accent5 3 2 2 3 2 3 2 2 2" xfId="48743"/>
    <cellStyle name="20% - Accent5 3 2 2 3 2 3 2 3" xfId="39099"/>
    <cellStyle name="20% - Accent5 3 2 2 3 2 3 3" xfId="24179"/>
    <cellStyle name="20% - Accent5 3 2 2 3 2 3 3 2" xfId="43934"/>
    <cellStyle name="20% - Accent5 3 2 2 3 2 3 4" xfId="34290"/>
    <cellStyle name="20% - Accent5 3 2 2 3 2 4" xfId="19270"/>
    <cellStyle name="20% - Accent5 3 2 2 3 2 4 2" xfId="28986"/>
    <cellStyle name="20% - Accent5 3 2 2 3 2 4 2 2" xfId="48740"/>
    <cellStyle name="20% - Accent5 3 2 2 3 2 4 3" xfId="39096"/>
    <cellStyle name="20% - Accent5 3 2 2 3 2 5" xfId="24176"/>
    <cellStyle name="20% - Accent5 3 2 2 3 2 5 2" xfId="43931"/>
    <cellStyle name="20% - Accent5 3 2 2 3 2 6" xfId="34287"/>
    <cellStyle name="20% - Accent5 3 2 2 3 3" xfId="3983"/>
    <cellStyle name="20% - Accent5 3 2 2 3 3 2" xfId="3984"/>
    <cellStyle name="20% - Accent5 3 2 2 3 3 2 2" xfId="19275"/>
    <cellStyle name="20% - Accent5 3 2 2 3 3 2 2 2" xfId="28991"/>
    <cellStyle name="20% - Accent5 3 2 2 3 3 2 2 2 2" xfId="48745"/>
    <cellStyle name="20% - Accent5 3 2 2 3 3 2 2 3" xfId="39101"/>
    <cellStyle name="20% - Accent5 3 2 2 3 3 2 3" xfId="24181"/>
    <cellStyle name="20% - Accent5 3 2 2 3 3 2 3 2" xfId="43936"/>
    <cellStyle name="20% - Accent5 3 2 2 3 3 2 4" xfId="34292"/>
    <cellStyle name="20% - Accent5 3 2 2 3 3 3" xfId="19274"/>
    <cellStyle name="20% - Accent5 3 2 2 3 3 3 2" xfId="28990"/>
    <cellStyle name="20% - Accent5 3 2 2 3 3 3 2 2" xfId="48744"/>
    <cellStyle name="20% - Accent5 3 2 2 3 3 3 3" xfId="39100"/>
    <cellStyle name="20% - Accent5 3 2 2 3 3 4" xfId="24180"/>
    <cellStyle name="20% - Accent5 3 2 2 3 3 4 2" xfId="43935"/>
    <cellStyle name="20% - Accent5 3 2 2 3 3 5" xfId="34291"/>
    <cellStyle name="20% - Accent5 3 2 2 3 4" xfId="3985"/>
    <cellStyle name="20% - Accent5 3 2 2 3 4 2" xfId="19276"/>
    <cellStyle name="20% - Accent5 3 2 2 3 4 2 2" xfId="28992"/>
    <cellStyle name="20% - Accent5 3 2 2 3 4 2 2 2" xfId="48746"/>
    <cellStyle name="20% - Accent5 3 2 2 3 4 2 3" xfId="39102"/>
    <cellStyle name="20% - Accent5 3 2 2 3 4 3" xfId="24182"/>
    <cellStyle name="20% - Accent5 3 2 2 3 4 3 2" xfId="43937"/>
    <cellStyle name="20% - Accent5 3 2 2 3 4 4" xfId="34293"/>
    <cellStyle name="20% - Accent5 3 2 2 3 5" xfId="19269"/>
    <cellStyle name="20% - Accent5 3 2 2 3 5 2" xfId="28985"/>
    <cellStyle name="20% - Accent5 3 2 2 3 5 2 2" xfId="48739"/>
    <cellStyle name="20% - Accent5 3 2 2 3 5 3" xfId="39095"/>
    <cellStyle name="20% - Accent5 3 2 2 3 6" xfId="24175"/>
    <cellStyle name="20% - Accent5 3 2 2 3 6 2" xfId="43930"/>
    <cellStyle name="20% - Accent5 3 2 2 3 7" xfId="34286"/>
    <cellStyle name="20% - Accent5 3 2 2 4" xfId="3986"/>
    <cellStyle name="20% - Accent5 3 2 2 4 2" xfId="3987"/>
    <cellStyle name="20% - Accent5 3 2 2 4 2 2" xfId="3988"/>
    <cellStyle name="20% - Accent5 3 2 2 4 2 2 2" xfId="3989"/>
    <cellStyle name="20% - Accent5 3 2 2 4 2 2 2 2" xfId="19280"/>
    <cellStyle name="20% - Accent5 3 2 2 4 2 2 2 2 2" xfId="28996"/>
    <cellStyle name="20% - Accent5 3 2 2 4 2 2 2 2 2 2" xfId="48750"/>
    <cellStyle name="20% - Accent5 3 2 2 4 2 2 2 2 3" xfId="39106"/>
    <cellStyle name="20% - Accent5 3 2 2 4 2 2 2 3" xfId="24186"/>
    <cellStyle name="20% - Accent5 3 2 2 4 2 2 2 3 2" xfId="43941"/>
    <cellStyle name="20% - Accent5 3 2 2 4 2 2 2 4" xfId="34297"/>
    <cellStyle name="20% - Accent5 3 2 2 4 2 2 3" xfId="19279"/>
    <cellStyle name="20% - Accent5 3 2 2 4 2 2 3 2" xfId="28995"/>
    <cellStyle name="20% - Accent5 3 2 2 4 2 2 3 2 2" xfId="48749"/>
    <cellStyle name="20% - Accent5 3 2 2 4 2 2 3 3" xfId="39105"/>
    <cellStyle name="20% - Accent5 3 2 2 4 2 2 4" xfId="24185"/>
    <cellStyle name="20% - Accent5 3 2 2 4 2 2 4 2" xfId="43940"/>
    <cellStyle name="20% - Accent5 3 2 2 4 2 2 5" xfId="34296"/>
    <cellStyle name="20% - Accent5 3 2 2 4 2 3" xfId="3990"/>
    <cellStyle name="20% - Accent5 3 2 2 4 2 3 2" xfId="19281"/>
    <cellStyle name="20% - Accent5 3 2 2 4 2 3 2 2" xfId="28997"/>
    <cellStyle name="20% - Accent5 3 2 2 4 2 3 2 2 2" xfId="48751"/>
    <cellStyle name="20% - Accent5 3 2 2 4 2 3 2 3" xfId="39107"/>
    <cellStyle name="20% - Accent5 3 2 2 4 2 3 3" xfId="24187"/>
    <cellStyle name="20% - Accent5 3 2 2 4 2 3 3 2" xfId="43942"/>
    <cellStyle name="20% - Accent5 3 2 2 4 2 3 4" xfId="34298"/>
    <cellStyle name="20% - Accent5 3 2 2 4 2 4" xfId="19278"/>
    <cellStyle name="20% - Accent5 3 2 2 4 2 4 2" xfId="28994"/>
    <cellStyle name="20% - Accent5 3 2 2 4 2 4 2 2" xfId="48748"/>
    <cellStyle name="20% - Accent5 3 2 2 4 2 4 3" xfId="39104"/>
    <cellStyle name="20% - Accent5 3 2 2 4 2 5" xfId="24184"/>
    <cellStyle name="20% - Accent5 3 2 2 4 2 5 2" xfId="43939"/>
    <cellStyle name="20% - Accent5 3 2 2 4 2 6" xfId="34295"/>
    <cellStyle name="20% - Accent5 3 2 2 4 3" xfId="3991"/>
    <cellStyle name="20% - Accent5 3 2 2 4 3 2" xfId="3992"/>
    <cellStyle name="20% - Accent5 3 2 2 4 3 2 2" xfId="19283"/>
    <cellStyle name="20% - Accent5 3 2 2 4 3 2 2 2" xfId="28999"/>
    <cellStyle name="20% - Accent5 3 2 2 4 3 2 2 2 2" xfId="48753"/>
    <cellStyle name="20% - Accent5 3 2 2 4 3 2 2 3" xfId="39109"/>
    <cellStyle name="20% - Accent5 3 2 2 4 3 2 3" xfId="24189"/>
    <cellStyle name="20% - Accent5 3 2 2 4 3 2 3 2" xfId="43944"/>
    <cellStyle name="20% - Accent5 3 2 2 4 3 2 4" xfId="34300"/>
    <cellStyle name="20% - Accent5 3 2 2 4 3 3" xfId="19282"/>
    <cellStyle name="20% - Accent5 3 2 2 4 3 3 2" xfId="28998"/>
    <cellStyle name="20% - Accent5 3 2 2 4 3 3 2 2" xfId="48752"/>
    <cellStyle name="20% - Accent5 3 2 2 4 3 3 3" xfId="39108"/>
    <cellStyle name="20% - Accent5 3 2 2 4 3 4" xfId="24188"/>
    <cellStyle name="20% - Accent5 3 2 2 4 3 4 2" xfId="43943"/>
    <cellStyle name="20% - Accent5 3 2 2 4 3 5" xfId="34299"/>
    <cellStyle name="20% - Accent5 3 2 2 4 4" xfId="3993"/>
    <cellStyle name="20% - Accent5 3 2 2 4 4 2" xfId="19284"/>
    <cellStyle name="20% - Accent5 3 2 2 4 4 2 2" xfId="29000"/>
    <cellStyle name="20% - Accent5 3 2 2 4 4 2 2 2" xfId="48754"/>
    <cellStyle name="20% - Accent5 3 2 2 4 4 2 3" xfId="39110"/>
    <cellStyle name="20% - Accent5 3 2 2 4 4 3" xfId="24190"/>
    <cellStyle name="20% - Accent5 3 2 2 4 4 3 2" xfId="43945"/>
    <cellStyle name="20% - Accent5 3 2 2 4 4 4" xfId="34301"/>
    <cellStyle name="20% - Accent5 3 2 2 4 5" xfId="19277"/>
    <cellStyle name="20% - Accent5 3 2 2 4 5 2" xfId="28993"/>
    <cellStyle name="20% - Accent5 3 2 2 4 5 2 2" xfId="48747"/>
    <cellStyle name="20% - Accent5 3 2 2 4 5 3" xfId="39103"/>
    <cellStyle name="20% - Accent5 3 2 2 4 6" xfId="24183"/>
    <cellStyle name="20% - Accent5 3 2 2 4 6 2" xfId="43938"/>
    <cellStyle name="20% - Accent5 3 2 2 4 7" xfId="34294"/>
    <cellStyle name="20% - Accent5 3 2 2 5" xfId="3994"/>
    <cellStyle name="20% - Accent5 3 2 2 5 2" xfId="3995"/>
    <cellStyle name="20% - Accent5 3 2 2 5 2 2" xfId="3996"/>
    <cellStyle name="20% - Accent5 3 2 2 5 2 2 2" xfId="19287"/>
    <cellStyle name="20% - Accent5 3 2 2 5 2 2 2 2" xfId="29003"/>
    <cellStyle name="20% - Accent5 3 2 2 5 2 2 2 2 2" xfId="48757"/>
    <cellStyle name="20% - Accent5 3 2 2 5 2 2 2 3" xfId="39113"/>
    <cellStyle name="20% - Accent5 3 2 2 5 2 2 3" xfId="24193"/>
    <cellStyle name="20% - Accent5 3 2 2 5 2 2 3 2" xfId="43948"/>
    <cellStyle name="20% - Accent5 3 2 2 5 2 2 4" xfId="34304"/>
    <cellStyle name="20% - Accent5 3 2 2 5 2 3" xfId="19286"/>
    <cellStyle name="20% - Accent5 3 2 2 5 2 3 2" xfId="29002"/>
    <cellStyle name="20% - Accent5 3 2 2 5 2 3 2 2" xfId="48756"/>
    <cellStyle name="20% - Accent5 3 2 2 5 2 3 3" xfId="39112"/>
    <cellStyle name="20% - Accent5 3 2 2 5 2 4" xfId="24192"/>
    <cellStyle name="20% - Accent5 3 2 2 5 2 4 2" xfId="43947"/>
    <cellStyle name="20% - Accent5 3 2 2 5 2 5" xfId="34303"/>
    <cellStyle name="20% - Accent5 3 2 2 5 3" xfId="3997"/>
    <cellStyle name="20% - Accent5 3 2 2 5 3 2" xfId="19288"/>
    <cellStyle name="20% - Accent5 3 2 2 5 3 2 2" xfId="29004"/>
    <cellStyle name="20% - Accent5 3 2 2 5 3 2 2 2" xfId="48758"/>
    <cellStyle name="20% - Accent5 3 2 2 5 3 2 3" xfId="39114"/>
    <cellStyle name="20% - Accent5 3 2 2 5 3 3" xfId="24194"/>
    <cellStyle name="20% - Accent5 3 2 2 5 3 3 2" xfId="43949"/>
    <cellStyle name="20% - Accent5 3 2 2 5 3 4" xfId="34305"/>
    <cellStyle name="20% - Accent5 3 2 2 5 4" xfId="19285"/>
    <cellStyle name="20% - Accent5 3 2 2 5 4 2" xfId="29001"/>
    <cellStyle name="20% - Accent5 3 2 2 5 4 2 2" xfId="48755"/>
    <cellStyle name="20% - Accent5 3 2 2 5 4 3" xfId="39111"/>
    <cellStyle name="20% - Accent5 3 2 2 5 5" xfId="24191"/>
    <cellStyle name="20% - Accent5 3 2 2 5 5 2" xfId="43946"/>
    <cellStyle name="20% - Accent5 3 2 2 5 6" xfId="34302"/>
    <cellStyle name="20% - Accent5 3 2 2 6" xfId="3998"/>
    <cellStyle name="20% - Accent5 3 2 2 6 2" xfId="3999"/>
    <cellStyle name="20% - Accent5 3 2 2 6 2 2" xfId="19290"/>
    <cellStyle name="20% - Accent5 3 2 2 6 2 2 2" xfId="29006"/>
    <cellStyle name="20% - Accent5 3 2 2 6 2 2 2 2" xfId="48760"/>
    <cellStyle name="20% - Accent5 3 2 2 6 2 2 3" xfId="39116"/>
    <cellStyle name="20% - Accent5 3 2 2 6 2 3" xfId="24196"/>
    <cellStyle name="20% - Accent5 3 2 2 6 2 3 2" xfId="43951"/>
    <cellStyle name="20% - Accent5 3 2 2 6 2 4" xfId="34307"/>
    <cellStyle name="20% - Accent5 3 2 2 6 3" xfId="19289"/>
    <cellStyle name="20% - Accent5 3 2 2 6 3 2" xfId="29005"/>
    <cellStyle name="20% - Accent5 3 2 2 6 3 2 2" xfId="48759"/>
    <cellStyle name="20% - Accent5 3 2 2 6 3 3" xfId="39115"/>
    <cellStyle name="20% - Accent5 3 2 2 6 4" xfId="24195"/>
    <cellStyle name="20% - Accent5 3 2 2 6 4 2" xfId="43950"/>
    <cellStyle name="20% - Accent5 3 2 2 6 5" xfId="34306"/>
    <cellStyle name="20% - Accent5 3 2 2 7" xfId="4000"/>
    <cellStyle name="20% - Accent5 3 2 2 7 2" xfId="4001"/>
    <cellStyle name="20% - Accent5 3 2 2 7 2 2" xfId="19292"/>
    <cellStyle name="20% - Accent5 3 2 2 7 2 2 2" xfId="29008"/>
    <cellStyle name="20% - Accent5 3 2 2 7 2 2 2 2" xfId="48762"/>
    <cellStyle name="20% - Accent5 3 2 2 7 2 2 3" xfId="39118"/>
    <cellStyle name="20% - Accent5 3 2 2 7 2 3" xfId="24198"/>
    <cellStyle name="20% - Accent5 3 2 2 7 2 3 2" xfId="43953"/>
    <cellStyle name="20% - Accent5 3 2 2 7 2 4" xfId="34309"/>
    <cellStyle name="20% - Accent5 3 2 2 7 3" xfId="19291"/>
    <cellStyle name="20% - Accent5 3 2 2 7 3 2" xfId="29007"/>
    <cellStyle name="20% - Accent5 3 2 2 7 3 2 2" xfId="48761"/>
    <cellStyle name="20% - Accent5 3 2 2 7 3 3" xfId="39117"/>
    <cellStyle name="20% - Accent5 3 2 2 7 4" xfId="24197"/>
    <cellStyle name="20% - Accent5 3 2 2 7 4 2" xfId="43952"/>
    <cellStyle name="20% - Accent5 3 2 2 7 5" xfId="34308"/>
    <cellStyle name="20% - Accent5 3 2 2 8" xfId="4002"/>
    <cellStyle name="20% - Accent5 3 2 2 8 2" xfId="19293"/>
    <cellStyle name="20% - Accent5 3 2 2 8 2 2" xfId="29009"/>
    <cellStyle name="20% - Accent5 3 2 2 8 2 2 2" xfId="48763"/>
    <cellStyle name="20% - Accent5 3 2 2 8 2 3" xfId="39119"/>
    <cellStyle name="20% - Accent5 3 2 2 8 3" xfId="24199"/>
    <cellStyle name="20% - Accent5 3 2 2 8 3 2" xfId="43954"/>
    <cellStyle name="20% - Accent5 3 2 2 8 4" xfId="34310"/>
    <cellStyle name="20% - Accent5 3 2 2 9" xfId="4003"/>
    <cellStyle name="20% - Accent5 3 2 2 9 2" xfId="19294"/>
    <cellStyle name="20% - Accent5 3 2 2 9 2 2" xfId="29010"/>
    <cellStyle name="20% - Accent5 3 2 2 9 2 2 2" xfId="48764"/>
    <cellStyle name="20% - Accent5 3 2 2 9 2 3" xfId="39120"/>
    <cellStyle name="20% - Accent5 3 2 2 9 3" xfId="24200"/>
    <cellStyle name="20% - Accent5 3 2 2 9 3 2" xfId="43955"/>
    <cellStyle name="20% - Accent5 3 2 2 9 4" xfId="34311"/>
    <cellStyle name="20% - Accent5 3 2 3" xfId="4004"/>
    <cellStyle name="20% - Accent5 3 2 3 10" xfId="34312"/>
    <cellStyle name="20% - Accent5 3 2 3 2" xfId="4005"/>
    <cellStyle name="20% - Accent5 3 2 3 2 2" xfId="4006"/>
    <cellStyle name="20% - Accent5 3 2 3 2 2 2" xfId="4007"/>
    <cellStyle name="20% - Accent5 3 2 3 2 2 2 2" xfId="4008"/>
    <cellStyle name="20% - Accent5 3 2 3 2 2 2 2 2" xfId="19299"/>
    <cellStyle name="20% - Accent5 3 2 3 2 2 2 2 2 2" xfId="29015"/>
    <cellStyle name="20% - Accent5 3 2 3 2 2 2 2 2 2 2" xfId="48769"/>
    <cellStyle name="20% - Accent5 3 2 3 2 2 2 2 2 3" xfId="39125"/>
    <cellStyle name="20% - Accent5 3 2 3 2 2 2 2 3" xfId="24205"/>
    <cellStyle name="20% - Accent5 3 2 3 2 2 2 2 3 2" xfId="43960"/>
    <cellStyle name="20% - Accent5 3 2 3 2 2 2 2 4" xfId="34316"/>
    <cellStyle name="20% - Accent5 3 2 3 2 2 2 3" xfId="19298"/>
    <cellStyle name="20% - Accent5 3 2 3 2 2 2 3 2" xfId="29014"/>
    <cellStyle name="20% - Accent5 3 2 3 2 2 2 3 2 2" xfId="48768"/>
    <cellStyle name="20% - Accent5 3 2 3 2 2 2 3 3" xfId="39124"/>
    <cellStyle name="20% - Accent5 3 2 3 2 2 2 4" xfId="24204"/>
    <cellStyle name="20% - Accent5 3 2 3 2 2 2 4 2" xfId="43959"/>
    <cellStyle name="20% - Accent5 3 2 3 2 2 2 5" xfId="34315"/>
    <cellStyle name="20% - Accent5 3 2 3 2 2 3" xfId="4009"/>
    <cellStyle name="20% - Accent5 3 2 3 2 2 3 2" xfId="19300"/>
    <cellStyle name="20% - Accent5 3 2 3 2 2 3 2 2" xfId="29016"/>
    <cellStyle name="20% - Accent5 3 2 3 2 2 3 2 2 2" xfId="48770"/>
    <cellStyle name="20% - Accent5 3 2 3 2 2 3 2 3" xfId="39126"/>
    <cellStyle name="20% - Accent5 3 2 3 2 2 3 3" xfId="24206"/>
    <cellStyle name="20% - Accent5 3 2 3 2 2 3 3 2" xfId="43961"/>
    <cellStyle name="20% - Accent5 3 2 3 2 2 3 4" xfId="34317"/>
    <cellStyle name="20% - Accent5 3 2 3 2 2 4" xfId="19297"/>
    <cellStyle name="20% - Accent5 3 2 3 2 2 4 2" xfId="29013"/>
    <cellStyle name="20% - Accent5 3 2 3 2 2 4 2 2" xfId="48767"/>
    <cellStyle name="20% - Accent5 3 2 3 2 2 4 3" xfId="39123"/>
    <cellStyle name="20% - Accent5 3 2 3 2 2 5" xfId="24203"/>
    <cellStyle name="20% - Accent5 3 2 3 2 2 5 2" xfId="43958"/>
    <cellStyle name="20% - Accent5 3 2 3 2 2 6" xfId="34314"/>
    <cellStyle name="20% - Accent5 3 2 3 2 3" xfId="4010"/>
    <cellStyle name="20% - Accent5 3 2 3 2 3 2" xfId="4011"/>
    <cellStyle name="20% - Accent5 3 2 3 2 3 2 2" xfId="19302"/>
    <cellStyle name="20% - Accent5 3 2 3 2 3 2 2 2" xfId="29018"/>
    <cellStyle name="20% - Accent5 3 2 3 2 3 2 2 2 2" xfId="48772"/>
    <cellStyle name="20% - Accent5 3 2 3 2 3 2 2 3" xfId="39128"/>
    <cellStyle name="20% - Accent5 3 2 3 2 3 2 3" xfId="24208"/>
    <cellStyle name="20% - Accent5 3 2 3 2 3 2 3 2" xfId="43963"/>
    <cellStyle name="20% - Accent5 3 2 3 2 3 2 4" xfId="34319"/>
    <cellStyle name="20% - Accent5 3 2 3 2 3 3" xfId="19301"/>
    <cellStyle name="20% - Accent5 3 2 3 2 3 3 2" xfId="29017"/>
    <cellStyle name="20% - Accent5 3 2 3 2 3 3 2 2" xfId="48771"/>
    <cellStyle name="20% - Accent5 3 2 3 2 3 3 3" xfId="39127"/>
    <cellStyle name="20% - Accent5 3 2 3 2 3 4" xfId="24207"/>
    <cellStyle name="20% - Accent5 3 2 3 2 3 4 2" xfId="43962"/>
    <cellStyle name="20% - Accent5 3 2 3 2 3 5" xfId="34318"/>
    <cellStyle name="20% - Accent5 3 2 3 2 4" xfId="4012"/>
    <cellStyle name="20% - Accent5 3 2 3 2 4 2" xfId="19303"/>
    <cellStyle name="20% - Accent5 3 2 3 2 4 2 2" xfId="29019"/>
    <cellStyle name="20% - Accent5 3 2 3 2 4 2 2 2" xfId="48773"/>
    <cellStyle name="20% - Accent5 3 2 3 2 4 2 3" xfId="39129"/>
    <cellStyle name="20% - Accent5 3 2 3 2 4 3" xfId="24209"/>
    <cellStyle name="20% - Accent5 3 2 3 2 4 3 2" xfId="43964"/>
    <cellStyle name="20% - Accent5 3 2 3 2 4 4" xfId="34320"/>
    <cellStyle name="20% - Accent5 3 2 3 2 5" xfId="19296"/>
    <cellStyle name="20% - Accent5 3 2 3 2 5 2" xfId="29012"/>
    <cellStyle name="20% - Accent5 3 2 3 2 5 2 2" xfId="48766"/>
    <cellStyle name="20% - Accent5 3 2 3 2 5 3" xfId="39122"/>
    <cellStyle name="20% - Accent5 3 2 3 2 6" xfId="24202"/>
    <cellStyle name="20% - Accent5 3 2 3 2 6 2" xfId="43957"/>
    <cellStyle name="20% - Accent5 3 2 3 2 7" xfId="34313"/>
    <cellStyle name="20% - Accent5 3 2 3 3" xfId="4013"/>
    <cellStyle name="20% - Accent5 3 2 3 3 2" xfId="4014"/>
    <cellStyle name="20% - Accent5 3 2 3 3 2 2" xfId="4015"/>
    <cellStyle name="20% - Accent5 3 2 3 3 2 2 2" xfId="19306"/>
    <cellStyle name="20% - Accent5 3 2 3 3 2 2 2 2" xfId="29022"/>
    <cellStyle name="20% - Accent5 3 2 3 3 2 2 2 2 2" xfId="48776"/>
    <cellStyle name="20% - Accent5 3 2 3 3 2 2 2 3" xfId="39132"/>
    <cellStyle name="20% - Accent5 3 2 3 3 2 2 3" xfId="24212"/>
    <cellStyle name="20% - Accent5 3 2 3 3 2 2 3 2" xfId="43967"/>
    <cellStyle name="20% - Accent5 3 2 3 3 2 2 4" xfId="34323"/>
    <cellStyle name="20% - Accent5 3 2 3 3 2 3" xfId="19305"/>
    <cellStyle name="20% - Accent5 3 2 3 3 2 3 2" xfId="29021"/>
    <cellStyle name="20% - Accent5 3 2 3 3 2 3 2 2" xfId="48775"/>
    <cellStyle name="20% - Accent5 3 2 3 3 2 3 3" xfId="39131"/>
    <cellStyle name="20% - Accent5 3 2 3 3 2 4" xfId="24211"/>
    <cellStyle name="20% - Accent5 3 2 3 3 2 4 2" xfId="43966"/>
    <cellStyle name="20% - Accent5 3 2 3 3 2 5" xfId="34322"/>
    <cellStyle name="20% - Accent5 3 2 3 3 3" xfId="4016"/>
    <cellStyle name="20% - Accent5 3 2 3 3 3 2" xfId="19307"/>
    <cellStyle name="20% - Accent5 3 2 3 3 3 2 2" xfId="29023"/>
    <cellStyle name="20% - Accent5 3 2 3 3 3 2 2 2" xfId="48777"/>
    <cellStyle name="20% - Accent5 3 2 3 3 3 2 3" xfId="39133"/>
    <cellStyle name="20% - Accent5 3 2 3 3 3 3" xfId="24213"/>
    <cellStyle name="20% - Accent5 3 2 3 3 3 3 2" xfId="43968"/>
    <cellStyle name="20% - Accent5 3 2 3 3 3 4" xfId="34324"/>
    <cellStyle name="20% - Accent5 3 2 3 3 4" xfId="19304"/>
    <cellStyle name="20% - Accent5 3 2 3 3 4 2" xfId="29020"/>
    <cellStyle name="20% - Accent5 3 2 3 3 4 2 2" xfId="48774"/>
    <cellStyle name="20% - Accent5 3 2 3 3 4 3" xfId="39130"/>
    <cellStyle name="20% - Accent5 3 2 3 3 5" xfId="24210"/>
    <cellStyle name="20% - Accent5 3 2 3 3 5 2" xfId="43965"/>
    <cellStyle name="20% - Accent5 3 2 3 3 6" xfId="34321"/>
    <cellStyle name="20% - Accent5 3 2 3 4" xfId="4017"/>
    <cellStyle name="20% - Accent5 3 2 3 4 2" xfId="4018"/>
    <cellStyle name="20% - Accent5 3 2 3 4 2 2" xfId="19309"/>
    <cellStyle name="20% - Accent5 3 2 3 4 2 2 2" xfId="29025"/>
    <cellStyle name="20% - Accent5 3 2 3 4 2 2 2 2" xfId="48779"/>
    <cellStyle name="20% - Accent5 3 2 3 4 2 2 3" xfId="39135"/>
    <cellStyle name="20% - Accent5 3 2 3 4 2 3" xfId="24215"/>
    <cellStyle name="20% - Accent5 3 2 3 4 2 3 2" xfId="43970"/>
    <cellStyle name="20% - Accent5 3 2 3 4 2 4" xfId="34326"/>
    <cellStyle name="20% - Accent5 3 2 3 4 3" xfId="19308"/>
    <cellStyle name="20% - Accent5 3 2 3 4 3 2" xfId="29024"/>
    <cellStyle name="20% - Accent5 3 2 3 4 3 2 2" xfId="48778"/>
    <cellStyle name="20% - Accent5 3 2 3 4 3 3" xfId="39134"/>
    <cellStyle name="20% - Accent5 3 2 3 4 4" xfId="24214"/>
    <cellStyle name="20% - Accent5 3 2 3 4 4 2" xfId="43969"/>
    <cellStyle name="20% - Accent5 3 2 3 4 5" xfId="34325"/>
    <cellStyle name="20% - Accent5 3 2 3 5" xfId="4019"/>
    <cellStyle name="20% - Accent5 3 2 3 5 2" xfId="19310"/>
    <cellStyle name="20% - Accent5 3 2 3 5 2 2" xfId="29026"/>
    <cellStyle name="20% - Accent5 3 2 3 5 2 2 2" xfId="48780"/>
    <cellStyle name="20% - Accent5 3 2 3 5 2 3" xfId="39136"/>
    <cellStyle name="20% - Accent5 3 2 3 5 3" xfId="24216"/>
    <cellStyle name="20% - Accent5 3 2 3 5 3 2" xfId="43971"/>
    <cellStyle name="20% - Accent5 3 2 3 5 4" xfId="34327"/>
    <cellStyle name="20% - Accent5 3 2 3 6" xfId="4020"/>
    <cellStyle name="20% - Accent5 3 2 3 6 2" xfId="19311"/>
    <cellStyle name="20% - Accent5 3 2 3 6 2 2" xfId="29027"/>
    <cellStyle name="20% - Accent5 3 2 3 6 2 2 2" xfId="48781"/>
    <cellStyle name="20% - Accent5 3 2 3 6 2 3" xfId="39137"/>
    <cellStyle name="20% - Accent5 3 2 3 6 3" xfId="24217"/>
    <cellStyle name="20% - Accent5 3 2 3 6 3 2" xfId="43972"/>
    <cellStyle name="20% - Accent5 3 2 3 6 4" xfId="34328"/>
    <cellStyle name="20% - Accent5 3 2 3 7" xfId="4021"/>
    <cellStyle name="20% - Accent5 3 2 3 7 2" xfId="19312"/>
    <cellStyle name="20% - Accent5 3 2 3 7 2 2" xfId="29028"/>
    <cellStyle name="20% - Accent5 3 2 3 7 2 2 2" xfId="48782"/>
    <cellStyle name="20% - Accent5 3 2 3 7 2 3" xfId="39138"/>
    <cellStyle name="20% - Accent5 3 2 3 7 3" xfId="24218"/>
    <cellStyle name="20% - Accent5 3 2 3 7 3 2" xfId="43973"/>
    <cellStyle name="20% - Accent5 3 2 3 7 4" xfId="34329"/>
    <cellStyle name="20% - Accent5 3 2 3 8" xfId="19295"/>
    <cellStyle name="20% - Accent5 3 2 3 8 2" xfId="29011"/>
    <cellStyle name="20% - Accent5 3 2 3 8 2 2" xfId="48765"/>
    <cellStyle name="20% - Accent5 3 2 3 8 3" xfId="39121"/>
    <cellStyle name="20% - Accent5 3 2 3 9" xfId="24201"/>
    <cellStyle name="20% - Accent5 3 2 3 9 2" xfId="43956"/>
    <cellStyle name="20% - Accent5 3 2 4" xfId="4022"/>
    <cellStyle name="20% - Accent5 3 2 4 2" xfId="4023"/>
    <cellStyle name="20% - Accent5 3 2 4 2 2" xfId="4024"/>
    <cellStyle name="20% - Accent5 3 2 4 2 2 2" xfId="4025"/>
    <cellStyle name="20% - Accent5 3 2 4 2 2 2 2" xfId="19316"/>
    <cellStyle name="20% - Accent5 3 2 4 2 2 2 2 2" xfId="29032"/>
    <cellStyle name="20% - Accent5 3 2 4 2 2 2 2 2 2" xfId="48786"/>
    <cellStyle name="20% - Accent5 3 2 4 2 2 2 2 3" xfId="39142"/>
    <cellStyle name="20% - Accent5 3 2 4 2 2 2 3" xfId="24222"/>
    <cellStyle name="20% - Accent5 3 2 4 2 2 2 3 2" xfId="43977"/>
    <cellStyle name="20% - Accent5 3 2 4 2 2 2 4" xfId="34333"/>
    <cellStyle name="20% - Accent5 3 2 4 2 2 3" xfId="19315"/>
    <cellStyle name="20% - Accent5 3 2 4 2 2 3 2" xfId="29031"/>
    <cellStyle name="20% - Accent5 3 2 4 2 2 3 2 2" xfId="48785"/>
    <cellStyle name="20% - Accent5 3 2 4 2 2 3 3" xfId="39141"/>
    <cellStyle name="20% - Accent5 3 2 4 2 2 4" xfId="24221"/>
    <cellStyle name="20% - Accent5 3 2 4 2 2 4 2" xfId="43976"/>
    <cellStyle name="20% - Accent5 3 2 4 2 2 5" xfId="34332"/>
    <cellStyle name="20% - Accent5 3 2 4 2 3" xfId="4026"/>
    <cellStyle name="20% - Accent5 3 2 4 2 3 2" xfId="19317"/>
    <cellStyle name="20% - Accent5 3 2 4 2 3 2 2" xfId="29033"/>
    <cellStyle name="20% - Accent5 3 2 4 2 3 2 2 2" xfId="48787"/>
    <cellStyle name="20% - Accent5 3 2 4 2 3 2 3" xfId="39143"/>
    <cellStyle name="20% - Accent5 3 2 4 2 3 3" xfId="24223"/>
    <cellStyle name="20% - Accent5 3 2 4 2 3 3 2" xfId="43978"/>
    <cellStyle name="20% - Accent5 3 2 4 2 3 4" xfId="34334"/>
    <cellStyle name="20% - Accent5 3 2 4 2 4" xfId="19314"/>
    <cellStyle name="20% - Accent5 3 2 4 2 4 2" xfId="29030"/>
    <cellStyle name="20% - Accent5 3 2 4 2 4 2 2" xfId="48784"/>
    <cellStyle name="20% - Accent5 3 2 4 2 4 3" xfId="39140"/>
    <cellStyle name="20% - Accent5 3 2 4 2 5" xfId="24220"/>
    <cellStyle name="20% - Accent5 3 2 4 2 5 2" xfId="43975"/>
    <cellStyle name="20% - Accent5 3 2 4 2 6" xfId="34331"/>
    <cellStyle name="20% - Accent5 3 2 4 3" xfId="4027"/>
    <cellStyle name="20% - Accent5 3 2 4 3 2" xfId="4028"/>
    <cellStyle name="20% - Accent5 3 2 4 3 2 2" xfId="19319"/>
    <cellStyle name="20% - Accent5 3 2 4 3 2 2 2" xfId="29035"/>
    <cellStyle name="20% - Accent5 3 2 4 3 2 2 2 2" xfId="48789"/>
    <cellStyle name="20% - Accent5 3 2 4 3 2 2 3" xfId="39145"/>
    <cellStyle name="20% - Accent5 3 2 4 3 2 3" xfId="24225"/>
    <cellStyle name="20% - Accent5 3 2 4 3 2 3 2" xfId="43980"/>
    <cellStyle name="20% - Accent5 3 2 4 3 2 4" xfId="34336"/>
    <cellStyle name="20% - Accent5 3 2 4 3 3" xfId="19318"/>
    <cellStyle name="20% - Accent5 3 2 4 3 3 2" xfId="29034"/>
    <cellStyle name="20% - Accent5 3 2 4 3 3 2 2" xfId="48788"/>
    <cellStyle name="20% - Accent5 3 2 4 3 3 3" xfId="39144"/>
    <cellStyle name="20% - Accent5 3 2 4 3 4" xfId="24224"/>
    <cellStyle name="20% - Accent5 3 2 4 3 4 2" xfId="43979"/>
    <cellStyle name="20% - Accent5 3 2 4 3 5" xfId="34335"/>
    <cellStyle name="20% - Accent5 3 2 4 4" xfId="4029"/>
    <cellStyle name="20% - Accent5 3 2 4 4 2" xfId="19320"/>
    <cellStyle name="20% - Accent5 3 2 4 4 2 2" xfId="29036"/>
    <cellStyle name="20% - Accent5 3 2 4 4 2 2 2" xfId="48790"/>
    <cellStyle name="20% - Accent5 3 2 4 4 2 3" xfId="39146"/>
    <cellStyle name="20% - Accent5 3 2 4 4 3" xfId="24226"/>
    <cellStyle name="20% - Accent5 3 2 4 4 3 2" xfId="43981"/>
    <cellStyle name="20% - Accent5 3 2 4 4 4" xfId="34337"/>
    <cellStyle name="20% - Accent5 3 2 4 5" xfId="19313"/>
    <cellStyle name="20% - Accent5 3 2 4 5 2" xfId="29029"/>
    <cellStyle name="20% - Accent5 3 2 4 5 2 2" xfId="48783"/>
    <cellStyle name="20% - Accent5 3 2 4 5 3" xfId="39139"/>
    <cellStyle name="20% - Accent5 3 2 4 6" xfId="24219"/>
    <cellStyle name="20% - Accent5 3 2 4 6 2" xfId="43974"/>
    <cellStyle name="20% - Accent5 3 2 4 7" xfId="34330"/>
    <cellStyle name="20% - Accent5 3 2 5" xfId="4030"/>
    <cellStyle name="20% - Accent5 3 2 5 2" xfId="4031"/>
    <cellStyle name="20% - Accent5 3 2 5 2 2" xfId="4032"/>
    <cellStyle name="20% - Accent5 3 2 5 2 2 2" xfId="4033"/>
    <cellStyle name="20% - Accent5 3 2 5 2 2 2 2" xfId="19324"/>
    <cellStyle name="20% - Accent5 3 2 5 2 2 2 2 2" xfId="29040"/>
    <cellStyle name="20% - Accent5 3 2 5 2 2 2 2 2 2" xfId="48794"/>
    <cellStyle name="20% - Accent5 3 2 5 2 2 2 2 3" xfId="39150"/>
    <cellStyle name="20% - Accent5 3 2 5 2 2 2 3" xfId="24230"/>
    <cellStyle name="20% - Accent5 3 2 5 2 2 2 3 2" xfId="43985"/>
    <cellStyle name="20% - Accent5 3 2 5 2 2 2 4" xfId="34341"/>
    <cellStyle name="20% - Accent5 3 2 5 2 2 3" xfId="19323"/>
    <cellStyle name="20% - Accent5 3 2 5 2 2 3 2" xfId="29039"/>
    <cellStyle name="20% - Accent5 3 2 5 2 2 3 2 2" xfId="48793"/>
    <cellStyle name="20% - Accent5 3 2 5 2 2 3 3" xfId="39149"/>
    <cellStyle name="20% - Accent5 3 2 5 2 2 4" xfId="24229"/>
    <cellStyle name="20% - Accent5 3 2 5 2 2 4 2" xfId="43984"/>
    <cellStyle name="20% - Accent5 3 2 5 2 2 5" xfId="34340"/>
    <cellStyle name="20% - Accent5 3 2 5 2 3" xfId="4034"/>
    <cellStyle name="20% - Accent5 3 2 5 2 3 2" xfId="19325"/>
    <cellStyle name="20% - Accent5 3 2 5 2 3 2 2" xfId="29041"/>
    <cellStyle name="20% - Accent5 3 2 5 2 3 2 2 2" xfId="48795"/>
    <cellStyle name="20% - Accent5 3 2 5 2 3 2 3" xfId="39151"/>
    <cellStyle name="20% - Accent5 3 2 5 2 3 3" xfId="24231"/>
    <cellStyle name="20% - Accent5 3 2 5 2 3 3 2" xfId="43986"/>
    <cellStyle name="20% - Accent5 3 2 5 2 3 4" xfId="34342"/>
    <cellStyle name="20% - Accent5 3 2 5 2 4" xfId="19322"/>
    <cellStyle name="20% - Accent5 3 2 5 2 4 2" xfId="29038"/>
    <cellStyle name="20% - Accent5 3 2 5 2 4 2 2" xfId="48792"/>
    <cellStyle name="20% - Accent5 3 2 5 2 4 3" xfId="39148"/>
    <cellStyle name="20% - Accent5 3 2 5 2 5" xfId="24228"/>
    <cellStyle name="20% - Accent5 3 2 5 2 5 2" xfId="43983"/>
    <cellStyle name="20% - Accent5 3 2 5 2 6" xfId="34339"/>
    <cellStyle name="20% - Accent5 3 2 5 3" xfId="4035"/>
    <cellStyle name="20% - Accent5 3 2 5 3 2" xfId="4036"/>
    <cellStyle name="20% - Accent5 3 2 5 3 2 2" xfId="19327"/>
    <cellStyle name="20% - Accent5 3 2 5 3 2 2 2" xfId="29043"/>
    <cellStyle name="20% - Accent5 3 2 5 3 2 2 2 2" xfId="48797"/>
    <cellStyle name="20% - Accent5 3 2 5 3 2 2 3" xfId="39153"/>
    <cellStyle name="20% - Accent5 3 2 5 3 2 3" xfId="24233"/>
    <cellStyle name="20% - Accent5 3 2 5 3 2 3 2" xfId="43988"/>
    <cellStyle name="20% - Accent5 3 2 5 3 2 4" xfId="34344"/>
    <cellStyle name="20% - Accent5 3 2 5 3 3" xfId="19326"/>
    <cellStyle name="20% - Accent5 3 2 5 3 3 2" xfId="29042"/>
    <cellStyle name="20% - Accent5 3 2 5 3 3 2 2" xfId="48796"/>
    <cellStyle name="20% - Accent5 3 2 5 3 3 3" xfId="39152"/>
    <cellStyle name="20% - Accent5 3 2 5 3 4" xfId="24232"/>
    <cellStyle name="20% - Accent5 3 2 5 3 4 2" xfId="43987"/>
    <cellStyle name="20% - Accent5 3 2 5 3 5" xfId="34343"/>
    <cellStyle name="20% - Accent5 3 2 5 4" xfId="4037"/>
    <cellStyle name="20% - Accent5 3 2 5 4 2" xfId="19328"/>
    <cellStyle name="20% - Accent5 3 2 5 4 2 2" xfId="29044"/>
    <cellStyle name="20% - Accent5 3 2 5 4 2 2 2" xfId="48798"/>
    <cellStyle name="20% - Accent5 3 2 5 4 2 3" xfId="39154"/>
    <cellStyle name="20% - Accent5 3 2 5 4 3" xfId="24234"/>
    <cellStyle name="20% - Accent5 3 2 5 4 3 2" xfId="43989"/>
    <cellStyle name="20% - Accent5 3 2 5 4 4" xfId="34345"/>
    <cellStyle name="20% - Accent5 3 2 5 5" xfId="19321"/>
    <cellStyle name="20% - Accent5 3 2 5 5 2" xfId="29037"/>
    <cellStyle name="20% - Accent5 3 2 5 5 2 2" xfId="48791"/>
    <cellStyle name="20% - Accent5 3 2 5 5 3" xfId="39147"/>
    <cellStyle name="20% - Accent5 3 2 5 6" xfId="24227"/>
    <cellStyle name="20% - Accent5 3 2 5 6 2" xfId="43982"/>
    <cellStyle name="20% - Accent5 3 2 5 7" xfId="34338"/>
    <cellStyle name="20% - Accent5 3 2 6" xfId="4038"/>
    <cellStyle name="20% - Accent5 3 2 6 2" xfId="4039"/>
    <cellStyle name="20% - Accent5 3 2 6 2 2" xfId="4040"/>
    <cellStyle name="20% - Accent5 3 2 6 2 2 2" xfId="19331"/>
    <cellStyle name="20% - Accent5 3 2 6 2 2 2 2" xfId="29047"/>
    <cellStyle name="20% - Accent5 3 2 6 2 2 2 2 2" xfId="48801"/>
    <cellStyle name="20% - Accent5 3 2 6 2 2 2 3" xfId="39157"/>
    <cellStyle name="20% - Accent5 3 2 6 2 2 3" xfId="24237"/>
    <cellStyle name="20% - Accent5 3 2 6 2 2 3 2" xfId="43992"/>
    <cellStyle name="20% - Accent5 3 2 6 2 2 4" xfId="34348"/>
    <cellStyle name="20% - Accent5 3 2 6 2 3" xfId="19330"/>
    <cellStyle name="20% - Accent5 3 2 6 2 3 2" xfId="29046"/>
    <cellStyle name="20% - Accent5 3 2 6 2 3 2 2" xfId="48800"/>
    <cellStyle name="20% - Accent5 3 2 6 2 3 3" xfId="39156"/>
    <cellStyle name="20% - Accent5 3 2 6 2 4" xfId="24236"/>
    <cellStyle name="20% - Accent5 3 2 6 2 4 2" xfId="43991"/>
    <cellStyle name="20% - Accent5 3 2 6 2 5" xfId="34347"/>
    <cellStyle name="20% - Accent5 3 2 6 3" xfId="4041"/>
    <cellStyle name="20% - Accent5 3 2 6 3 2" xfId="19332"/>
    <cellStyle name="20% - Accent5 3 2 6 3 2 2" xfId="29048"/>
    <cellStyle name="20% - Accent5 3 2 6 3 2 2 2" xfId="48802"/>
    <cellStyle name="20% - Accent5 3 2 6 3 2 3" xfId="39158"/>
    <cellStyle name="20% - Accent5 3 2 6 3 3" xfId="24238"/>
    <cellStyle name="20% - Accent5 3 2 6 3 3 2" xfId="43993"/>
    <cellStyle name="20% - Accent5 3 2 6 3 4" xfId="34349"/>
    <cellStyle name="20% - Accent5 3 2 6 4" xfId="19329"/>
    <cellStyle name="20% - Accent5 3 2 6 4 2" xfId="29045"/>
    <cellStyle name="20% - Accent5 3 2 6 4 2 2" xfId="48799"/>
    <cellStyle name="20% - Accent5 3 2 6 4 3" xfId="39155"/>
    <cellStyle name="20% - Accent5 3 2 6 5" xfId="24235"/>
    <cellStyle name="20% - Accent5 3 2 6 5 2" xfId="43990"/>
    <cellStyle name="20% - Accent5 3 2 6 6" xfId="34346"/>
    <cellStyle name="20% - Accent5 3 2 7" xfId="4042"/>
    <cellStyle name="20% - Accent5 3 2 7 2" xfId="4043"/>
    <cellStyle name="20% - Accent5 3 2 7 2 2" xfId="19334"/>
    <cellStyle name="20% - Accent5 3 2 7 2 2 2" xfId="29050"/>
    <cellStyle name="20% - Accent5 3 2 7 2 2 2 2" xfId="48804"/>
    <cellStyle name="20% - Accent5 3 2 7 2 2 3" xfId="39160"/>
    <cellStyle name="20% - Accent5 3 2 7 2 3" xfId="24240"/>
    <cellStyle name="20% - Accent5 3 2 7 2 3 2" xfId="43995"/>
    <cellStyle name="20% - Accent5 3 2 7 2 4" xfId="34351"/>
    <cellStyle name="20% - Accent5 3 2 7 3" xfId="19333"/>
    <cellStyle name="20% - Accent5 3 2 7 3 2" xfId="29049"/>
    <cellStyle name="20% - Accent5 3 2 7 3 2 2" xfId="48803"/>
    <cellStyle name="20% - Accent5 3 2 7 3 3" xfId="39159"/>
    <cellStyle name="20% - Accent5 3 2 7 4" xfId="24239"/>
    <cellStyle name="20% - Accent5 3 2 7 4 2" xfId="43994"/>
    <cellStyle name="20% - Accent5 3 2 7 5" xfId="34350"/>
    <cellStyle name="20% - Accent5 3 2 8" xfId="4044"/>
    <cellStyle name="20% - Accent5 3 2 8 2" xfId="4045"/>
    <cellStyle name="20% - Accent5 3 2 8 2 2" xfId="19336"/>
    <cellStyle name="20% - Accent5 3 2 8 2 2 2" xfId="29052"/>
    <cellStyle name="20% - Accent5 3 2 8 2 2 2 2" xfId="48806"/>
    <cellStyle name="20% - Accent5 3 2 8 2 2 3" xfId="39162"/>
    <cellStyle name="20% - Accent5 3 2 8 2 3" xfId="24242"/>
    <cellStyle name="20% - Accent5 3 2 8 2 3 2" xfId="43997"/>
    <cellStyle name="20% - Accent5 3 2 8 2 4" xfId="34353"/>
    <cellStyle name="20% - Accent5 3 2 8 3" xfId="19335"/>
    <cellStyle name="20% - Accent5 3 2 8 3 2" xfId="29051"/>
    <cellStyle name="20% - Accent5 3 2 8 3 2 2" xfId="48805"/>
    <cellStyle name="20% - Accent5 3 2 8 3 3" xfId="39161"/>
    <cellStyle name="20% - Accent5 3 2 8 4" xfId="24241"/>
    <cellStyle name="20% - Accent5 3 2 8 4 2" xfId="43996"/>
    <cellStyle name="20% - Accent5 3 2 8 5" xfId="34352"/>
    <cellStyle name="20% - Accent5 3 2 9" xfId="4046"/>
    <cellStyle name="20% - Accent5 3 2 9 2" xfId="19337"/>
    <cellStyle name="20% - Accent5 3 2 9 2 2" xfId="29053"/>
    <cellStyle name="20% - Accent5 3 2 9 2 2 2" xfId="48807"/>
    <cellStyle name="20% - Accent5 3 2 9 2 3" xfId="39163"/>
    <cellStyle name="20% - Accent5 3 2 9 3" xfId="24243"/>
    <cellStyle name="20% - Accent5 3 2 9 3 2" xfId="43998"/>
    <cellStyle name="20% - Accent5 3 2 9 4" xfId="34354"/>
    <cellStyle name="20% - Accent5 3 3" xfId="4047"/>
    <cellStyle name="20% - Accent5 3 3 10" xfId="4048"/>
    <cellStyle name="20% - Accent5 3 3 10 2" xfId="19339"/>
    <cellStyle name="20% - Accent5 3 3 10 2 2" xfId="29055"/>
    <cellStyle name="20% - Accent5 3 3 10 2 2 2" xfId="48809"/>
    <cellStyle name="20% - Accent5 3 3 10 2 3" xfId="39165"/>
    <cellStyle name="20% - Accent5 3 3 10 3" xfId="24245"/>
    <cellStyle name="20% - Accent5 3 3 10 3 2" xfId="44000"/>
    <cellStyle name="20% - Accent5 3 3 10 4" xfId="34356"/>
    <cellStyle name="20% - Accent5 3 3 11" xfId="19338"/>
    <cellStyle name="20% - Accent5 3 3 11 2" xfId="29054"/>
    <cellStyle name="20% - Accent5 3 3 11 2 2" xfId="48808"/>
    <cellStyle name="20% - Accent5 3 3 11 3" xfId="39164"/>
    <cellStyle name="20% - Accent5 3 3 12" xfId="24244"/>
    <cellStyle name="20% - Accent5 3 3 12 2" xfId="43999"/>
    <cellStyle name="20% - Accent5 3 3 13" xfId="34355"/>
    <cellStyle name="20% - Accent5 3 3 2" xfId="4049"/>
    <cellStyle name="20% - Accent5 3 3 2 10" xfId="34357"/>
    <cellStyle name="20% - Accent5 3 3 2 2" xfId="4050"/>
    <cellStyle name="20% - Accent5 3 3 2 2 2" xfId="4051"/>
    <cellStyle name="20% - Accent5 3 3 2 2 2 2" xfId="4052"/>
    <cellStyle name="20% - Accent5 3 3 2 2 2 2 2" xfId="4053"/>
    <cellStyle name="20% - Accent5 3 3 2 2 2 2 2 2" xfId="19344"/>
    <cellStyle name="20% - Accent5 3 3 2 2 2 2 2 2 2" xfId="29060"/>
    <cellStyle name="20% - Accent5 3 3 2 2 2 2 2 2 2 2" xfId="48814"/>
    <cellStyle name="20% - Accent5 3 3 2 2 2 2 2 2 3" xfId="39170"/>
    <cellStyle name="20% - Accent5 3 3 2 2 2 2 2 3" xfId="24250"/>
    <cellStyle name="20% - Accent5 3 3 2 2 2 2 2 3 2" xfId="44005"/>
    <cellStyle name="20% - Accent5 3 3 2 2 2 2 2 4" xfId="34361"/>
    <cellStyle name="20% - Accent5 3 3 2 2 2 2 3" xfId="19343"/>
    <cellStyle name="20% - Accent5 3 3 2 2 2 2 3 2" xfId="29059"/>
    <cellStyle name="20% - Accent5 3 3 2 2 2 2 3 2 2" xfId="48813"/>
    <cellStyle name="20% - Accent5 3 3 2 2 2 2 3 3" xfId="39169"/>
    <cellStyle name="20% - Accent5 3 3 2 2 2 2 4" xfId="24249"/>
    <cellStyle name="20% - Accent5 3 3 2 2 2 2 4 2" xfId="44004"/>
    <cellStyle name="20% - Accent5 3 3 2 2 2 2 5" xfId="34360"/>
    <cellStyle name="20% - Accent5 3 3 2 2 2 3" xfId="4054"/>
    <cellStyle name="20% - Accent5 3 3 2 2 2 3 2" xfId="19345"/>
    <cellStyle name="20% - Accent5 3 3 2 2 2 3 2 2" xfId="29061"/>
    <cellStyle name="20% - Accent5 3 3 2 2 2 3 2 2 2" xfId="48815"/>
    <cellStyle name="20% - Accent5 3 3 2 2 2 3 2 3" xfId="39171"/>
    <cellStyle name="20% - Accent5 3 3 2 2 2 3 3" xfId="24251"/>
    <cellStyle name="20% - Accent5 3 3 2 2 2 3 3 2" xfId="44006"/>
    <cellStyle name="20% - Accent5 3 3 2 2 2 3 4" xfId="34362"/>
    <cellStyle name="20% - Accent5 3 3 2 2 2 4" xfId="19342"/>
    <cellStyle name="20% - Accent5 3 3 2 2 2 4 2" xfId="29058"/>
    <cellStyle name="20% - Accent5 3 3 2 2 2 4 2 2" xfId="48812"/>
    <cellStyle name="20% - Accent5 3 3 2 2 2 4 3" xfId="39168"/>
    <cellStyle name="20% - Accent5 3 3 2 2 2 5" xfId="24248"/>
    <cellStyle name="20% - Accent5 3 3 2 2 2 5 2" xfId="44003"/>
    <cellStyle name="20% - Accent5 3 3 2 2 2 6" xfId="34359"/>
    <cellStyle name="20% - Accent5 3 3 2 2 3" xfId="4055"/>
    <cellStyle name="20% - Accent5 3 3 2 2 3 2" xfId="4056"/>
    <cellStyle name="20% - Accent5 3 3 2 2 3 2 2" xfId="19347"/>
    <cellStyle name="20% - Accent5 3 3 2 2 3 2 2 2" xfId="29063"/>
    <cellStyle name="20% - Accent5 3 3 2 2 3 2 2 2 2" xfId="48817"/>
    <cellStyle name="20% - Accent5 3 3 2 2 3 2 2 3" xfId="39173"/>
    <cellStyle name="20% - Accent5 3 3 2 2 3 2 3" xfId="24253"/>
    <cellStyle name="20% - Accent5 3 3 2 2 3 2 3 2" xfId="44008"/>
    <cellStyle name="20% - Accent5 3 3 2 2 3 2 4" xfId="34364"/>
    <cellStyle name="20% - Accent5 3 3 2 2 3 3" xfId="19346"/>
    <cellStyle name="20% - Accent5 3 3 2 2 3 3 2" xfId="29062"/>
    <cellStyle name="20% - Accent5 3 3 2 2 3 3 2 2" xfId="48816"/>
    <cellStyle name="20% - Accent5 3 3 2 2 3 3 3" xfId="39172"/>
    <cellStyle name="20% - Accent5 3 3 2 2 3 4" xfId="24252"/>
    <cellStyle name="20% - Accent5 3 3 2 2 3 4 2" xfId="44007"/>
    <cellStyle name="20% - Accent5 3 3 2 2 3 5" xfId="34363"/>
    <cellStyle name="20% - Accent5 3 3 2 2 4" xfId="4057"/>
    <cellStyle name="20% - Accent5 3 3 2 2 4 2" xfId="19348"/>
    <cellStyle name="20% - Accent5 3 3 2 2 4 2 2" xfId="29064"/>
    <cellStyle name="20% - Accent5 3 3 2 2 4 2 2 2" xfId="48818"/>
    <cellStyle name="20% - Accent5 3 3 2 2 4 2 3" xfId="39174"/>
    <cellStyle name="20% - Accent5 3 3 2 2 4 3" xfId="24254"/>
    <cellStyle name="20% - Accent5 3 3 2 2 4 3 2" xfId="44009"/>
    <cellStyle name="20% - Accent5 3 3 2 2 4 4" xfId="34365"/>
    <cellStyle name="20% - Accent5 3 3 2 2 5" xfId="19341"/>
    <cellStyle name="20% - Accent5 3 3 2 2 5 2" xfId="29057"/>
    <cellStyle name="20% - Accent5 3 3 2 2 5 2 2" xfId="48811"/>
    <cellStyle name="20% - Accent5 3 3 2 2 5 3" xfId="39167"/>
    <cellStyle name="20% - Accent5 3 3 2 2 6" xfId="24247"/>
    <cellStyle name="20% - Accent5 3 3 2 2 6 2" xfId="44002"/>
    <cellStyle name="20% - Accent5 3 3 2 2 7" xfId="34358"/>
    <cellStyle name="20% - Accent5 3 3 2 3" xfId="4058"/>
    <cellStyle name="20% - Accent5 3 3 2 3 2" xfId="4059"/>
    <cellStyle name="20% - Accent5 3 3 2 3 2 2" xfId="4060"/>
    <cellStyle name="20% - Accent5 3 3 2 3 2 2 2" xfId="19351"/>
    <cellStyle name="20% - Accent5 3 3 2 3 2 2 2 2" xfId="29067"/>
    <cellStyle name="20% - Accent5 3 3 2 3 2 2 2 2 2" xfId="48821"/>
    <cellStyle name="20% - Accent5 3 3 2 3 2 2 2 3" xfId="39177"/>
    <cellStyle name="20% - Accent5 3 3 2 3 2 2 3" xfId="24257"/>
    <cellStyle name="20% - Accent5 3 3 2 3 2 2 3 2" xfId="44012"/>
    <cellStyle name="20% - Accent5 3 3 2 3 2 2 4" xfId="34368"/>
    <cellStyle name="20% - Accent5 3 3 2 3 2 3" xfId="19350"/>
    <cellStyle name="20% - Accent5 3 3 2 3 2 3 2" xfId="29066"/>
    <cellStyle name="20% - Accent5 3 3 2 3 2 3 2 2" xfId="48820"/>
    <cellStyle name="20% - Accent5 3 3 2 3 2 3 3" xfId="39176"/>
    <cellStyle name="20% - Accent5 3 3 2 3 2 4" xfId="24256"/>
    <cellStyle name="20% - Accent5 3 3 2 3 2 4 2" xfId="44011"/>
    <cellStyle name="20% - Accent5 3 3 2 3 2 5" xfId="34367"/>
    <cellStyle name="20% - Accent5 3 3 2 3 3" xfId="4061"/>
    <cellStyle name="20% - Accent5 3 3 2 3 3 2" xfId="19352"/>
    <cellStyle name="20% - Accent5 3 3 2 3 3 2 2" xfId="29068"/>
    <cellStyle name="20% - Accent5 3 3 2 3 3 2 2 2" xfId="48822"/>
    <cellStyle name="20% - Accent5 3 3 2 3 3 2 3" xfId="39178"/>
    <cellStyle name="20% - Accent5 3 3 2 3 3 3" xfId="24258"/>
    <cellStyle name="20% - Accent5 3 3 2 3 3 3 2" xfId="44013"/>
    <cellStyle name="20% - Accent5 3 3 2 3 3 4" xfId="34369"/>
    <cellStyle name="20% - Accent5 3 3 2 3 4" xfId="19349"/>
    <cellStyle name="20% - Accent5 3 3 2 3 4 2" xfId="29065"/>
    <cellStyle name="20% - Accent5 3 3 2 3 4 2 2" xfId="48819"/>
    <cellStyle name="20% - Accent5 3 3 2 3 4 3" xfId="39175"/>
    <cellStyle name="20% - Accent5 3 3 2 3 5" xfId="24255"/>
    <cellStyle name="20% - Accent5 3 3 2 3 5 2" xfId="44010"/>
    <cellStyle name="20% - Accent5 3 3 2 3 6" xfId="34366"/>
    <cellStyle name="20% - Accent5 3 3 2 4" xfId="4062"/>
    <cellStyle name="20% - Accent5 3 3 2 4 2" xfId="4063"/>
    <cellStyle name="20% - Accent5 3 3 2 4 2 2" xfId="19354"/>
    <cellStyle name="20% - Accent5 3 3 2 4 2 2 2" xfId="29070"/>
    <cellStyle name="20% - Accent5 3 3 2 4 2 2 2 2" xfId="48824"/>
    <cellStyle name="20% - Accent5 3 3 2 4 2 2 3" xfId="39180"/>
    <cellStyle name="20% - Accent5 3 3 2 4 2 3" xfId="24260"/>
    <cellStyle name="20% - Accent5 3 3 2 4 2 3 2" xfId="44015"/>
    <cellStyle name="20% - Accent5 3 3 2 4 2 4" xfId="34371"/>
    <cellStyle name="20% - Accent5 3 3 2 4 3" xfId="19353"/>
    <cellStyle name="20% - Accent5 3 3 2 4 3 2" xfId="29069"/>
    <cellStyle name="20% - Accent5 3 3 2 4 3 2 2" xfId="48823"/>
    <cellStyle name="20% - Accent5 3 3 2 4 3 3" xfId="39179"/>
    <cellStyle name="20% - Accent5 3 3 2 4 4" xfId="24259"/>
    <cellStyle name="20% - Accent5 3 3 2 4 4 2" xfId="44014"/>
    <cellStyle name="20% - Accent5 3 3 2 4 5" xfId="34370"/>
    <cellStyle name="20% - Accent5 3 3 2 5" xfId="4064"/>
    <cellStyle name="20% - Accent5 3 3 2 5 2" xfId="19355"/>
    <cellStyle name="20% - Accent5 3 3 2 5 2 2" xfId="29071"/>
    <cellStyle name="20% - Accent5 3 3 2 5 2 2 2" xfId="48825"/>
    <cellStyle name="20% - Accent5 3 3 2 5 2 3" xfId="39181"/>
    <cellStyle name="20% - Accent5 3 3 2 5 3" xfId="24261"/>
    <cellStyle name="20% - Accent5 3 3 2 5 3 2" xfId="44016"/>
    <cellStyle name="20% - Accent5 3 3 2 5 4" xfId="34372"/>
    <cellStyle name="20% - Accent5 3 3 2 6" xfId="4065"/>
    <cellStyle name="20% - Accent5 3 3 2 6 2" xfId="19356"/>
    <cellStyle name="20% - Accent5 3 3 2 6 2 2" xfId="29072"/>
    <cellStyle name="20% - Accent5 3 3 2 6 2 2 2" xfId="48826"/>
    <cellStyle name="20% - Accent5 3 3 2 6 2 3" xfId="39182"/>
    <cellStyle name="20% - Accent5 3 3 2 6 3" xfId="24262"/>
    <cellStyle name="20% - Accent5 3 3 2 6 3 2" xfId="44017"/>
    <cellStyle name="20% - Accent5 3 3 2 6 4" xfId="34373"/>
    <cellStyle name="20% - Accent5 3 3 2 7" xfId="4066"/>
    <cellStyle name="20% - Accent5 3 3 2 7 2" xfId="19357"/>
    <cellStyle name="20% - Accent5 3 3 2 7 2 2" xfId="29073"/>
    <cellStyle name="20% - Accent5 3 3 2 7 2 2 2" xfId="48827"/>
    <cellStyle name="20% - Accent5 3 3 2 7 2 3" xfId="39183"/>
    <cellStyle name="20% - Accent5 3 3 2 7 3" xfId="24263"/>
    <cellStyle name="20% - Accent5 3 3 2 7 3 2" xfId="44018"/>
    <cellStyle name="20% - Accent5 3 3 2 7 4" xfId="34374"/>
    <cellStyle name="20% - Accent5 3 3 2 8" xfId="19340"/>
    <cellStyle name="20% - Accent5 3 3 2 8 2" xfId="29056"/>
    <cellStyle name="20% - Accent5 3 3 2 8 2 2" xfId="48810"/>
    <cellStyle name="20% - Accent5 3 3 2 8 3" xfId="39166"/>
    <cellStyle name="20% - Accent5 3 3 2 9" xfId="24246"/>
    <cellStyle name="20% - Accent5 3 3 2 9 2" xfId="44001"/>
    <cellStyle name="20% - Accent5 3 3 3" xfId="4067"/>
    <cellStyle name="20% - Accent5 3 3 3 2" xfId="4068"/>
    <cellStyle name="20% - Accent5 3 3 3 2 2" xfId="4069"/>
    <cellStyle name="20% - Accent5 3 3 3 2 2 2" xfId="4070"/>
    <cellStyle name="20% - Accent5 3 3 3 2 2 2 2" xfId="19361"/>
    <cellStyle name="20% - Accent5 3 3 3 2 2 2 2 2" xfId="29077"/>
    <cellStyle name="20% - Accent5 3 3 3 2 2 2 2 2 2" xfId="48831"/>
    <cellStyle name="20% - Accent5 3 3 3 2 2 2 2 3" xfId="39187"/>
    <cellStyle name="20% - Accent5 3 3 3 2 2 2 3" xfId="24267"/>
    <cellStyle name="20% - Accent5 3 3 3 2 2 2 3 2" xfId="44022"/>
    <cellStyle name="20% - Accent5 3 3 3 2 2 2 4" xfId="34378"/>
    <cellStyle name="20% - Accent5 3 3 3 2 2 3" xfId="19360"/>
    <cellStyle name="20% - Accent5 3 3 3 2 2 3 2" xfId="29076"/>
    <cellStyle name="20% - Accent5 3 3 3 2 2 3 2 2" xfId="48830"/>
    <cellStyle name="20% - Accent5 3 3 3 2 2 3 3" xfId="39186"/>
    <cellStyle name="20% - Accent5 3 3 3 2 2 4" xfId="24266"/>
    <cellStyle name="20% - Accent5 3 3 3 2 2 4 2" xfId="44021"/>
    <cellStyle name="20% - Accent5 3 3 3 2 2 5" xfId="34377"/>
    <cellStyle name="20% - Accent5 3 3 3 2 3" xfId="4071"/>
    <cellStyle name="20% - Accent5 3 3 3 2 3 2" xfId="19362"/>
    <cellStyle name="20% - Accent5 3 3 3 2 3 2 2" xfId="29078"/>
    <cellStyle name="20% - Accent5 3 3 3 2 3 2 2 2" xfId="48832"/>
    <cellStyle name="20% - Accent5 3 3 3 2 3 2 3" xfId="39188"/>
    <cellStyle name="20% - Accent5 3 3 3 2 3 3" xfId="24268"/>
    <cellStyle name="20% - Accent5 3 3 3 2 3 3 2" xfId="44023"/>
    <cellStyle name="20% - Accent5 3 3 3 2 3 4" xfId="34379"/>
    <cellStyle name="20% - Accent5 3 3 3 2 4" xfId="19359"/>
    <cellStyle name="20% - Accent5 3 3 3 2 4 2" xfId="29075"/>
    <cellStyle name="20% - Accent5 3 3 3 2 4 2 2" xfId="48829"/>
    <cellStyle name="20% - Accent5 3 3 3 2 4 3" xfId="39185"/>
    <cellStyle name="20% - Accent5 3 3 3 2 5" xfId="24265"/>
    <cellStyle name="20% - Accent5 3 3 3 2 5 2" xfId="44020"/>
    <cellStyle name="20% - Accent5 3 3 3 2 6" xfId="34376"/>
    <cellStyle name="20% - Accent5 3 3 3 3" xfId="4072"/>
    <cellStyle name="20% - Accent5 3 3 3 3 2" xfId="4073"/>
    <cellStyle name="20% - Accent5 3 3 3 3 2 2" xfId="19364"/>
    <cellStyle name="20% - Accent5 3 3 3 3 2 2 2" xfId="29080"/>
    <cellStyle name="20% - Accent5 3 3 3 3 2 2 2 2" xfId="48834"/>
    <cellStyle name="20% - Accent5 3 3 3 3 2 2 3" xfId="39190"/>
    <cellStyle name="20% - Accent5 3 3 3 3 2 3" xfId="24270"/>
    <cellStyle name="20% - Accent5 3 3 3 3 2 3 2" xfId="44025"/>
    <cellStyle name="20% - Accent5 3 3 3 3 2 4" xfId="34381"/>
    <cellStyle name="20% - Accent5 3 3 3 3 3" xfId="19363"/>
    <cellStyle name="20% - Accent5 3 3 3 3 3 2" xfId="29079"/>
    <cellStyle name="20% - Accent5 3 3 3 3 3 2 2" xfId="48833"/>
    <cellStyle name="20% - Accent5 3 3 3 3 3 3" xfId="39189"/>
    <cellStyle name="20% - Accent5 3 3 3 3 4" xfId="24269"/>
    <cellStyle name="20% - Accent5 3 3 3 3 4 2" xfId="44024"/>
    <cellStyle name="20% - Accent5 3 3 3 3 5" xfId="34380"/>
    <cellStyle name="20% - Accent5 3 3 3 4" xfId="4074"/>
    <cellStyle name="20% - Accent5 3 3 3 4 2" xfId="19365"/>
    <cellStyle name="20% - Accent5 3 3 3 4 2 2" xfId="29081"/>
    <cellStyle name="20% - Accent5 3 3 3 4 2 2 2" xfId="48835"/>
    <cellStyle name="20% - Accent5 3 3 3 4 2 3" xfId="39191"/>
    <cellStyle name="20% - Accent5 3 3 3 4 3" xfId="24271"/>
    <cellStyle name="20% - Accent5 3 3 3 4 3 2" xfId="44026"/>
    <cellStyle name="20% - Accent5 3 3 3 4 4" xfId="34382"/>
    <cellStyle name="20% - Accent5 3 3 3 5" xfId="19358"/>
    <cellStyle name="20% - Accent5 3 3 3 5 2" xfId="29074"/>
    <cellStyle name="20% - Accent5 3 3 3 5 2 2" xfId="48828"/>
    <cellStyle name="20% - Accent5 3 3 3 5 3" xfId="39184"/>
    <cellStyle name="20% - Accent5 3 3 3 6" xfId="24264"/>
    <cellStyle name="20% - Accent5 3 3 3 6 2" xfId="44019"/>
    <cellStyle name="20% - Accent5 3 3 3 7" xfId="34375"/>
    <cellStyle name="20% - Accent5 3 3 4" xfId="4075"/>
    <cellStyle name="20% - Accent5 3 3 4 2" xfId="4076"/>
    <cellStyle name="20% - Accent5 3 3 4 2 2" xfId="4077"/>
    <cellStyle name="20% - Accent5 3 3 4 2 2 2" xfId="4078"/>
    <cellStyle name="20% - Accent5 3 3 4 2 2 2 2" xfId="19369"/>
    <cellStyle name="20% - Accent5 3 3 4 2 2 2 2 2" xfId="29085"/>
    <cellStyle name="20% - Accent5 3 3 4 2 2 2 2 2 2" xfId="48839"/>
    <cellStyle name="20% - Accent5 3 3 4 2 2 2 2 3" xfId="39195"/>
    <cellStyle name="20% - Accent5 3 3 4 2 2 2 3" xfId="24275"/>
    <cellStyle name="20% - Accent5 3 3 4 2 2 2 3 2" xfId="44030"/>
    <cellStyle name="20% - Accent5 3 3 4 2 2 2 4" xfId="34386"/>
    <cellStyle name="20% - Accent5 3 3 4 2 2 3" xfId="19368"/>
    <cellStyle name="20% - Accent5 3 3 4 2 2 3 2" xfId="29084"/>
    <cellStyle name="20% - Accent5 3 3 4 2 2 3 2 2" xfId="48838"/>
    <cellStyle name="20% - Accent5 3 3 4 2 2 3 3" xfId="39194"/>
    <cellStyle name="20% - Accent5 3 3 4 2 2 4" xfId="24274"/>
    <cellStyle name="20% - Accent5 3 3 4 2 2 4 2" xfId="44029"/>
    <cellStyle name="20% - Accent5 3 3 4 2 2 5" xfId="34385"/>
    <cellStyle name="20% - Accent5 3 3 4 2 3" xfId="4079"/>
    <cellStyle name="20% - Accent5 3 3 4 2 3 2" xfId="19370"/>
    <cellStyle name="20% - Accent5 3 3 4 2 3 2 2" xfId="29086"/>
    <cellStyle name="20% - Accent5 3 3 4 2 3 2 2 2" xfId="48840"/>
    <cellStyle name="20% - Accent5 3 3 4 2 3 2 3" xfId="39196"/>
    <cellStyle name="20% - Accent5 3 3 4 2 3 3" xfId="24276"/>
    <cellStyle name="20% - Accent5 3 3 4 2 3 3 2" xfId="44031"/>
    <cellStyle name="20% - Accent5 3 3 4 2 3 4" xfId="34387"/>
    <cellStyle name="20% - Accent5 3 3 4 2 4" xfId="19367"/>
    <cellStyle name="20% - Accent5 3 3 4 2 4 2" xfId="29083"/>
    <cellStyle name="20% - Accent5 3 3 4 2 4 2 2" xfId="48837"/>
    <cellStyle name="20% - Accent5 3 3 4 2 4 3" xfId="39193"/>
    <cellStyle name="20% - Accent5 3 3 4 2 5" xfId="24273"/>
    <cellStyle name="20% - Accent5 3 3 4 2 5 2" xfId="44028"/>
    <cellStyle name="20% - Accent5 3 3 4 2 6" xfId="34384"/>
    <cellStyle name="20% - Accent5 3 3 4 3" xfId="4080"/>
    <cellStyle name="20% - Accent5 3 3 4 3 2" xfId="4081"/>
    <cellStyle name="20% - Accent5 3 3 4 3 2 2" xfId="19372"/>
    <cellStyle name="20% - Accent5 3 3 4 3 2 2 2" xfId="29088"/>
    <cellStyle name="20% - Accent5 3 3 4 3 2 2 2 2" xfId="48842"/>
    <cellStyle name="20% - Accent5 3 3 4 3 2 2 3" xfId="39198"/>
    <cellStyle name="20% - Accent5 3 3 4 3 2 3" xfId="24278"/>
    <cellStyle name="20% - Accent5 3 3 4 3 2 3 2" xfId="44033"/>
    <cellStyle name="20% - Accent5 3 3 4 3 2 4" xfId="34389"/>
    <cellStyle name="20% - Accent5 3 3 4 3 3" xfId="19371"/>
    <cellStyle name="20% - Accent5 3 3 4 3 3 2" xfId="29087"/>
    <cellStyle name="20% - Accent5 3 3 4 3 3 2 2" xfId="48841"/>
    <cellStyle name="20% - Accent5 3 3 4 3 3 3" xfId="39197"/>
    <cellStyle name="20% - Accent5 3 3 4 3 4" xfId="24277"/>
    <cellStyle name="20% - Accent5 3 3 4 3 4 2" xfId="44032"/>
    <cellStyle name="20% - Accent5 3 3 4 3 5" xfId="34388"/>
    <cellStyle name="20% - Accent5 3 3 4 4" xfId="4082"/>
    <cellStyle name="20% - Accent5 3 3 4 4 2" xfId="19373"/>
    <cellStyle name="20% - Accent5 3 3 4 4 2 2" xfId="29089"/>
    <cellStyle name="20% - Accent5 3 3 4 4 2 2 2" xfId="48843"/>
    <cellStyle name="20% - Accent5 3 3 4 4 2 3" xfId="39199"/>
    <cellStyle name="20% - Accent5 3 3 4 4 3" xfId="24279"/>
    <cellStyle name="20% - Accent5 3 3 4 4 3 2" xfId="44034"/>
    <cellStyle name="20% - Accent5 3 3 4 4 4" xfId="34390"/>
    <cellStyle name="20% - Accent5 3 3 4 5" xfId="19366"/>
    <cellStyle name="20% - Accent5 3 3 4 5 2" xfId="29082"/>
    <cellStyle name="20% - Accent5 3 3 4 5 2 2" xfId="48836"/>
    <cellStyle name="20% - Accent5 3 3 4 5 3" xfId="39192"/>
    <cellStyle name="20% - Accent5 3 3 4 6" xfId="24272"/>
    <cellStyle name="20% - Accent5 3 3 4 6 2" xfId="44027"/>
    <cellStyle name="20% - Accent5 3 3 4 7" xfId="34383"/>
    <cellStyle name="20% - Accent5 3 3 5" xfId="4083"/>
    <cellStyle name="20% - Accent5 3 3 5 2" xfId="4084"/>
    <cellStyle name="20% - Accent5 3 3 5 2 2" xfId="4085"/>
    <cellStyle name="20% - Accent5 3 3 5 2 2 2" xfId="19376"/>
    <cellStyle name="20% - Accent5 3 3 5 2 2 2 2" xfId="29092"/>
    <cellStyle name="20% - Accent5 3 3 5 2 2 2 2 2" xfId="48846"/>
    <cellStyle name="20% - Accent5 3 3 5 2 2 2 3" xfId="39202"/>
    <cellStyle name="20% - Accent5 3 3 5 2 2 3" xfId="24282"/>
    <cellStyle name="20% - Accent5 3 3 5 2 2 3 2" xfId="44037"/>
    <cellStyle name="20% - Accent5 3 3 5 2 2 4" xfId="34393"/>
    <cellStyle name="20% - Accent5 3 3 5 2 3" xfId="19375"/>
    <cellStyle name="20% - Accent5 3 3 5 2 3 2" xfId="29091"/>
    <cellStyle name="20% - Accent5 3 3 5 2 3 2 2" xfId="48845"/>
    <cellStyle name="20% - Accent5 3 3 5 2 3 3" xfId="39201"/>
    <cellStyle name="20% - Accent5 3 3 5 2 4" xfId="24281"/>
    <cellStyle name="20% - Accent5 3 3 5 2 4 2" xfId="44036"/>
    <cellStyle name="20% - Accent5 3 3 5 2 5" xfId="34392"/>
    <cellStyle name="20% - Accent5 3 3 5 3" xfId="4086"/>
    <cellStyle name="20% - Accent5 3 3 5 3 2" xfId="19377"/>
    <cellStyle name="20% - Accent5 3 3 5 3 2 2" xfId="29093"/>
    <cellStyle name="20% - Accent5 3 3 5 3 2 2 2" xfId="48847"/>
    <cellStyle name="20% - Accent5 3 3 5 3 2 3" xfId="39203"/>
    <cellStyle name="20% - Accent5 3 3 5 3 3" xfId="24283"/>
    <cellStyle name="20% - Accent5 3 3 5 3 3 2" xfId="44038"/>
    <cellStyle name="20% - Accent5 3 3 5 3 4" xfId="34394"/>
    <cellStyle name="20% - Accent5 3 3 5 4" xfId="19374"/>
    <cellStyle name="20% - Accent5 3 3 5 4 2" xfId="29090"/>
    <cellStyle name="20% - Accent5 3 3 5 4 2 2" xfId="48844"/>
    <cellStyle name="20% - Accent5 3 3 5 4 3" xfId="39200"/>
    <cellStyle name="20% - Accent5 3 3 5 5" xfId="24280"/>
    <cellStyle name="20% - Accent5 3 3 5 5 2" xfId="44035"/>
    <cellStyle name="20% - Accent5 3 3 5 6" xfId="34391"/>
    <cellStyle name="20% - Accent5 3 3 6" xfId="4087"/>
    <cellStyle name="20% - Accent5 3 3 6 2" xfId="4088"/>
    <cellStyle name="20% - Accent5 3 3 6 2 2" xfId="19379"/>
    <cellStyle name="20% - Accent5 3 3 6 2 2 2" xfId="29095"/>
    <cellStyle name="20% - Accent5 3 3 6 2 2 2 2" xfId="48849"/>
    <cellStyle name="20% - Accent5 3 3 6 2 2 3" xfId="39205"/>
    <cellStyle name="20% - Accent5 3 3 6 2 3" xfId="24285"/>
    <cellStyle name="20% - Accent5 3 3 6 2 3 2" xfId="44040"/>
    <cellStyle name="20% - Accent5 3 3 6 2 4" xfId="34396"/>
    <cellStyle name="20% - Accent5 3 3 6 3" xfId="19378"/>
    <cellStyle name="20% - Accent5 3 3 6 3 2" xfId="29094"/>
    <cellStyle name="20% - Accent5 3 3 6 3 2 2" xfId="48848"/>
    <cellStyle name="20% - Accent5 3 3 6 3 3" xfId="39204"/>
    <cellStyle name="20% - Accent5 3 3 6 4" xfId="24284"/>
    <cellStyle name="20% - Accent5 3 3 6 4 2" xfId="44039"/>
    <cellStyle name="20% - Accent5 3 3 6 5" xfId="34395"/>
    <cellStyle name="20% - Accent5 3 3 7" xfId="4089"/>
    <cellStyle name="20% - Accent5 3 3 7 2" xfId="4090"/>
    <cellStyle name="20% - Accent5 3 3 7 2 2" xfId="19381"/>
    <cellStyle name="20% - Accent5 3 3 7 2 2 2" xfId="29097"/>
    <cellStyle name="20% - Accent5 3 3 7 2 2 2 2" xfId="48851"/>
    <cellStyle name="20% - Accent5 3 3 7 2 2 3" xfId="39207"/>
    <cellStyle name="20% - Accent5 3 3 7 2 3" xfId="24287"/>
    <cellStyle name="20% - Accent5 3 3 7 2 3 2" xfId="44042"/>
    <cellStyle name="20% - Accent5 3 3 7 2 4" xfId="34398"/>
    <cellStyle name="20% - Accent5 3 3 7 3" xfId="19380"/>
    <cellStyle name="20% - Accent5 3 3 7 3 2" xfId="29096"/>
    <cellStyle name="20% - Accent5 3 3 7 3 2 2" xfId="48850"/>
    <cellStyle name="20% - Accent5 3 3 7 3 3" xfId="39206"/>
    <cellStyle name="20% - Accent5 3 3 7 4" xfId="24286"/>
    <cellStyle name="20% - Accent5 3 3 7 4 2" xfId="44041"/>
    <cellStyle name="20% - Accent5 3 3 7 5" xfId="34397"/>
    <cellStyle name="20% - Accent5 3 3 8" xfId="4091"/>
    <cellStyle name="20% - Accent5 3 3 8 2" xfId="19382"/>
    <cellStyle name="20% - Accent5 3 3 8 2 2" xfId="29098"/>
    <cellStyle name="20% - Accent5 3 3 8 2 2 2" xfId="48852"/>
    <cellStyle name="20% - Accent5 3 3 8 2 3" xfId="39208"/>
    <cellStyle name="20% - Accent5 3 3 8 3" xfId="24288"/>
    <cellStyle name="20% - Accent5 3 3 8 3 2" xfId="44043"/>
    <cellStyle name="20% - Accent5 3 3 8 4" xfId="34399"/>
    <cellStyle name="20% - Accent5 3 3 9" xfId="4092"/>
    <cellStyle name="20% - Accent5 3 3 9 2" xfId="19383"/>
    <cellStyle name="20% - Accent5 3 3 9 2 2" xfId="29099"/>
    <cellStyle name="20% - Accent5 3 3 9 2 2 2" xfId="48853"/>
    <cellStyle name="20% - Accent5 3 3 9 2 3" xfId="39209"/>
    <cellStyle name="20% - Accent5 3 3 9 3" xfId="24289"/>
    <cellStyle name="20% - Accent5 3 3 9 3 2" xfId="44044"/>
    <cellStyle name="20% - Accent5 3 3 9 4" xfId="34400"/>
    <cellStyle name="20% - Accent5 3 4" xfId="4093"/>
    <cellStyle name="20% - Accent5 3 4 10" xfId="34401"/>
    <cellStyle name="20% - Accent5 3 4 2" xfId="4094"/>
    <cellStyle name="20% - Accent5 3 4 2 2" xfId="4095"/>
    <cellStyle name="20% - Accent5 3 4 2 2 2" xfId="4096"/>
    <cellStyle name="20% - Accent5 3 4 2 2 2 2" xfId="4097"/>
    <cellStyle name="20% - Accent5 3 4 2 2 2 2 2" xfId="19388"/>
    <cellStyle name="20% - Accent5 3 4 2 2 2 2 2 2" xfId="29104"/>
    <cellStyle name="20% - Accent5 3 4 2 2 2 2 2 2 2" xfId="48858"/>
    <cellStyle name="20% - Accent5 3 4 2 2 2 2 2 3" xfId="39214"/>
    <cellStyle name="20% - Accent5 3 4 2 2 2 2 3" xfId="24294"/>
    <cellStyle name="20% - Accent5 3 4 2 2 2 2 3 2" xfId="44049"/>
    <cellStyle name="20% - Accent5 3 4 2 2 2 2 4" xfId="34405"/>
    <cellStyle name="20% - Accent5 3 4 2 2 2 3" xfId="19387"/>
    <cellStyle name="20% - Accent5 3 4 2 2 2 3 2" xfId="29103"/>
    <cellStyle name="20% - Accent5 3 4 2 2 2 3 2 2" xfId="48857"/>
    <cellStyle name="20% - Accent5 3 4 2 2 2 3 3" xfId="39213"/>
    <cellStyle name="20% - Accent5 3 4 2 2 2 4" xfId="24293"/>
    <cellStyle name="20% - Accent5 3 4 2 2 2 4 2" xfId="44048"/>
    <cellStyle name="20% - Accent5 3 4 2 2 2 5" xfId="34404"/>
    <cellStyle name="20% - Accent5 3 4 2 2 3" xfId="4098"/>
    <cellStyle name="20% - Accent5 3 4 2 2 3 2" xfId="19389"/>
    <cellStyle name="20% - Accent5 3 4 2 2 3 2 2" xfId="29105"/>
    <cellStyle name="20% - Accent5 3 4 2 2 3 2 2 2" xfId="48859"/>
    <cellStyle name="20% - Accent5 3 4 2 2 3 2 3" xfId="39215"/>
    <cellStyle name="20% - Accent5 3 4 2 2 3 3" xfId="24295"/>
    <cellStyle name="20% - Accent5 3 4 2 2 3 3 2" xfId="44050"/>
    <cellStyle name="20% - Accent5 3 4 2 2 3 4" xfId="34406"/>
    <cellStyle name="20% - Accent5 3 4 2 2 4" xfId="19386"/>
    <cellStyle name="20% - Accent5 3 4 2 2 4 2" xfId="29102"/>
    <cellStyle name="20% - Accent5 3 4 2 2 4 2 2" xfId="48856"/>
    <cellStyle name="20% - Accent5 3 4 2 2 4 3" xfId="39212"/>
    <cellStyle name="20% - Accent5 3 4 2 2 5" xfId="24292"/>
    <cellStyle name="20% - Accent5 3 4 2 2 5 2" xfId="44047"/>
    <cellStyle name="20% - Accent5 3 4 2 2 6" xfId="34403"/>
    <cellStyle name="20% - Accent5 3 4 2 3" xfId="4099"/>
    <cellStyle name="20% - Accent5 3 4 2 3 2" xfId="4100"/>
    <cellStyle name="20% - Accent5 3 4 2 3 2 2" xfId="19391"/>
    <cellStyle name="20% - Accent5 3 4 2 3 2 2 2" xfId="29107"/>
    <cellStyle name="20% - Accent5 3 4 2 3 2 2 2 2" xfId="48861"/>
    <cellStyle name="20% - Accent5 3 4 2 3 2 2 3" xfId="39217"/>
    <cellStyle name="20% - Accent5 3 4 2 3 2 3" xfId="24297"/>
    <cellStyle name="20% - Accent5 3 4 2 3 2 3 2" xfId="44052"/>
    <cellStyle name="20% - Accent5 3 4 2 3 2 4" xfId="34408"/>
    <cellStyle name="20% - Accent5 3 4 2 3 3" xfId="19390"/>
    <cellStyle name="20% - Accent5 3 4 2 3 3 2" xfId="29106"/>
    <cellStyle name="20% - Accent5 3 4 2 3 3 2 2" xfId="48860"/>
    <cellStyle name="20% - Accent5 3 4 2 3 3 3" xfId="39216"/>
    <cellStyle name="20% - Accent5 3 4 2 3 4" xfId="24296"/>
    <cellStyle name="20% - Accent5 3 4 2 3 4 2" xfId="44051"/>
    <cellStyle name="20% - Accent5 3 4 2 3 5" xfId="34407"/>
    <cellStyle name="20% - Accent5 3 4 2 4" xfId="4101"/>
    <cellStyle name="20% - Accent5 3 4 2 4 2" xfId="19392"/>
    <cellStyle name="20% - Accent5 3 4 2 4 2 2" xfId="29108"/>
    <cellStyle name="20% - Accent5 3 4 2 4 2 2 2" xfId="48862"/>
    <cellStyle name="20% - Accent5 3 4 2 4 2 3" xfId="39218"/>
    <cellStyle name="20% - Accent5 3 4 2 4 3" xfId="24298"/>
    <cellStyle name="20% - Accent5 3 4 2 4 3 2" xfId="44053"/>
    <cellStyle name="20% - Accent5 3 4 2 4 4" xfId="34409"/>
    <cellStyle name="20% - Accent5 3 4 2 5" xfId="19385"/>
    <cellStyle name="20% - Accent5 3 4 2 5 2" xfId="29101"/>
    <cellStyle name="20% - Accent5 3 4 2 5 2 2" xfId="48855"/>
    <cellStyle name="20% - Accent5 3 4 2 5 3" xfId="39211"/>
    <cellStyle name="20% - Accent5 3 4 2 6" xfId="24291"/>
    <cellStyle name="20% - Accent5 3 4 2 6 2" xfId="44046"/>
    <cellStyle name="20% - Accent5 3 4 2 7" xfId="34402"/>
    <cellStyle name="20% - Accent5 3 4 3" xfId="4102"/>
    <cellStyle name="20% - Accent5 3 4 3 2" xfId="4103"/>
    <cellStyle name="20% - Accent5 3 4 3 2 2" xfId="4104"/>
    <cellStyle name="20% - Accent5 3 4 3 2 2 2" xfId="19395"/>
    <cellStyle name="20% - Accent5 3 4 3 2 2 2 2" xfId="29111"/>
    <cellStyle name="20% - Accent5 3 4 3 2 2 2 2 2" xfId="48865"/>
    <cellStyle name="20% - Accent5 3 4 3 2 2 2 3" xfId="39221"/>
    <cellStyle name="20% - Accent5 3 4 3 2 2 3" xfId="24301"/>
    <cellStyle name="20% - Accent5 3 4 3 2 2 3 2" xfId="44056"/>
    <cellStyle name="20% - Accent5 3 4 3 2 2 4" xfId="34412"/>
    <cellStyle name="20% - Accent5 3 4 3 2 3" xfId="19394"/>
    <cellStyle name="20% - Accent5 3 4 3 2 3 2" xfId="29110"/>
    <cellStyle name="20% - Accent5 3 4 3 2 3 2 2" xfId="48864"/>
    <cellStyle name="20% - Accent5 3 4 3 2 3 3" xfId="39220"/>
    <cellStyle name="20% - Accent5 3 4 3 2 4" xfId="24300"/>
    <cellStyle name="20% - Accent5 3 4 3 2 4 2" xfId="44055"/>
    <cellStyle name="20% - Accent5 3 4 3 2 5" xfId="34411"/>
    <cellStyle name="20% - Accent5 3 4 3 3" xfId="4105"/>
    <cellStyle name="20% - Accent5 3 4 3 3 2" xfId="19396"/>
    <cellStyle name="20% - Accent5 3 4 3 3 2 2" xfId="29112"/>
    <cellStyle name="20% - Accent5 3 4 3 3 2 2 2" xfId="48866"/>
    <cellStyle name="20% - Accent5 3 4 3 3 2 3" xfId="39222"/>
    <cellStyle name="20% - Accent5 3 4 3 3 3" xfId="24302"/>
    <cellStyle name="20% - Accent5 3 4 3 3 3 2" xfId="44057"/>
    <cellStyle name="20% - Accent5 3 4 3 3 4" xfId="34413"/>
    <cellStyle name="20% - Accent5 3 4 3 4" xfId="19393"/>
    <cellStyle name="20% - Accent5 3 4 3 4 2" xfId="29109"/>
    <cellStyle name="20% - Accent5 3 4 3 4 2 2" xfId="48863"/>
    <cellStyle name="20% - Accent5 3 4 3 4 3" xfId="39219"/>
    <cellStyle name="20% - Accent5 3 4 3 5" xfId="24299"/>
    <cellStyle name="20% - Accent5 3 4 3 5 2" xfId="44054"/>
    <cellStyle name="20% - Accent5 3 4 3 6" xfId="34410"/>
    <cellStyle name="20% - Accent5 3 4 4" xfId="4106"/>
    <cellStyle name="20% - Accent5 3 4 4 2" xfId="4107"/>
    <cellStyle name="20% - Accent5 3 4 4 2 2" xfId="19398"/>
    <cellStyle name="20% - Accent5 3 4 4 2 2 2" xfId="29114"/>
    <cellStyle name="20% - Accent5 3 4 4 2 2 2 2" xfId="48868"/>
    <cellStyle name="20% - Accent5 3 4 4 2 2 3" xfId="39224"/>
    <cellStyle name="20% - Accent5 3 4 4 2 3" xfId="24304"/>
    <cellStyle name="20% - Accent5 3 4 4 2 3 2" xfId="44059"/>
    <cellStyle name="20% - Accent5 3 4 4 2 4" xfId="34415"/>
    <cellStyle name="20% - Accent5 3 4 4 3" xfId="19397"/>
    <cellStyle name="20% - Accent5 3 4 4 3 2" xfId="29113"/>
    <cellStyle name="20% - Accent5 3 4 4 3 2 2" xfId="48867"/>
    <cellStyle name="20% - Accent5 3 4 4 3 3" xfId="39223"/>
    <cellStyle name="20% - Accent5 3 4 4 4" xfId="24303"/>
    <cellStyle name="20% - Accent5 3 4 4 4 2" xfId="44058"/>
    <cellStyle name="20% - Accent5 3 4 4 5" xfId="34414"/>
    <cellStyle name="20% - Accent5 3 4 5" xfId="4108"/>
    <cellStyle name="20% - Accent5 3 4 5 2" xfId="19399"/>
    <cellStyle name="20% - Accent5 3 4 5 2 2" xfId="29115"/>
    <cellStyle name="20% - Accent5 3 4 5 2 2 2" xfId="48869"/>
    <cellStyle name="20% - Accent5 3 4 5 2 3" xfId="39225"/>
    <cellStyle name="20% - Accent5 3 4 5 3" xfId="24305"/>
    <cellStyle name="20% - Accent5 3 4 5 3 2" xfId="44060"/>
    <cellStyle name="20% - Accent5 3 4 5 4" xfId="34416"/>
    <cellStyle name="20% - Accent5 3 4 6" xfId="4109"/>
    <cellStyle name="20% - Accent5 3 4 6 2" xfId="19400"/>
    <cellStyle name="20% - Accent5 3 4 6 2 2" xfId="29116"/>
    <cellStyle name="20% - Accent5 3 4 6 2 2 2" xfId="48870"/>
    <cellStyle name="20% - Accent5 3 4 6 2 3" xfId="39226"/>
    <cellStyle name="20% - Accent5 3 4 6 3" xfId="24306"/>
    <cellStyle name="20% - Accent5 3 4 6 3 2" xfId="44061"/>
    <cellStyle name="20% - Accent5 3 4 6 4" xfId="34417"/>
    <cellStyle name="20% - Accent5 3 4 7" xfId="4110"/>
    <cellStyle name="20% - Accent5 3 4 7 2" xfId="19401"/>
    <cellStyle name="20% - Accent5 3 4 7 2 2" xfId="29117"/>
    <cellStyle name="20% - Accent5 3 4 7 2 2 2" xfId="48871"/>
    <cellStyle name="20% - Accent5 3 4 7 2 3" xfId="39227"/>
    <cellStyle name="20% - Accent5 3 4 7 3" xfId="24307"/>
    <cellStyle name="20% - Accent5 3 4 7 3 2" xfId="44062"/>
    <cellStyle name="20% - Accent5 3 4 7 4" xfId="34418"/>
    <cellStyle name="20% - Accent5 3 4 8" xfId="19384"/>
    <cellStyle name="20% - Accent5 3 4 8 2" xfId="29100"/>
    <cellStyle name="20% - Accent5 3 4 8 2 2" xfId="48854"/>
    <cellStyle name="20% - Accent5 3 4 8 3" xfId="39210"/>
    <cellStyle name="20% - Accent5 3 4 9" xfId="24290"/>
    <cellStyle name="20% - Accent5 3 4 9 2" xfId="44045"/>
    <cellStyle name="20% - Accent5 3 5" xfId="4111"/>
    <cellStyle name="20% - Accent5 3 5 2" xfId="4112"/>
    <cellStyle name="20% - Accent5 3 5 2 2" xfId="4113"/>
    <cellStyle name="20% - Accent5 3 5 2 2 2" xfId="4114"/>
    <cellStyle name="20% - Accent5 3 5 2 2 2 2" xfId="19405"/>
    <cellStyle name="20% - Accent5 3 5 2 2 2 2 2" xfId="29121"/>
    <cellStyle name="20% - Accent5 3 5 2 2 2 2 2 2" xfId="48875"/>
    <cellStyle name="20% - Accent5 3 5 2 2 2 2 3" xfId="39231"/>
    <cellStyle name="20% - Accent5 3 5 2 2 2 3" xfId="24311"/>
    <cellStyle name="20% - Accent5 3 5 2 2 2 3 2" xfId="44066"/>
    <cellStyle name="20% - Accent5 3 5 2 2 2 4" xfId="34422"/>
    <cellStyle name="20% - Accent5 3 5 2 2 3" xfId="19404"/>
    <cellStyle name="20% - Accent5 3 5 2 2 3 2" xfId="29120"/>
    <cellStyle name="20% - Accent5 3 5 2 2 3 2 2" xfId="48874"/>
    <cellStyle name="20% - Accent5 3 5 2 2 3 3" xfId="39230"/>
    <cellStyle name="20% - Accent5 3 5 2 2 4" xfId="24310"/>
    <cellStyle name="20% - Accent5 3 5 2 2 4 2" xfId="44065"/>
    <cellStyle name="20% - Accent5 3 5 2 2 5" xfId="34421"/>
    <cellStyle name="20% - Accent5 3 5 2 3" xfId="4115"/>
    <cellStyle name="20% - Accent5 3 5 2 3 2" xfId="19406"/>
    <cellStyle name="20% - Accent5 3 5 2 3 2 2" xfId="29122"/>
    <cellStyle name="20% - Accent5 3 5 2 3 2 2 2" xfId="48876"/>
    <cellStyle name="20% - Accent5 3 5 2 3 2 3" xfId="39232"/>
    <cellStyle name="20% - Accent5 3 5 2 3 3" xfId="24312"/>
    <cellStyle name="20% - Accent5 3 5 2 3 3 2" xfId="44067"/>
    <cellStyle name="20% - Accent5 3 5 2 3 4" xfId="34423"/>
    <cellStyle name="20% - Accent5 3 5 2 4" xfId="19403"/>
    <cellStyle name="20% - Accent5 3 5 2 4 2" xfId="29119"/>
    <cellStyle name="20% - Accent5 3 5 2 4 2 2" xfId="48873"/>
    <cellStyle name="20% - Accent5 3 5 2 4 3" xfId="39229"/>
    <cellStyle name="20% - Accent5 3 5 2 5" xfId="24309"/>
    <cellStyle name="20% - Accent5 3 5 2 5 2" xfId="44064"/>
    <cellStyle name="20% - Accent5 3 5 2 6" xfId="34420"/>
    <cellStyle name="20% - Accent5 3 5 3" xfId="4116"/>
    <cellStyle name="20% - Accent5 3 5 3 2" xfId="4117"/>
    <cellStyle name="20% - Accent5 3 5 3 2 2" xfId="19408"/>
    <cellStyle name="20% - Accent5 3 5 3 2 2 2" xfId="29124"/>
    <cellStyle name="20% - Accent5 3 5 3 2 2 2 2" xfId="48878"/>
    <cellStyle name="20% - Accent5 3 5 3 2 2 3" xfId="39234"/>
    <cellStyle name="20% - Accent5 3 5 3 2 3" xfId="24314"/>
    <cellStyle name="20% - Accent5 3 5 3 2 3 2" xfId="44069"/>
    <cellStyle name="20% - Accent5 3 5 3 2 4" xfId="34425"/>
    <cellStyle name="20% - Accent5 3 5 3 3" xfId="19407"/>
    <cellStyle name="20% - Accent5 3 5 3 3 2" xfId="29123"/>
    <cellStyle name="20% - Accent5 3 5 3 3 2 2" xfId="48877"/>
    <cellStyle name="20% - Accent5 3 5 3 3 3" xfId="39233"/>
    <cellStyle name="20% - Accent5 3 5 3 4" xfId="24313"/>
    <cellStyle name="20% - Accent5 3 5 3 4 2" xfId="44068"/>
    <cellStyle name="20% - Accent5 3 5 3 5" xfId="34424"/>
    <cellStyle name="20% - Accent5 3 5 4" xfId="4118"/>
    <cellStyle name="20% - Accent5 3 5 4 2" xfId="19409"/>
    <cellStyle name="20% - Accent5 3 5 4 2 2" xfId="29125"/>
    <cellStyle name="20% - Accent5 3 5 4 2 2 2" xfId="48879"/>
    <cellStyle name="20% - Accent5 3 5 4 2 3" xfId="39235"/>
    <cellStyle name="20% - Accent5 3 5 4 3" xfId="24315"/>
    <cellStyle name="20% - Accent5 3 5 4 3 2" xfId="44070"/>
    <cellStyle name="20% - Accent5 3 5 4 4" xfId="34426"/>
    <cellStyle name="20% - Accent5 3 5 5" xfId="19402"/>
    <cellStyle name="20% - Accent5 3 5 5 2" xfId="29118"/>
    <cellStyle name="20% - Accent5 3 5 5 2 2" xfId="48872"/>
    <cellStyle name="20% - Accent5 3 5 5 3" xfId="39228"/>
    <cellStyle name="20% - Accent5 3 5 6" xfId="24308"/>
    <cellStyle name="20% - Accent5 3 5 6 2" xfId="44063"/>
    <cellStyle name="20% - Accent5 3 5 7" xfId="34419"/>
    <cellStyle name="20% - Accent5 3 6" xfId="4119"/>
    <cellStyle name="20% - Accent5 3 6 2" xfId="4120"/>
    <cellStyle name="20% - Accent5 3 6 2 2" xfId="4121"/>
    <cellStyle name="20% - Accent5 3 6 2 2 2" xfId="4122"/>
    <cellStyle name="20% - Accent5 3 6 2 2 2 2" xfId="19413"/>
    <cellStyle name="20% - Accent5 3 6 2 2 2 2 2" xfId="29129"/>
    <cellStyle name="20% - Accent5 3 6 2 2 2 2 2 2" xfId="48883"/>
    <cellStyle name="20% - Accent5 3 6 2 2 2 2 3" xfId="39239"/>
    <cellStyle name="20% - Accent5 3 6 2 2 2 3" xfId="24319"/>
    <cellStyle name="20% - Accent5 3 6 2 2 2 3 2" xfId="44074"/>
    <cellStyle name="20% - Accent5 3 6 2 2 2 4" xfId="34430"/>
    <cellStyle name="20% - Accent5 3 6 2 2 3" xfId="19412"/>
    <cellStyle name="20% - Accent5 3 6 2 2 3 2" xfId="29128"/>
    <cellStyle name="20% - Accent5 3 6 2 2 3 2 2" xfId="48882"/>
    <cellStyle name="20% - Accent5 3 6 2 2 3 3" xfId="39238"/>
    <cellStyle name="20% - Accent5 3 6 2 2 4" xfId="24318"/>
    <cellStyle name="20% - Accent5 3 6 2 2 4 2" xfId="44073"/>
    <cellStyle name="20% - Accent5 3 6 2 2 5" xfId="34429"/>
    <cellStyle name="20% - Accent5 3 6 2 3" xfId="4123"/>
    <cellStyle name="20% - Accent5 3 6 2 3 2" xfId="19414"/>
    <cellStyle name="20% - Accent5 3 6 2 3 2 2" xfId="29130"/>
    <cellStyle name="20% - Accent5 3 6 2 3 2 2 2" xfId="48884"/>
    <cellStyle name="20% - Accent5 3 6 2 3 2 3" xfId="39240"/>
    <cellStyle name="20% - Accent5 3 6 2 3 3" xfId="24320"/>
    <cellStyle name="20% - Accent5 3 6 2 3 3 2" xfId="44075"/>
    <cellStyle name="20% - Accent5 3 6 2 3 4" xfId="34431"/>
    <cellStyle name="20% - Accent5 3 6 2 4" xfId="19411"/>
    <cellStyle name="20% - Accent5 3 6 2 4 2" xfId="29127"/>
    <cellStyle name="20% - Accent5 3 6 2 4 2 2" xfId="48881"/>
    <cellStyle name="20% - Accent5 3 6 2 4 3" xfId="39237"/>
    <cellStyle name="20% - Accent5 3 6 2 5" xfId="24317"/>
    <cellStyle name="20% - Accent5 3 6 2 5 2" xfId="44072"/>
    <cellStyle name="20% - Accent5 3 6 2 6" xfId="34428"/>
    <cellStyle name="20% - Accent5 3 6 3" xfId="4124"/>
    <cellStyle name="20% - Accent5 3 6 3 2" xfId="4125"/>
    <cellStyle name="20% - Accent5 3 6 3 2 2" xfId="19416"/>
    <cellStyle name="20% - Accent5 3 6 3 2 2 2" xfId="29132"/>
    <cellStyle name="20% - Accent5 3 6 3 2 2 2 2" xfId="48886"/>
    <cellStyle name="20% - Accent5 3 6 3 2 2 3" xfId="39242"/>
    <cellStyle name="20% - Accent5 3 6 3 2 3" xfId="24322"/>
    <cellStyle name="20% - Accent5 3 6 3 2 3 2" xfId="44077"/>
    <cellStyle name="20% - Accent5 3 6 3 2 4" xfId="34433"/>
    <cellStyle name="20% - Accent5 3 6 3 3" xfId="19415"/>
    <cellStyle name="20% - Accent5 3 6 3 3 2" xfId="29131"/>
    <cellStyle name="20% - Accent5 3 6 3 3 2 2" xfId="48885"/>
    <cellStyle name="20% - Accent5 3 6 3 3 3" xfId="39241"/>
    <cellStyle name="20% - Accent5 3 6 3 4" xfId="24321"/>
    <cellStyle name="20% - Accent5 3 6 3 4 2" xfId="44076"/>
    <cellStyle name="20% - Accent5 3 6 3 5" xfId="34432"/>
    <cellStyle name="20% - Accent5 3 6 4" xfId="4126"/>
    <cellStyle name="20% - Accent5 3 6 4 2" xfId="19417"/>
    <cellStyle name="20% - Accent5 3 6 4 2 2" xfId="29133"/>
    <cellStyle name="20% - Accent5 3 6 4 2 2 2" xfId="48887"/>
    <cellStyle name="20% - Accent5 3 6 4 2 3" xfId="39243"/>
    <cellStyle name="20% - Accent5 3 6 4 3" xfId="24323"/>
    <cellStyle name="20% - Accent5 3 6 4 3 2" xfId="44078"/>
    <cellStyle name="20% - Accent5 3 6 4 4" xfId="34434"/>
    <cellStyle name="20% - Accent5 3 6 5" xfId="19410"/>
    <cellStyle name="20% - Accent5 3 6 5 2" xfId="29126"/>
    <cellStyle name="20% - Accent5 3 6 5 2 2" xfId="48880"/>
    <cellStyle name="20% - Accent5 3 6 5 3" xfId="39236"/>
    <cellStyle name="20% - Accent5 3 6 6" xfId="24316"/>
    <cellStyle name="20% - Accent5 3 6 6 2" xfId="44071"/>
    <cellStyle name="20% - Accent5 3 6 7" xfId="34427"/>
    <cellStyle name="20% - Accent5 3 7" xfId="4127"/>
    <cellStyle name="20% - Accent5 3 8" xfId="4128"/>
    <cellStyle name="20% - Accent5 3 8 2" xfId="4129"/>
    <cellStyle name="20% - Accent5 3 8 2 2" xfId="4130"/>
    <cellStyle name="20% - Accent5 3 8 2 2 2" xfId="19420"/>
    <cellStyle name="20% - Accent5 3 8 2 2 2 2" xfId="29136"/>
    <cellStyle name="20% - Accent5 3 8 2 2 2 2 2" xfId="48890"/>
    <cellStyle name="20% - Accent5 3 8 2 2 2 3" xfId="39246"/>
    <cellStyle name="20% - Accent5 3 8 2 2 3" xfId="24326"/>
    <cellStyle name="20% - Accent5 3 8 2 2 3 2" xfId="44081"/>
    <cellStyle name="20% - Accent5 3 8 2 2 4" xfId="34437"/>
    <cellStyle name="20% - Accent5 3 8 2 3" xfId="19419"/>
    <cellStyle name="20% - Accent5 3 8 2 3 2" xfId="29135"/>
    <cellStyle name="20% - Accent5 3 8 2 3 2 2" xfId="48889"/>
    <cellStyle name="20% - Accent5 3 8 2 3 3" xfId="39245"/>
    <cellStyle name="20% - Accent5 3 8 2 4" xfId="24325"/>
    <cellStyle name="20% - Accent5 3 8 2 4 2" xfId="44080"/>
    <cellStyle name="20% - Accent5 3 8 2 5" xfId="34436"/>
    <cellStyle name="20% - Accent5 3 8 3" xfId="4131"/>
    <cellStyle name="20% - Accent5 3 8 3 2" xfId="19421"/>
    <cellStyle name="20% - Accent5 3 8 3 2 2" xfId="29137"/>
    <cellStyle name="20% - Accent5 3 8 3 2 2 2" xfId="48891"/>
    <cellStyle name="20% - Accent5 3 8 3 2 3" xfId="39247"/>
    <cellStyle name="20% - Accent5 3 8 3 3" xfId="24327"/>
    <cellStyle name="20% - Accent5 3 8 3 3 2" xfId="44082"/>
    <cellStyle name="20% - Accent5 3 8 3 4" xfId="34438"/>
    <cellStyle name="20% - Accent5 3 8 4" xfId="19418"/>
    <cellStyle name="20% - Accent5 3 8 4 2" xfId="29134"/>
    <cellStyle name="20% - Accent5 3 8 4 2 2" xfId="48888"/>
    <cellStyle name="20% - Accent5 3 8 4 3" xfId="39244"/>
    <cellStyle name="20% - Accent5 3 8 5" xfId="24324"/>
    <cellStyle name="20% - Accent5 3 8 5 2" xfId="44079"/>
    <cellStyle name="20% - Accent5 3 8 6" xfId="34435"/>
    <cellStyle name="20% - Accent5 3 9" xfId="4132"/>
    <cellStyle name="20% - Accent5 3 9 2" xfId="4133"/>
    <cellStyle name="20% - Accent5 3 9 2 2" xfId="19423"/>
    <cellStyle name="20% - Accent5 3 9 2 2 2" xfId="29139"/>
    <cellStyle name="20% - Accent5 3 9 2 2 2 2" xfId="48893"/>
    <cellStyle name="20% - Accent5 3 9 2 2 3" xfId="39249"/>
    <cellStyle name="20% - Accent5 3 9 2 3" xfId="24329"/>
    <cellStyle name="20% - Accent5 3 9 2 3 2" xfId="44084"/>
    <cellStyle name="20% - Accent5 3 9 2 4" xfId="34440"/>
    <cellStyle name="20% - Accent5 3 9 3" xfId="19422"/>
    <cellStyle name="20% - Accent5 3 9 3 2" xfId="29138"/>
    <cellStyle name="20% - Accent5 3 9 3 2 2" xfId="48892"/>
    <cellStyle name="20% - Accent5 3 9 3 3" xfId="39248"/>
    <cellStyle name="20% - Accent5 3 9 4" xfId="24328"/>
    <cellStyle name="20% - Accent5 3 9 4 2" xfId="44083"/>
    <cellStyle name="20% - Accent5 3 9 5" xfId="34439"/>
    <cellStyle name="20% - Accent5 4" xfId="86"/>
    <cellStyle name="20% - Accent5 4 10" xfId="4134"/>
    <cellStyle name="20% - Accent5 4 10 2" xfId="19424"/>
    <cellStyle name="20% - Accent5 4 10 2 2" xfId="29140"/>
    <cellStyle name="20% - Accent5 4 10 2 2 2" xfId="48894"/>
    <cellStyle name="20% - Accent5 4 10 2 3" xfId="39250"/>
    <cellStyle name="20% - Accent5 4 10 3" xfId="24330"/>
    <cellStyle name="20% - Accent5 4 10 3 2" xfId="44085"/>
    <cellStyle name="20% - Accent5 4 10 4" xfId="34441"/>
    <cellStyle name="20% - Accent5 4 11" xfId="4135"/>
    <cellStyle name="20% - Accent5 4 11 2" xfId="19425"/>
    <cellStyle name="20% - Accent5 4 11 2 2" xfId="29141"/>
    <cellStyle name="20% - Accent5 4 11 2 2 2" xfId="48895"/>
    <cellStyle name="20% - Accent5 4 11 2 3" xfId="39251"/>
    <cellStyle name="20% - Accent5 4 11 3" xfId="24331"/>
    <cellStyle name="20% - Accent5 4 11 3 2" xfId="44086"/>
    <cellStyle name="20% - Accent5 4 11 4" xfId="34442"/>
    <cellStyle name="20% - Accent5 4 12" xfId="15474"/>
    <cellStyle name="20% - Accent5 4 12 2" xfId="20346"/>
    <cellStyle name="20% - Accent5 4 12 2 2" xfId="30060"/>
    <cellStyle name="20% - Accent5 4 12 2 2 2" xfId="49813"/>
    <cellStyle name="20% - Accent5 4 12 2 3" xfId="40169"/>
    <cellStyle name="20% - Accent5 4 12 3" xfId="25248"/>
    <cellStyle name="20% - Accent5 4 12 3 2" xfId="45002"/>
    <cellStyle name="20% - Accent5 4 12 4" xfId="35358"/>
    <cellStyle name="20% - Accent5 4 13" xfId="15877"/>
    <cellStyle name="20% - Accent5 4 13 2" xfId="25593"/>
    <cellStyle name="20% - Accent5 4 13 2 2" xfId="45347"/>
    <cellStyle name="20% - Accent5 4 13 3" xfId="35703"/>
    <cellStyle name="20% - Accent5 4 14" xfId="20752"/>
    <cellStyle name="20% - Accent5 4 14 2" xfId="40532"/>
    <cellStyle name="20% - Accent5 4 15" xfId="30488"/>
    <cellStyle name="20% - Accent5 4 15 2" xfId="50236"/>
    <cellStyle name="20% - Accent5 4 16" xfId="30863"/>
    <cellStyle name="20% - Accent5 4 2" xfId="87"/>
    <cellStyle name="20% - Accent5 4 2 10" xfId="4136"/>
    <cellStyle name="20% - Accent5 4 2 10 2" xfId="19426"/>
    <cellStyle name="20% - Accent5 4 2 10 2 2" xfId="29142"/>
    <cellStyle name="20% - Accent5 4 2 10 2 2 2" xfId="48896"/>
    <cellStyle name="20% - Accent5 4 2 10 2 3" xfId="39252"/>
    <cellStyle name="20% - Accent5 4 2 10 3" xfId="24332"/>
    <cellStyle name="20% - Accent5 4 2 10 3 2" xfId="44087"/>
    <cellStyle name="20% - Accent5 4 2 10 4" xfId="34443"/>
    <cellStyle name="20% - Accent5 4 2 11" xfId="15475"/>
    <cellStyle name="20% - Accent5 4 2 11 2" xfId="20347"/>
    <cellStyle name="20% - Accent5 4 2 11 2 2" xfId="30061"/>
    <cellStyle name="20% - Accent5 4 2 11 2 2 2" xfId="49814"/>
    <cellStyle name="20% - Accent5 4 2 11 2 3" xfId="40170"/>
    <cellStyle name="20% - Accent5 4 2 11 3" xfId="25249"/>
    <cellStyle name="20% - Accent5 4 2 11 3 2" xfId="45003"/>
    <cellStyle name="20% - Accent5 4 2 11 4" xfId="35359"/>
    <cellStyle name="20% - Accent5 4 2 12" xfId="15878"/>
    <cellStyle name="20% - Accent5 4 2 12 2" xfId="25594"/>
    <cellStyle name="20% - Accent5 4 2 12 2 2" xfId="45348"/>
    <cellStyle name="20% - Accent5 4 2 12 3" xfId="35704"/>
    <cellStyle name="20% - Accent5 4 2 13" xfId="20753"/>
    <cellStyle name="20% - Accent5 4 2 13 2" xfId="40533"/>
    <cellStyle name="20% - Accent5 4 2 14" xfId="30489"/>
    <cellStyle name="20% - Accent5 4 2 14 2" xfId="50237"/>
    <cellStyle name="20% - Accent5 4 2 15" xfId="30864"/>
    <cellStyle name="20% - Accent5 4 2 2" xfId="88"/>
    <cellStyle name="20% - Accent5 4 2 2 10" xfId="15879"/>
    <cellStyle name="20% - Accent5 4 2 2 10 2" xfId="25595"/>
    <cellStyle name="20% - Accent5 4 2 2 10 2 2" xfId="45349"/>
    <cellStyle name="20% - Accent5 4 2 2 10 3" xfId="35705"/>
    <cellStyle name="20% - Accent5 4 2 2 11" xfId="20754"/>
    <cellStyle name="20% - Accent5 4 2 2 11 2" xfId="40534"/>
    <cellStyle name="20% - Accent5 4 2 2 12" xfId="30490"/>
    <cellStyle name="20% - Accent5 4 2 2 12 2" xfId="50238"/>
    <cellStyle name="20% - Accent5 4 2 2 13" xfId="30865"/>
    <cellStyle name="20% - Accent5 4 2 2 2" xfId="809"/>
    <cellStyle name="20% - Accent5 4 2 2 2 2" xfId="4137"/>
    <cellStyle name="20% - Accent5 4 2 2 2 2 2" xfId="4138"/>
    <cellStyle name="20% - Accent5 4 2 2 2 2 2 2" xfId="4139"/>
    <cellStyle name="20% - Accent5 4 2 2 2 2 2 2 2" xfId="19429"/>
    <cellStyle name="20% - Accent5 4 2 2 2 2 2 2 2 2" xfId="29145"/>
    <cellStyle name="20% - Accent5 4 2 2 2 2 2 2 2 2 2" xfId="48899"/>
    <cellStyle name="20% - Accent5 4 2 2 2 2 2 2 2 3" xfId="39255"/>
    <cellStyle name="20% - Accent5 4 2 2 2 2 2 2 3" xfId="24335"/>
    <cellStyle name="20% - Accent5 4 2 2 2 2 2 2 3 2" xfId="44090"/>
    <cellStyle name="20% - Accent5 4 2 2 2 2 2 2 4" xfId="34446"/>
    <cellStyle name="20% - Accent5 4 2 2 2 2 2 3" xfId="19428"/>
    <cellStyle name="20% - Accent5 4 2 2 2 2 2 3 2" xfId="29144"/>
    <cellStyle name="20% - Accent5 4 2 2 2 2 2 3 2 2" xfId="48898"/>
    <cellStyle name="20% - Accent5 4 2 2 2 2 2 3 3" xfId="39254"/>
    <cellStyle name="20% - Accent5 4 2 2 2 2 2 4" xfId="24334"/>
    <cellStyle name="20% - Accent5 4 2 2 2 2 2 4 2" xfId="44089"/>
    <cellStyle name="20% - Accent5 4 2 2 2 2 2 5" xfId="34445"/>
    <cellStyle name="20% - Accent5 4 2 2 2 2 3" xfId="4140"/>
    <cellStyle name="20% - Accent5 4 2 2 2 2 3 2" xfId="19430"/>
    <cellStyle name="20% - Accent5 4 2 2 2 2 3 2 2" xfId="29146"/>
    <cellStyle name="20% - Accent5 4 2 2 2 2 3 2 2 2" xfId="48900"/>
    <cellStyle name="20% - Accent5 4 2 2 2 2 3 2 3" xfId="39256"/>
    <cellStyle name="20% - Accent5 4 2 2 2 2 3 3" xfId="24336"/>
    <cellStyle name="20% - Accent5 4 2 2 2 2 3 3 2" xfId="44091"/>
    <cellStyle name="20% - Accent5 4 2 2 2 2 3 4" xfId="34447"/>
    <cellStyle name="20% - Accent5 4 2 2 2 2 4" xfId="19427"/>
    <cellStyle name="20% - Accent5 4 2 2 2 2 4 2" xfId="29143"/>
    <cellStyle name="20% - Accent5 4 2 2 2 2 4 2 2" xfId="48897"/>
    <cellStyle name="20% - Accent5 4 2 2 2 2 4 3" xfId="39253"/>
    <cellStyle name="20% - Accent5 4 2 2 2 2 5" xfId="24333"/>
    <cellStyle name="20% - Accent5 4 2 2 2 2 5 2" xfId="44088"/>
    <cellStyle name="20% - Accent5 4 2 2 2 2 6" xfId="34444"/>
    <cellStyle name="20% - Accent5 4 2 2 2 3" xfId="4141"/>
    <cellStyle name="20% - Accent5 4 2 2 2 3 2" xfId="4142"/>
    <cellStyle name="20% - Accent5 4 2 2 2 3 2 2" xfId="19432"/>
    <cellStyle name="20% - Accent5 4 2 2 2 3 2 2 2" xfId="29148"/>
    <cellStyle name="20% - Accent5 4 2 2 2 3 2 2 2 2" xfId="48902"/>
    <cellStyle name="20% - Accent5 4 2 2 2 3 2 2 3" xfId="39258"/>
    <cellStyle name="20% - Accent5 4 2 2 2 3 2 3" xfId="24338"/>
    <cellStyle name="20% - Accent5 4 2 2 2 3 2 3 2" xfId="44093"/>
    <cellStyle name="20% - Accent5 4 2 2 2 3 2 4" xfId="34449"/>
    <cellStyle name="20% - Accent5 4 2 2 2 3 3" xfId="19431"/>
    <cellStyle name="20% - Accent5 4 2 2 2 3 3 2" xfId="29147"/>
    <cellStyle name="20% - Accent5 4 2 2 2 3 3 2 2" xfId="48901"/>
    <cellStyle name="20% - Accent5 4 2 2 2 3 3 3" xfId="39257"/>
    <cellStyle name="20% - Accent5 4 2 2 2 3 4" xfId="24337"/>
    <cellStyle name="20% - Accent5 4 2 2 2 3 4 2" xfId="44092"/>
    <cellStyle name="20% - Accent5 4 2 2 2 3 5" xfId="34448"/>
    <cellStyle name="20% - Accent5 4 2 2 2 4" xfId="4143"/>
    <cellStyle name="20% - Accent5 4 2 2 2 4 2" xfId="19433"/>
    <cellStyle name="20% - Accent5 4 2 2 2 4 2 2" xfId="29149"/>
    <cellStyle name="20% - Accent5 4 2 2 2 4 2 2 2" xfId="48903"/>
    <cellStyle name="20% - Accent5 4 2 2 2 4 2 3" xfId="39259"/>
    <cellStyle name="20% - Accent5 4 2 2 2 4 3" xfId="24339"/>
    <cellStyle name="20% - Accent5 4 2 2 2 4 3 2" xfId="44094"/>
    <cellStyle name="20% - Accent5 4 2 2 2 4 4" xfId="34450"/>
    <cellStyle name="20% - Accent5 4 2 2 2 5" xfId="16156"/>
    <cellStyle name="20% - Accent5 4 2 2 2 5 2" xfId="25872"/>
    <cellStyle name="20% - Accent5 4 2 2 2 5 2 2" xfId="45626"/>
    <cellStyle name="20% - Accent5 4 2 2 2 5 3" xfId="35982"/>
    <cellStyle name="20% - Accent5 4 2 2 2 6" xfId="21062"/>
    <cellStyle name="20% - Accent5 4 2 2 2 6 2" xfId="40817"/>
    <cellStyle name="20% - Accent5 4 2 2 2 7" xfId="31173"/>
    <cellStyle name="20% - Accent5 4 2 2 3" xfId="810"/>
    <cellStyle name="20% - Accent5 4 2 2 3 2" xfId="4144"/>
    <cellStyle name="20% - Accent5 4 2 2 3 2 2" xfId="4145"/>
    <cellStyle name="20% - Accent5 4 2 2 3 2 2 2" xfId="4146"/>
    <cellStyle name="20% - Accent5 4 2 2 3 2 2 2 2" xfId="19436"/>
    <cellStyle name="20% - Accent5 4 2 2 3 2 2 2 2 2" xfId="29152"/>
    <cellStyle name="20% - Accent5 4 2 2 3 2 2 2 2 2 2" xfId="48906"/>
    <cellStyle name="20% - Accent5 4 2 2 3 2 2 2 2 3" xfId="39262"/>
    <cellStyle name="20% - Accent5 4 2 2 3 2 2 2 3" xfId="24342"/>
    <cellStyle name="20% - Accent5 4 2 2 3 2 2 2 3 2" xfId="44097"/>
    <cellStyle name="20% - Accent5 4 2 2 3 2 2 2 4" xfId="34453"/>
    <cellStyle name="20% - Accent5 4 2 2 3 2 2 3" xfId="19435"/>
    <cellStyle name="20% - Accent5 4 2 2 3 2 2 3 2" xfId="29151"/>
    <cellStyle name="20% - Accent5 4 2 2 3 2 2 3 2 2" xfId="48905"/>
    <cellStyle name="20% - Accent5 4 2 2 3 2 2 3 3" xfId="39261"/>
    <cellStyle name="20% - Accent5 4 2 2 3 2 2 4" xfId="24341"/>
    <cellStyle name="20% - Accent5 4 2 2 3 2 2 4 2" xfId="44096"/>
    <cellStyle name="20% - Accent5 4 2 2 3 2 2 5" xfId="34452"/>
    <cellStyle name="20% - Accent5 4 2 2 3 2 3" xfId="4147"/>
    <cellStyle name="20% - Accent5 4 2 2 3 2 3 2" xfId="19437"/>
    <cellStyle name="20% - Accent5 4 2 2 3 2 3 2 2" xfId="29153"/>
    <cellStyle name="20% - Accent5 4 2 2 3 2 3 2 2 2" xfId="48907"/>
    <cellStyle name="20% - Accent5 4 2 2 3 2 3 2 3" xfId="39263"/>
    <cellStyle name="20% - Accent5 4 2 2 3 2 3 3" xfId="24343"/>
    <cellStyle name="20% - Accent5 4 2 2 3 2 3 3 2" xfId="44098"/>
    <cellStyle name="20% - Accent5 4 2 2 3 2 3 4" xfId="34454"/>
    <cellStyle name="20% - Accent5 4 2 2 3 2 4" xfId="19434"/>
    <cellStyle name="20% - Accent5 4 2 2 3 2 4 2" xfId="29150"/>
    <cellStyle name="20% - Accent5 4 2 2 3 2 4 2 2" xfId="48904"/>
    <cellStyle name="20% - Accent5 4 2 2 3 2 4 3" xfId="39260"/>
    <cellStyle name="20% - Accent5 4 2 2 3 2 5" xfId="24340"/>
    <cellStyle name="20% - Accent5 4 2 2 3 2 5 2" xfId="44095"/>
    <cellStyle name="20% - Accent5 4 2 2 3 2 6" xfId="34451"/>
    <cellStyle name="20% - Accent5 4 2 2 3 3" xfId="4148"/>
    <cellStyle name="20% - Accent5 4 2 2 3 3 2" xfId="4149"/>
    <cellStyle name="20% - Accent5 4 2 2 3 3 2 2" xfId="19439"/>
    <cellStyle name="20% - Accent5 4 2 2 3 3 2 2 2" xfId="29155"/>
    <cellStyle name="20% - Accent5 4 2 2 3 3 2 2 2 2" xfId="48909"/>
    <cellStyle name="20% - Accent5 4 2 2 3 3 2 2 3" xfId="39265"/>
    <cellStyle name="20% - Accent5 4 2 2 3 3 2 3" xfId="24345"/>
    <cellStyle name="20% - Accent5 4 2 2 3 3 2 3 2" xfId="44100"/>
    <cellStyle name="20% - Accent5 4 2 2 3 3 2 4" xfId="34456"/>
    <cellStyle name="20% - Accent5 4 2 2 3 3 3" xfId="19438"/>
    <cellStyle name="20% - Accent5 4 2 2 3 3 3 2" xfId="29154"/>
    <cellStyle name="20% - Accent5 4 2 2 3 3 3 2 2" xfId="48908"/>
    <cellStyle name="20% - Accent5 4 2 2 3 3 3 3" xfId="39264"/>
    <cellStyle name="20% - Accent5 4 2 2 3 3 4" xfId="24344"/>
    <cellStyle name="20% - Accent5 4 2 2 3 3 4 2" xfId="44099"/>
    <cellStyle name="20% - Accent5 4 2 2 3 3 5" xfId="34455"/>
    <cellStyle name="20% - Accent5 4 2 2 3 4" xfId="4150"/>
    <cellStyle name="20% - Accent5 4 2 2 3 4 2" xfId="19440"/>
    <cellStyle name="20% - Accent5 4 2 2 3 4 2 2" xfId="29156"/>
    <cellStyle name="20% - Accent5 4 2 2 3 4 2 2 2" xfId="48910"/>
    <cellStyle name="20% - Accent5 4 2 2 3 4 2 3" xfId="39266"/>
    <cellStyle name="20% - Accent5 4 2 2 3 4 3" xfId="24346"/>
    <cellStyle name="20% - Accent5 4 2 2 3 4 3 2" xfId="44101"/>
    <cellStyle name="20% - Accent5 4 2 2 3 4 4" xfId="34457"/>
    <cellStyle name="20% - Accent5 4 2 2 3 5" xfId="16157"/>
    <cellStyle name="20% - Accent5 4 2 2 3 5 2" xfId="25873"/>
    <cellStyle name="20% - Accent5 4 2 2 3 5 2 2" xfId="45627"/>
    <cellStyle name="20% - Accent5 4 2 2 3 5 3" xfId="35983"/>
    <cellStyle name="20% - Accent5 4 2 2 3 6" xfId="21063"/>
    <cellStyle name="20% - Accent5 4 2 2 3 6 2" xfId="40818"/>
    <cellStyle name="20% - Accent5 4 2 2 3 7" xfId="31174"/>
    <cellStyle name="20% - Accent5 4 2 2 4" xfId="4151"/>
    <cellStyle name="20% - Accent5 4 2 2 4 2" xfId="4152"/>
    <cellStyle name="20% - Accent5 4 2 2 4 2 2" xfId="4153"/>
    <cellStyle name="20% - Accent5 4 2 2 4 2 2 2" xfId="19443"/>
    <cellStyle name="20% - Accent5 4 2 2 4 2 2 2 2" xfId="29159"/>
    <cellStyle name="20% - Accent5 4 2 2 4 2 2 2 2 2" xfId="48913"/>
    <cellStyle name="20% - Accent5 4 2 2 4 2 2 2 3" xfId="39269"/>
    <cellStyle name="20% - Accent5 4 2 2 4 2 2 3" xfId="24349"/>
    <cellStyle name="20% - Accent5 4 2 2 4 2 2 3 2" xfId="44104"/>
    <cellStyle name="20% - Accent5 4 2 2 4 2 2 4" xfId="34460"/>
    <cellStyle name="20% - Accent5 4 2 2 4 2 3" xfId="19442"/>
    <cellStyle name="20% - Accent5 4 2 2 4 2 3 2" xfId="29158"/>
    <cellStyle name="20% - Accent5 4 2 2 4 2 3 2 2" xfId="48912"/>
    <cellStyle name="20% - Accent5 4 2 2 4 2 3 3" xfId="39268"/>
    <cellStyle name="20% - Accent5 4 2 2 4 2 4" xfId="24348"/>
    <cellStyle name="20% - Accent5 4 2 2 4 2 4 2" xfId="44103"/>
    <cellStyle name="20% - Accent5 4 2 2 4 2 5" xfId="34459"/>
    <cellStyle name="20% - Accent5 4 2 2 4 3" xfId="4154"/>
    <cellStyle name="20% - Accent5 4 2 2 4 3 2" xfId="19444"/>
    <cellStyle name="20% - Accent5 4 2 2 4 3 2 2" xfId="29160"/>
    <cellStyle name="20% - Accent5 4 2 2 4 3 2 2 2" xfId="48914"/>
    <cellStyle name="20% - Accent5 4 2 2 4 3 2 3" xfId="39270"/>
    <cellStyle name="20% - Accent5 4 2 2 4 3 3" xfId="24350"/>
    <cellStyle name="20% - Accent5 4 2 2 4 3 3 2" xfId="44105"/>
    <cellStyle name="20% - Accent5 4 2 2 4 3 4" xfId="34461"/>
    <cellStyle name="20% - Accent5 4 2 2 4 4" xfId="19441"/>
    <cellStyle name="20% - Accent5 4 2 2 4 4 2" xfId="29157"/>
    <cellStyle name="20% - Accent5 4 2 2 4 4 2 2" xfId="48911"/>
    <cellStyle name="20% - Accent5 4 2 2 4 4 3" xfId="39267"/>
    <cellStyle name="20% - Accent5 4 2 2 4 5" xfId="24347"/>
    <cellStyle name="20% - Accent5 4 2 2 4 5 2" xfId="44102"/>
    <cellStyle name="20% - Accent5 4 2 2 4 6" xfId="34458"/>
    <cellStyle name="20% - Accent5 4 2 2 5" xfId="4155"/>
    <cellStyle name="20% - Accent5 4 2 2 5 2" xfId="4156"/>
    <cellStyle name="20% - Accent5 4 2 2 5 2 2" xfId="19446"/>
    <cellStyle name="20% - Accent5 4 2 2 5 2 2 2" xfId="29162"/>
    <cellStyle name="20% - Accent5 4 2 2 5 2 2 2 2" xfId="48916"/>
    <cellStyle name="20% - Accent5 4 2 2 5 2 2 3" xfId="39272"/>
    <cellStyle name="20% - Accent5 4 2 2 5 2 3" xfId="24352"/>
    <cellStyle name="20% - Accent5 4 2 2 5 2 3 2" xfId="44107"/>
    <cellStyle name="20% - Accent5 4 2 2 5 2 4" xfId="34463"/>
    <cellStyle name="20% - Accent5 4 2 2 5 3" xfId="19445"/>
    <cellStyle name="20% - Accent5 4 2 2 5 3 2" xfId="29161"/>
    <cellStyle name="20% - Accent5 4 2 2 5 3 2 2" xfId="48915"/>
    <cellStyle name="20% - Accent5 4 2 2 5 3 3" xfId="39271"/>
    <cellStyle name="20% - Accent5 4 2 2 5 4" xfId="24351"/>
    <cellStyle name="20% - Accent5 4 2 2 5 4 2" xfId="44106"/>
    <cellStyle name="20% - Accent5 4 2 2 5 5" xfId="34462"/>
    <cellStyle name="20% - Accent5 4 2 2 6" xfId="4157"/>
    <cellStyle name="20% - Accent5 4 2 2 6 2" xfId="19447"/>
    <cellStyle name="20% - Accent5 4 2 2 6 2 2" xfId="29163"/>
    <cellStyle name="20% - Accent5 4 2 2 6 2 2 2" xfId="48917"/>
    <cellStyle name="20% - Accent5 4 2 2 6 2 3" xfId="39273"/>
    <cellStyle name="20% - Accent5 4 2 2 6 3" xfId="24353"/>
    <cellStyle name="20% - Accent5 4 2 2 6 3 2" xfId="44108"/>
    <cellStyle name="20% - Accent5 4 2 2 6 4" xfId="34464"/>
    <cellStyle name="20% - Accent5 4 2 2 7" xfId="4158"/>
    <cellStyle name="20% - Accent5 4 2 2 7 2" xfId="19448"/>
    <cellStyle name="20% - Accent5 4 2 2 7 2 2" xfId="29164"/>
    <cellStyle name="20% - Accent5 4 2 2 7 2 2 2" xfId="48918"/>
    <cellStyle name="20% - Accent5 4 2 2 7 2 3" xfId="39274"/>
    <cellStyle name="20% - Accent5 4 2 2 7 3" xfId="24354"/>
    <cellStyle name="20% - Accent5 4 2 2 7 3 2" xfId="44109"/>
    <cellStyle name="20% - Accent5 4 2 2 7 4" xfId="34465"/>
    <cellStyle name="20% - Accent5 4 2 2 8" xfId="4159"/>
    <cellStyle name="20% - Accent5 4 2 2 8 2" xfId="19449"/>
    <cellStyle name="20% - Accent5 4 2 2 8 2 2" xfId="29165"/>
    <cellStyle name="20% - Accent5 4 2 2 8 2 2 2" xfId="48919"/>
    <cellStyle name="20% - Accent5 4 2 2 8 2 3" xfId="39275"/>
    <cellStyle name="20% - Accent5 4 2 2 8 3" xfId="24355"/>
    <cellStyle name="20% - Accent5 4 2 2 8 3 2" xfId="44110"/>
    <cellStyle name="20% - Accent5 4 2 2 8 4" xfId="34466"/>
    <cellStyle name="20% - Accent5 4 2 2 9" xfId="15476"/>
    <cellStyle name="20% - Accent5 4 2 2 9 2" xfId="20348"/>
    <cellStyle name="20% - Accent5 4 2 2 9 2 2" xfId="30062"/>
    <cellStyle name="20% - Accent5 4 2 2 9 2 2 2" xfId="49815"/>
    <cellStyle name="20% - Accent5 4 2 2 9 2 3" xfId="40171"/>
    <cellStyle name="20% - Accent5 4 2 2 9 3" xfId="25250"/>
    <cellStyle name="20% - Accent5 4 2 2 9 3 2" xfId="45004"/>
    <cellStyle name="20% - Accent5 4 2 2 9 4" xfId="35360"/>
    <cellStyle name="20% - Accent5 4 2 3" xfId="811"/>
    <cellStyle name="20% - Accent5 4 2 3 2" xfId="4160"/>
    <cellStyle name="20% - Accent5 4 2 3 2 2" xfId="4161"/>
    <cellStyle name="20% - Accent5 4 2 3 2 2 2" xfId="4162"/>
    <cellStyle name="20% - Accent5 4 2 3 2 2 2 2" xfId="19452"/>
    <cellStyle name="20% - Accent5 4 2 3 2 2 2 2 2" xfId="29168"/>
    <cellStyle name="20% - Accent5 4 2 3 2 2 2 2 2 2" xfId="48922"/>
    <cellStyle name="20% - Accent5 4 2 3 2 2 2 2 3" xfId="39278"/>
    <cellStyle name="20% - Accent5 4 2 3 2 2 2 3" xfId="24358"/>
    <cellStyle name="20% - Accent5 4 2 3 2 2 2 3 2" xfId="44113"/>
    <cellStyle name="20% - Accent5 4 2 3 2 2 2 4" xfId="34469"/>
    <cellStyle name="20% - Accent5 4 2 3 2 2 3" xfId="19451"/>
    <cellStyle name="20% - Accent5 4 2 3 2 2 3 2" xfId="29167"/>
    <cellStyle name="20% - Accent5 4 2 3 2 2 3 2 2" xfId="48921"/>
    <cellStyle name="20% - Accent5 4 2 3 2 2 3 3" xfId="39277"/>
    <cellStyle name="20% - Accent5 4 2 3 2 2 4" xfId="24357"/>
    <cellStyle name="20% - Accent5 4 2 3 2 2 4 2" xfId="44112"/>
    <cellStyle name="20% - Accent5 4 2 3 2 2 5" xfId="34468"/>
    <cellStyle name="20% - Accent5 4 2 3 2 3" xfId="4163"/>
    <cellStyle name="20% - Accent5 4 2 3 2 3 2" xfId="19453"/>
    <cellStyle name="20% - Accent5 4 2 3 2 3 2 2" xfId="29169"/>
    <cellStyle name="20% - Accent5 4 2 3 2 3 2 2 2" xfId="48923"/>
    <cellStyle name="20% - Accent5 4 2 3 2 3 2 3" xfId="39279"/>
    <cellStyle name="20% - Accent5 4 2 3 2 3 3" xfId="24359"/>
    <cellStyle name="20% - Accent5 4 2 3 2 3 3 2" xfId="44114"/>
    <cellStyle name="20% - Accent5 4 2 3 2 3 4" xfId="34470"/>
    <cellStyle name="20% - Accent5 4 2 3 2 4" xfId="19450"/>
    <cellStyle name="20% - Accent5 4 2 3 2 4 2" xfId="29166"/>
    <cellStyle name="20% - Accent5 4 2 3 2 4 2 2" xfId="48920"/>
    <cellStyle name="20% - Accent5 4 2 3 2 4 3" xfId="39276"/>
    <cellStyle name="20% - Accent5 4 2 3 2 5" xfId="24356"/>
    <cellStyle name="20% - Accent5 4 2 3 2 5 2" xfId="44111"/>
    <cellStyle name="20% - Accent5 4 2 3 2 6" xfId="34467"/>
    <cellStyle name="20% - Accent5 4 2 3 3" xfId="4164"/>
    <cellStyle name="20% - Accent5 4 2 3 3 2" xfId="4165"/>
    <cellStyle name="20% - Accent5 4 2 3 3 2 2" xfId="19455"/>
    <cellStyle name="20% - Accent5 4 2 3 3 2 2 2" xfId="29171"/>
    <cellStyle name="20% - Accent5 4 2 3 3 2 2 2 2" xfId="48925"/>
    <cellStyle name="20% - Accent5 4 2 3 3 2 2 3" xfId="39281"/>
    <cellStyle name="20% - Accent5 4 2 3 3 2 3" xfId="24361"/>
    <cellStyle name="20% - Accent5 4 2 3 3 2 3 2" xfId="44116"/>
    <cellStyle name="20% - Accent5 4 2 3 3 2 4" xfId="34472"/>
    <cellStyle name="20% - Accent5 4 2 3 3 3" xfId="19454"/>
    <cellStyle name="20% - Accent5 4 2 3 3 3 2" xfId="29170"/>
    <cellStyle name="20% - Accent5 4 2 3 3 3 2 2" xfId="48924"/>
    <cellStyle name="20% - Accent5 4 2 3 3 3 3" xfId="39280"/>
    <cellStyle name="20% - Accent5 4 2 3 3 4" xfId="24360"/>
    <cellStyle name="20% - Accent5 4 2 3 3 4 2" xfId="44115"/>
    <cellStyle name="20% - Accent5 4 2 3 3 5" xfId="34471"/>
    <cellStyle name="20% - Accent5 4 2 3 4" xfId="4166"/>
    <cellStyle name="20% - Accent5 4 2 3 4 2" xfId="19456"/>
    <cellStyle name="20% - Accent5 4 2 3 4 2 2" xfId="29172"/>
    <cellStyle name="20% - Accent5 4 2 3 4 2 2 2" xfId="48926"/>
    <cellStyle name="20% - Accent5 4 2 3 4 2 3" xfId="39282"/>
    <cellStyle name="20% - Accent5 4 2 3 4 3" xfId="24362"/>
    <cellStyle name="20% - Accent5 4 2 3 4 3 2" xfId="44117"/>
    <cellStyle name="20% - Accent5 4 2 3 4 4" xfId="34473"/>
    <cellStyle name="20% - Accent5 4 2 3 5" xfId="16158"/>
    <cellStyle name="20% - Accent5 4 2 3 5 2" xfId="25874"/>
    <cellStyle name="20% - Accent5 4 2 3 5 2 2" xfId="45628"/>
    <cellStyle name="20% - Accent5 4 2 3 5 3" xfId="35984"/>
    <cellStyle name="20% - Accent5 4 2 3 6" xfId="21064"/>
    <cellStyle name="20% - Accent5 4 2 3 6 2" xfId="40819"/>
    <cellStyle name="20% - Accent5 4 2 3 7" xfId="31175"/>
    <cellStyle name="20% - Accent5 4 2 4" xfId="812"/>
    <cellStyle name="20% - Accent5 4 2 4 2" xfId="4167"/>
    <cellStyle name="20% - Accent5 4 2 4 2 2" xfId="4168"/>
    <cellStyle name="20% - Accent5 4 2 4 2 2 2" xfId="4169"/>
    <cellStyle name="20% - Accent5 4 2 4 2 2 2 2" xfId="19459"/>
    <cellStyle name="20% - Accent5 4 2 4 2 2 2 2 2" xfId="29175"/>
    <cellStyle name="20% - Accent5 4 2 4 2 2 2 2 2 2" xfId="48929"/>
    <cellStyle name="20% - Accent5 4 2 4 2 2 2 2 3" xfId="39285"/>
    <cellStyle name="20% - Accent5 4 2 4 2 2 2 3" xfId="24365"/>
    <cellStyle name="20% - Accent5 4 2 4 2 2 2 3 2" xfId="44120"/>
    <cellStyle name="20% - Accent5 4 2 4 2 2 2 4" xfId="34476"/>
    <cellStyle name="20% - Accent5 4 2 4 2 2 3" xfId="19458"/>
    <cellStyle name="20% - Accent5 4 2 4 2 2 3 2" xfId="29174"/>
    <cellStyle name="20% - Accent5 4 2 4 2 2 3 2 2" xfId="48928"/>
    <cellStyle name="20% - Accent5 4 2 4 2 2 3 3" xfId="39284"/>
    <cellStyle name="20% - Accent5 4 2 4 2 2 4" xfId="24364"/>
    <cellStyle name="20% - Accent5 4 2 4 2 2 4 2" xfId="44119"/>
    <cellStyle name="20% - Accent5 4 2 4 2 2 5" xfId="34475"/>
    <cellStyle name="20% - Accent5 4 2 4 2 3" xfId="4170"/>
    <cellStyle name="20% - Accent5 4 2 4 2 3 2" xfId="19460"/>
    <cellStyle name="20% - Accent5 4 2 4 2 3 2 2" xfId="29176"/>
    <cellStyle name="20% - Accent5 4 2 4 2 3 2 2 2" xfId="48930"/>
    <cellStyle name="20% - Accent5 4 2 4 2 3 2 3" xfId="39286"/>
    <cellStyle name="20% - Accent5 4 2 4 2 3 3" xfId="24366"/>
    <cellStyle name="20% - Accent5 4 2 4 2 3 3 2" xfId="44121"/>
    <cellStyle name="20% - Accent5 4 2 4 2 3 4" xfId="34477"/>
    <cellStyle name="20% - Accent5 4 2 4 2 4" xfId="19457"/>
    <cellStyle name="20% - Accent5 4 2 4 2 4 2" xfId="29173"/>
    <cellStyle name="20% - Accent5 4 2 4 2 4 2 2" xfId="48927"/>
    <cellStyle name="20% - Accent5 4 2 4 2 4 3" xfId="39283"/>
    <cellStyle name="20% - Accent5 4 2 4 2 5" xfId="24363"/>
    <cellStyle name="20% - Accent5 4 2 4 2 5 2" xfId="44118"/>
    <cellStyle name="20% - Accent5 4 2 4 2 6" xfId="34474"/>
    <cellStyle name="20% - Accent5 4 2 4 3" xfId="4171"/>
    <cellStyle name="20% - Accent5 4 2 4 3 2" xfId="4172"/>
    <cellStyle name="20% - Accent5 4 2 4 3 2 2" xfId="19462"/>
    <cellStyle name="20% - Accent5 4 2 4 3 2 2 2" xfId="29178"/>
    <cellStyle name="20% - Accent5 4 2 4 3 2 2 2 2" xfId="48932"/>
    <cellStyle name="20% - Accent5 4 2 4 3 2 2 3" xfId="39288"/>
    <cellStyle name="20% - Accent5 4 2 4 3 2 3" xfId="24368"/>
    <cellStyle name="20% - Accent5 4 2 4 3 2 3 2" xfId="44123"/>
    <cellStyle name="20% - Accent5 4 2 4 3 2 4" xfId="34479"/>
    <cellStyle name="20% - Accent5 4 2 4 3 3" xfId="19461"/>
    <cellStyle name="20% - Accent5 4 2 4 3 3 2" xfId="29177"/>
    <cellStyle name="20% - Accent5 4 2 4 3 3 2 2" xfId="48931"/>
    <cellStyle name="20% - Accent5 4 2 4 3 3 3" xfId="39287"/>
    <cellStyle name="20% - Accent5 4 2 4 3 4" xfId="24367"/>
    <cellStyle name="20% - Accent5 4 2 4 3 4 2" xfId="44122"/>
    <cellStyle name="20% - Accent5 4 2 4 3 5" xfId="34478"/>
    <cellStyle name="20% - Accent5 4 2 4 4" xfId="4173"/>
    <cellStyle name="20% - Accent5 4 2 4 4 2" xfId="19463"/>
    <cellStyle name="20% - Accent5 4 2 4 4 2 2" xfId="29179"/>
    <cellStyle name="20% - Accent5 4 2 4 4 2 2 2" xfId="48933"/>
    <cellStyle name="20% - Accent5 4 2 4 4 2 3" xfId="39289"/>
    <cellStyle name="20% - Accent5 4 2 4 4 3" xfId="24369"/>
    <cellStyle name="20% - Accent5 4 2 4 4 3 2" xfId="44124"/>
    <cellStyle name="20% - Accent5 4 2 4 4 4" xfId="34480"/>
    <cellStyle name="20% - Accent5 4 2 4 5" xfId="16159"/>
    <cellStyle name="20% - Accent5 4 2 4 5 2" xfId="25875"/>
    <cellStyle name="20% - Accent5 4 2 4 5 2 2" xfId="45629"/>
    <cellStyle name="20% - Accent5 4 2 4 5 3" xfId="35985"/>
    <cellStyle name="20% - Accent5 4 2 4 6" xfId="21065"/>
    <cellStyle name="20% - Accent5 4 2 4 6 2" xfId="40820"/>
    <cellStyle name="20% - Accent5 4 2 4 7" xfId="31176"/>
    <cellStyle name="20% - Accent5 4 2 5" xfId="4174"/>
    <cellStyle name="20% - Accent5 4 2 5 2" xfId="4175"/>
    <cellStyle name="20% - Accent5 4 2 5 2 2" xfId="4176"/>
    <cellStyle name="20% - Accent5 4 2 5 2 2 2" xfId="19466"/>
    <cellStyle name="20% - Accent5 4 2 5 2 2 2 2" xfId="29182"/>
    <cellStyle name="20% - Accent5 4 2 5 2 2 2 2 2" xfId="48936"/>
    <cellStyle name="20% - Accent5 4 2 5 2 2 2 3" xfId="39292"/>
    <cellStyle name="20% - Accent5 4 2 5 2 2 3" xfId="24372"/>
    <cellStyle name="20% - Accent5 4 2 5 2 2 3 2" xfId="44127"/>
    <cellStyle name="20% - Accent5 4 2 5 2 2 4" xfId="34483"/>
    <cellStyle name="20% - Accent5 4 2 5 2 3" xfId="19465"/>
    <cellStyle name="20% - Accent5 4 2 5 2 3 2" xfId="29181"/>
    <cellStyle name="20% - Accent5 4 2 5 2 3 2 2" xfId="48935"/>
    <cellStyle name="20% - Accent5 4 2 5 2 3 3" xfId="39291"/>
    <cellStyle name="20% - Accent5 4 2 5 2 4" xfId="24371"/>
    <cellStyle name="20% - Accent5 4 2 5 2 4 2" xfId="44126"/>
    <cellStyle name="20% - Accent5 4 2 5 2 5" xfId="34482"/>
    <cellStyle name="20% - Accent5 4 2 5 3" xfId="4177"/>
    <cellStyle name="20% - Accent5 4 2 5 3 2" xfId="19467"/>
    <cellStyle name="20% - Accent5 4 2 5 3 2 2" xfId="29183"/>
    <cellStyle name="20% - Accent5 4 2 5 3 2 2 2" xfId="48937"/>
    <cellStyle name="20% - Accent5 4 2 5 3 2 3" xfId="39293"/>
    <cellStyle name="20% - Accent5 4 2 5 3 3" xfId="24373"/>
    <cellStyle name="20% - Accent5 4 2 5 3 3 2" xfId="44128"/>
    <cellStyle name="20% - Accent5 4 2 5 3 4" xfId="34484"/>
    <cellStyle name="20% - Accent5 4 2 5 4" xfId="19464"/>
    <cellStyle name="20% - Accent5 4 2 5 4 2" xfId="29180"/>
    <cellStyle name="20% - Accent5 4 2 5 4 2 2" xfId="48934"/>
    <cellStyle name="20% - Accent5 4 2 5 4 3" xfId="39290"/>
    <cellStyle name="20% - Accent5 4 2 5 5" xfId="24370"/>
    <cellStyle name="20% - Accent5 4 2 5 5 2" xfId="44125"/>
    <cellStyle name="20% - Accent5 4 2 5 6" xfId="34481"/>
    <cellStyle name="20% - Accent5 4 2 6" xfId="4178"/>
    <cellStyle name="20% - Accent5 4 2 6 2" xfId="4179"/>
    <cellStyle name="20% - Accent5 4 2 6 2 2" xfId="19469"/>
    <cellStyle name="20% - Accent5 4 2 6 2 2 2" xfId="29185"/>
    <cellStyle name="20% - Accent5 4 2 6 2 2 2 2" xfId="48939"/>
    <cellStyle name="20% - Accent5 4 2 6 2 2 3" xfId="39295"/>
    <cellStyle name="20% - Accent5 4 2 6 2 3" xfId="24375"/>
    <cellStyle name="20% - Accent5 4 2 6 2 3 2" xfId="44130"/>
    <cellStyle name="20% - Accent5 4 2 6 2 4" xfId="34486"/>
    <cellStyle name="20% - Accent5 4 2 6 3" xfId="19468"/>
    <cellStyle name="20% - Accent5 4 2 6 3 2" xfId="29184"/>
    <cellStyle name="20% - Accent5 4 2 6 3 2 2" xfId="48938"/>
    <cellStyle name="20% - Accent5 4 2 6 3 3" xfId="39294"/>
    <cellStyle name="20% - Accent5 4 2 6 4" xfId="24374"/>
    <cellStyle name="20% - Accent5 4 2 6 4 2" xfId="44129"/>
    <cellStyle name="20% - Accent5 4 2 6 5" xfId="34485"/>
    <cellStyle name="20% - Accent5 4 2 7" xfId="4180"/>
    <cellStyle name="20% - Accent5 4 2 7 2" xfId="4181"/>
    <cellStyle name="20% - Accent5 4 2 7 2 2" xfId="19471"/>
    <cellStyle name="20% - Accent5 4 2 7 2 2 2" xfId="29187"/>
    <cellStyle name="20% - Accent5 4 2 7 2 2 2 2" xfId="48941"/>
    <cellStyle name="20% - Accent5 4 2 7 2 2 3" xfId="39297"/>
    <cellStyle name="20% - Accent5 4 2 7 2 3" xfId="24377"/>
    <cellStyle name="20% - Accent5 4 2 7 2 3 2" xfId="44132"/>
    <cellStyle name="20% - Accent5 4 2 7 2 4" xfId="34488"/>
    <cellStyle name="20% - Accent5 4 2 7 3" xfId="19470"/>
    <cellStyle name="20% - Accent5 4 2 7 3 2" xfId="29186"/>
    <cellStyle name="20% - Accent5 4 2 7 3 2 2" xfId="48940"/>
    <cellStyle name="20% - Accent5 4 2 7 3 3" xfId="39296"/>
    <cellStyle name="20% - Accent5 4 2 7 4" xfId="24376"/>
    <cellStyle name="20% - Accent5 4 2 7 4 2" xfId="44131"/>
    <cellStyle name="20% - Accent5 4 2 7 5" xfId="34487"/>
    <cellStyle name="20% - Accent5 4 2 8" xfId="4182"/>
    <cellStyle name="20% - Accent5 4 2 8 2" xfId="19472"/>
    <cellStyle name="20% - Accent5 4 2 8 2 2" xfId="29188"/>
    <cellStyle name="20% - Accent5 4 2 8 2 2 2" xfId="48942"/>
    <cellStyle name="20% - Accent5 4 2 8 2 3" xfId="39298"/>
    <cellStyle name="20% - Accent5 4 2 8 3" xfId="24378"/>
    <cellStyle name="20% - Accent5 4 2 8 3 2" xfId="44133"/>
    <cellStyle name="20% - Accent5 4 2 8 4" xfId="34489"/>
    <cellStyle name="20% - Accent5 4 2 9" xfId="4183"/>
    <cellStyle name="20% - Accent5 4 2 9 2" xfId="19473"/>
    <cellStyle name="20% - Accent5 4 2 9 2 2" xfId="29189"/>
    <cellStyle name="20% - Accent5 4 2 9 2 2 2" xfId="48943"/>
    <cellStyle name="20% - Accent5 4 2 9 2 3" xfId="39299"/>
    <cellStyle name="20% - Accent5 4 2 9 3" xfId="24379"/>
    <cellStyle name="20% - Accent5 4 2 9 3 2" xfId="44134"/>
    <cellStyle name="20% - Accent5 4 2 9 4" xfId="34490"/>
    <cellStyle name="20% - Accent5 4 3" xfId="89"/>
    <cellStyle name="20% - Accent5 4 3 10" xfId="15880"/>
    <cellStyle name="20% - Accent5 4 3 10 2" xfId="25596"/>
    <cellStyle name="20% - Accent5 4 3 10 2 2" xfId="45350"/>
    <cellStyle name="20% - Accent5 4 3 10 3" xfId="35706"/>
    <cellStyle name="20% - Accent5 4 3 11" xfId="20755"/>
    <cellStyle name="20% - Accent5 4 3 11 2" xfId="40535"/>
    <cellStyle name="20% - Accent5 4 3 12" xfId="30491"/>
    <cellStyle name="20% - Accent5 4 3 12 2" xfId="50239"/>
    <cellStyle name="20% - Accent5 4 3 13" xfId="30866"/>
    <cellStyle name="20% - Accent5 4 3 2" xfId="813"/>
    <cellStyle name="20% - Accent5 4 3 2 2" xfId="4184"/>
    <cellStyle name="20% - Accent5 4 3 2 2 2" xfId="4185"/>
    <cellStyle name="20% - Accent5 4 3 2 2 2 2" xfId="4186"/>
    <cellStyle name="20% - Accent5 4 3 2 2 2 2 2" xfId="19476"/>
    <cellStyle name="20% - Accent5 4 3 2 2 2 2 2 2" xfId="29192"/>
    <cellStyle name="20% - Accent5 4 3 2 2 2 2 2 2 2" xfId="48946"/>
    <cellStyle name="20% - Accent5 4 3 2 2 2 2 2 3" xfId="39302"/>
    <cellStyle name="20% - Accent5 4 3 2 2 2 2 3" xfId="24382"/>
    <cellStyle name="20% - Accent5 4 3 2 2 2 2 3 2" xfId="44137"/>
    <cellStyle name="20% - Accent5 4 3 2 2 2 2 4" xfId="34493"/>
    <cellStyle name="20% - Accent5 4 3 2 2 2 3" xfId="19475"/>
    <cellStyle name="20% - Accent5 4 3 2 2 2 3 2" xfId="29191"/>
    <cellStyle name="20% - Accent5 4 3 2 2 2 3 2 2" xfId="48945"/>
    <cellStyle name="20% - Accent5 4 3 2 2 2 3 3" xfId="39301"/>
    <cellStyle name="20% - Accent5 4 3 2 2 2 4" xfId="24381"/>
    <cellStyle name="20% - Accent5 4 3 2 2 2 4 2" xfId="44136"/>
    <cellStyle name="20% - Accent5 4 3 2 2 2 5" xfId="34492"/>
    <cellStyle name="20% - Accent5 4 3 2 2 3" xfId="4187"/>
    <cellStyle name="20% - Accent5 4 3 2 2 3 2" xfId="19477"/>
    <cellStyle name="20% - Accent5 4 3 2 2 3 2 2" xfId="29193"/>
    <cellStyle name="20% - Accent5 4 3 2 2 3 2 2 2" xfId="48947"/>
    <cellStyle name="20% - Accent5 4 3 2 2 3 2 3" xfId="39303"/>
    <cellStyle name="20% - Accent5 4 3 2 2 3 3" xfId="24383"/>
    <cellStyle name="20% - Accent5 4 3 2 2 3 3 2" xfId="44138"/>
    <cellStyle name="20% - Accent5 4 3 2 2 3 4" xfId="34494"/>
    <cellStyle name="20% - Accent5 4 3 2 2 4" xfId="19474"/>
    <cellStyle name="20% - Accent5 4 3 2 2 4 2" xfId="29190"/>
    <cellStyle name="20% - Accent5 4 3 2 2 4 2 2" xfId="48944"/>
    <cellStyle name="20% - Accent5 4 3 2 2 4 3" xfId="39300"/>
    <cellStyle name="20% - Accent5 4 3 2 2 5" xfId="24380"/>
    <cellStyle name="20% - Accent5 4 3 2 2 5 2" xfId="44135"/>
    <cellStyle name="20% - Accent5 4 3 2 2 6" xfId="34491"/>
    <cellStyle name="20% - Accent5 4 3 2 3" xfId="4188"/>
    <cellStyle name="20% - Accent5 4 3 2 3 2" xfId="4189"/>
    <cellStyle name="20% - Accent5 4 3 2 3 2 2" xfId="19479"/>
    <cellStyle name="20% - Accent5 4 3 2 3 2 2 2" xfId="29195"/>
    <cellStyle name="20% - Accent5 4 3 2 3 2 2 2 2" xfId="48949"/>
    <cellStyle name="20% - Accent5 4 3 2 3 2 2 3" xfId="39305"/>
    <cellStyle name="20% - Accent5 4 3 2 3 2 3" xfId="24385"/>
    <cellStyle name="20% - Accent5 4 3 2 3 2 3 2" xfId="44140"/>
    <cellStyle name="20% - Accent5 4 3 2 3 2 4" xfId="34496"/>
    <cellStyle name="20% - Accent5 4 3 2 3 3" xfId="19478"/>
    <cellStyle name="20% - Accent5 4 3 2 3 3 2" xfId="29194"/>
    <cellStyle name="20% - Accent5 4 3 2 3 3 2 2" xfId="48948"/>
    <cellStyle name="20% - Accent5 4 3 2 3 3 3" xfId="39304"/>
    <cellStyle name="20% - Accent5 4 3 2 3 4" xfId="24384"/>
    <cellStyle name="20% - Accent5 4 3 2 3 4 2" xfId="44139"/>
    <cellStyle name="20% - Accent5 4 3 2 3 5" xfId="34495"/>
    <cellStyle name="20% - Accent5 4 3 2 4" xfId="4190"/>
    <cellStyle name="20% - Accent5 4 3 2 4 2" xfId="19480"/>
    <cellStyle name="20% - Accent5 4 3 2 4 2 2" xfId="29196"/>
    <cellStyle name="20% - Accent5 4 3 2 4 2 2 2" xfId="48950"/>
    <cellStyle name="20% - Accent5 4 3 2 4 2 3" xfId="39306"/>
    <cellStyle name="20% - Accent5 4 3 2 4 3" xfId="24386"/>
    <cellStyle name="20% - Accent5 4 3 2 4 3 2" xfId="44141"/>
    <cellStyle name="20% - Accent5 4 3 2 4 4" xfId="34497"/>
    <cellStyle name="20% - Accent5 4 3 2 5" xfId="16160"/>
    <cellStyle name="20% - Accent5 4 3 2 5 2" xfId="25876"/>
    <cellStyle name="20% - Accent5 4 3 2 5 2 2" xfId="45630"/>
    <cellStyle name="20% - Accent5 4 3 2 5 3" xfId="35986"/>
    <cellStyle name="20% - Accent5 4 3 2 6" xfId="21066"/>
    <cellStyle name="20% - Accent5 4 3 2 6 2" xfId="40821"/>
    <cellStyle name="20% - Accent5 4 3 2 7" xfId="31177"/>
    <cellStyle name="20% - Accent5 4 3 3" xfId="814"/>
    <cellStyle name="20% - Accent5 4 3 3 2" xfId="4191"/>
    <cellStyle name="20% - Accent5 4 3 3 2 2" xfId="4192"/>
    <cellStyle name="20% - Accent5 4 3 3 2 2 2" xfId="4193"/>
    <cellStyle name="20% - Accent5 4 3 3 2 2 2 2" xfId="19483"/>
    <cellStyle name="20% - Accent5 4 3 3 2 2 2 2 2" xfId="29199"/>
    <cellStyle name="20% - Accent5 4 3 3 2 2 2 2 2 2" xfId="48953"/>
    <cellStyle name="20% - Accent5 4 3 3 2 2 2 2 3" xfId="39309"/>
    <cellStyle name="20% - Accent5 4 3 3 2 2 2 3" xfId="24389"/>
    <cellStyle name="20% - Accent5 4 3 3 2 2 2 3 2" xfId="44144"/>
    <cellStyle name="20% - Accent5 4 3 3 2 2 2 4" xfId="34500"/>
    <cellStyle name="20% - Accent5 4 3 3 2 2 3" xfId="19482"/>
    <cellStyle name="20% - Accent5 4 3 3 2 2 3 2" xfId="29198"/>
    <cellStyle name="20% - Accent5 4 3 3 2 2 3 2 2" xfId="48952"/>
    <cellStyle name="20% - Accent5 4 3 3 2 2 3 3" xfId="39308"/>
    <cellStyle name="20% - Accent5 4 3 3 2 2 4" xfId="24388"/>
    <cellStyle name="20% - Accent5 4 3 3 2 2 4 2" xfId="44143"/>
    <cellStyle name="20% - Accent5 4 3 3 2 2 5" xfId="34499"/>
    <cellStyle name="20% - Accent5 4 3 3 2 3" xfId="4194"/>
    <cellStyle name="20% - Accent5 4 3 3 2 3 2" xfId="19484"/>
    <cellStyle name="20% - Accent5 4 3 3 2 3 2 2" xfId="29200"/>
    <cellStyle name="20% - Accent5 4 3 3 2 3 2 2 2" xfId="48954"/>
    <cellStyle name="20% - Accent5 4 3 3 2 3 2 3" xfId="39310"/>
    <cellStyle name="20% - Accent5 4 3 3 2 3 3" xfId="24390"/>
    <cellStyle name="20% - Accent5 4 3 3 2 3 3 2" xfId="44145"/>
    <cellStyle name="20% - Accent5 4 3 3 2 3 4" xfId="34501"/>
    <cellStyle name="20% - Accent5 4 3 3 2 4" xfId="19481"/>
    <cellStyle name="20% - Accent5 4 3 3 2 4 2" xfId="29197"/>
    <cellStyle name="20% - Accent5 4 3 3 2 4 2 2" xfId="48951"/>
    <cellStyle name="20% - Accent5 4 3 3 2 4 3" xfId="39307"/>
    <cellStyle name="20% - Accent5 4 3 3 2 5" xfId="24387"/>
    <cellStyle name="20% - Accent5 4 3 3 2 5 2" xfId="44142"/>
    <cellStyle name="20% - Accent5 4 3 3 2 6" xfId="34498"/>
    <cellStyle name="20% - Accent5 4 3 3 3" xfId="4195"/>
    <cellStyle name="20% - Accent5 4 3 3 3 2" xfId="4196"/>
    <cellStyle name="20% - Accent5 4 3 3 3 2 2" xfId="19486"/>
    <cellStyle name="20% - Accent5 4 3 3 3 2 2 2" xfId="29202"/>
    <cellStyle name="20% - Accent5 4 3 3 3 2 2 2 2" xfId="48956"/>
    <cellStyle name="20% - Accent5 4 3 3 3 2 2 3" xfId="39312"/>
    <cellStyle name="20% - Accent5 4 3 3 3 2 3" xfId="24392"/>
    <cellStyle name="20% - Accent5 4 3 3 3 2 3 2" xfId="44147"/>
    <cellStyle name="20% - Accent5 4 3 3 3 2 4" xfId="34503"/>
    <cellStyle name="20% - Accent5 4 3 3 3 3" xfId="19485"/>
    <cellStyle name="20% - Accent5 4 3 3 3 3 2" xfId="29201"/>
    <cellStyle name="20% - Accent5 4 3 3 3 3 2 2" xfId="48955"/>
    <cellStyle name="20% - Accent5 4 3 3 3 3 3" xfId="39311"/>
    <cellStyle name="20% - Accent5 4 3 3 3 4" xfId="24391"/>
    <cellStyle name="20% - Accent5 4 3 3 3 4 2" xfId="44146"/>
    <cellStyle name="20% - Accent5 4 3 3 3 5" xfId="34502"/>
    <cellStyle name="20% - Accent5 4 3 3 4" xfId="4197"/>
    <cellStyle name="20% - Accent5 4 3 3 4 2" xfId="19487"/>
    <cellStyle name="20% - Accent5 4 3 3 4 2 2" xfId="29203"/>
    <cellStyle name="20% - Accent5 4 3 3 4 2 2 2" xfId="48957"/>
    <cellStyle name="20% - Accent5 4 3 3 4 2 3" xfId="39313"/>
    <cellStyle name="20% - Accent5 4 3 3 4 3" xfId="24393"/>
    <cellStyle name="20% - Accent5 4 3 3 4 3 2" xfId="44148"/>
    <cellStyle name="20% - Accent5 4 3 3 4 4" xfId="34504"/>
    <cellStyle name="20% - Accent5 4 3 3 5" xfId="16161"/>
    <cellStyle name="20% - Accent5 4 3 3 5 2" xfId="25877"/>
    <cellStyle name="20% - Accent5 4 3 3 5 2 2" xfId="45631"/>
    <cellStyle name="20% - Accent5 4 3 3 5 3" xfId="35987"/>
    <cellStyle name="20% - Accent5 4 3 3 6" xfId="21067"/>
    <cellStyle name="20% - Accent5 4 3 3 6 2" xfId="40822"/>
    <cellStyle name="20% - Accent5 4 3 3 7" xfId="31178"/>
    <cellStyle name="20% - Accent5 4 3 4" xfId="4198"/>
    <cellStyle name="20% - Accent5 4 3 4 2" xfId="4199"/>
    <cellStyle name="20% - Accent5 4 3 4 2 2" xfId="4200"/>
    <cellStyle name="20% - Accent5 4 3 4 2 2 2" xfId="19490"/>
    <cellStyle name="20% - Accent5 4 3 4 2 2 2 2" xfId="29206"/>
    <cellStyle name="20% - Accent5 4 3 4 2 2 2 2 2" xfId="48960"/>
    <cellStyle name="20% - Accent5 4 3 4 2 2 2 3" xfId="39316"/>
    <cellStyle name="20% - Accent5 4 3 4 2 2 3" xfId="24396"/>
    <cellStyle name="20% - Accent5 4 3 4 2 2 3 2" xfId="44151"/>
    <cellStyle name="20% - Accent5 4 3 4 2 2 4" xfId="34507"/>
    <cellStyle name="20% - Accent5 4 3 4 2 3" xfId="19489"/>
    <cellStyle name="20% - Accent5 4 3 4 2 3 2" xfId="29205"/>
    <cellStyle name="20% - Accent5 4 3 4 2 3 2 2" xfId="48959"/>
    <cellStyle name="20% - Accent5 4 3 4 2 3 3" xfId="39315"/>
    <cellStyle name="20% - Accent5 4 3 4 2 4" xfId="24395"/>
    <cellStyle name="20% - Accent5 4 3 4 2 4 2" xfId="44150"/>
    <cellStyle name="20% - Accent5 4 3 4 2 5" xfId="34506"/>
    <cellStyle name="20% - Accent5 4 3 4 3" xfId="4201"/>
    <cellStyle name="20% - Accent5 4 3 4 3 2" xfId="19491"/>
    <cellStyle name="20% - Accent5 4 3 4 3 2 2" xfId="29207"/>
    <cellStyle name="20% - Accent5 4 3 4 3 2 2 2" xfId="48961"/>
    <cellStyle name="20% - Accent5 4 3 4 3 2 3" xfId="39317"/>
    <cellStyle name="20% - Accent5 4 3 4 3 3" xfId="24397"/>
    <cellStyle name="20% - Accent5 4 3 4 3 3 2" xfId="44152"/>
    <cellStyle name="20% - Accent5 4 3 4 3 4" xfId="34508"/>
    <cellStyle name="20% - Accent5 4 3 4 4" xfId="19488"/>
    <cellStyle name="20% - Accent5 4 3 4 4 2" xfId="29204"/>
    <cellStyle name="20% - Accent5 4 3 4 4 2 2" xfId="48958"/>
    <cellStyle name="20% - Accent5 4 3 4 4 3" xfId="39314"/>
    <cellStyle name="20% - Accent5 4 3 4 5" xfId="24394"/>
    <cellStyle name="20% - Accent5 4 3 4 5 2" xfId="44149"/>
    <cellStyle name="20% - Accent5 4 3 4 6" xfId="34505"/>
    <cellStyle name="20% - Accent5 4 3 5" xfId="4202"/>
    <cellStyle name="20% - Accent5 4 3 5 2" xfId="4203"/>
    <cellStyle name="20% - Accent5 4 3 5 2 2" xfId="19493"/>
    <cellStyle name="20% - Accent5 4 3 5 2 2 2" xfId="29209"/>
    <cellStyle name="20% - Accent5 4 3 5 2 2 2 2" xfId="48963"/>
    <cellStyle name="20% - Accent5 4 3 5 2 2 3" xfId="39319"/>
    <cellStyle name="20% - Accent5 4 3 5 2 3" xfId="24399"/>
    <cellStyle name="20% - Accent5 4 3 5 2 3 2" xfId="44154"/>
    <cellStyle name="20% - Accent5 4 3 5 2 4" xfId="34510"/>
    <cellStyle name="20% - Accent5 4 3 5 3" xfId="19492"/>
    <cellStyle name="20% - Accent5 4 3 5 3 2" xfId="29208"/>
    <cellStyle name="20% - Accent5 4 3 5 3 2 2" xfId="48962"/>
    <cellStyle name="20% - Accent5 4 3 5 3 3" xfId="39318"/>
    <cellStyle name="20% - Accent5 4 3 5 4" xfId="24398"/>
    <cellStyle name="20% - Accent5 4 3 5 4 2" xfId="44153"/>
    <cellStyle name="20% - Accent5 4 3 5 5" xfId="34509"/>
    <cellStyle name="20% - Accent5 4 3 6" xfId="4204"/>
    <cellStyle name="20% - Accent5 4 3 6 2" xfId="19494"/>
    <cellStyle name="20% - Accent5 4 3 6 2 2" xfId="29210"/>
    <cellStyle name="20% - Accent5 4 3 6 2 2 2" xfId="48964"/>
    <cellStyle name="20% - Accent5 4 3 6 2 3" xfId="39320"/>
    <cellStyle name="20% - Accent5 4 3 6 3" xfId="24400"/>
    <cellStyle name="20% - Accent5 4 3 6 3 2" xfId="44155"/>
    <cellStyle name="20% - Accent5 4 3 6 4" xfId="34511"/>
    <cellStyle name="20% - Accent5 4 3 7" xfId="4205"/>
    <cellStyle name="20% - Accent5 4 3 7 2" xfId="19495"/>
    <cellStyle name="20% - Accent5 4 3 7 2 2" xfId="29211"/>
    <cellStyle name="20% - Accent5 4 3 7 2 2 2" xfId="48965"/>
    <cellStyle name="20% - Accent5 4 3 7 2 3" xfId="39321"/>
    <cellStyle name="20% - Accent5 4 3 7 3" xfId="24401"/>
    <cellStyle name="20% - Accent5 4 3 7 3 2" xfId="44156"/>
    <cellStyle name="20% - Accent5 4 3 7 4" xfId="34512"/>
    <cellStyle name="20% - Accent5 4 3 8" xfId="4206"/>
    <cellStyle name="20% - Accent5 4 3 8 2" xfId="19496"/>
    <cellStyle name="20% - Accent5 4 3 8 2 2" xfId="29212"/>
    <cellStyle name="20% - Accent5 4 3 8 2 2 2" xfId="48966"/>
    <cellStyle name="20% - Accent5 4 3 8 2 3" xfId="39322"/>
    <cellStyle name="20% - Accent5 4 3 8 3" xfId="24402"/>
    <cellStyle name="20% - Accent5 4 3 8 3 2" xfId="44157"/>
    <cellStyle name="20% - Accent5 4 3 8 4" xfId="34513"/>
    <cellStyle name="20% - Accent5 4 3 9" xfId="15477"/>
    <cellStyle name="20% - Accent5 4 3 9 2" xfId="20349"/>
    <cellStyle name="20% - Accent5 4 3 9 2 2" xfId="30063"/>
    <cellStyle name="20% - Accent5 4 3 9 2 2 2" xfId="49816"/>
    <cellStyle name="20% - Accent5 4 3 9 2 3" xfId="40172"/>
    <cellStyle name="20% - Accent5 4 3 9 3" xfId="25251"/>
    <cellStyle name="20% - Accent5 4 3 9 3 2" xfId="45005"/>
    <cellStyle name="20% - Accent5 4 3 9 4" xfId="35361"/>
    <cellStyle name="20% - Accent5 4 4" xfId="815"/>
    <cellStyle name="20% - Accent5 4 4 2" xfId="4207"/>
    <cellStyle name="20% - Accent5 4 4 2 2" xfId="4208"/>
    <cellStyle name="20% - Accent5 4 4 2 2 2" xfId="4209"/>
    <cellStyle name="20% - Accent5 4 4 2 2 2 2" xfId="19499"/>
    <cellStyle name="20% - Accent5 4 4 2 2 2 2 2" xfId="29215"/>
    <cellStyle name="20% - Accent5 4 4 2 2 2 2 2 2" xfId="48969"/>
    <cellStyle name="20% - Accent5 4 4 2 2 2 2 3" xfId="39325"/>
    <cellStyle name="20% - Accent5 4 4 2 2 2 3" xfId="24405"/>
    <cellStyle name="20% - Accent5 4 4 2 2 2 3 2" xfId="44160"/>
    <cellStyle name="20% - Accent5 4 4 2 2 2 4" xfId="34516"/>
    <cellStyle name="20% - Accent5 4 4 2 2 3" xfId="19498"/>
    <cellStyle name="20% - Accent5 4 4 2 2 3 2" xfId="29214"/>
    <cellStyle name="20% - Accent5 4 4 2 2 3 2 2" xfId="48968"/>
    <cellStyle name="20% - Accent5 4 4 2 2 3 3" xfId="39324"/>
    <cellStyle name="20% - Accent5 4 4 2 2 4" xfId="24404"/>
    <cellStyle name="20% - Accent5 4 4 2 2 4 2" xfId="44159"/>
    <cellStyle name="20% - Accent5 4 4 2 2 5" xfId="34515"/>
    <cellStyle name="20% - Accent5 4 4 2 3" xfId="4210"/>
    <cellStyle name="20% - Accent5 4 4 2 3 2" xfId="19500"/>
    <cellStyle name="20% - Accent5 4 4 2 3 2 2" xfId="29216"/>
    <cellStyle name="20% - Accent5 4 4 2 3 2 2 2" xfId="48970"/>
    <cellStyle name="20% - Accent5 4 4 2 3 2 3" xfId="39326"/>
    <cellStyle name="20% - Accent5 4 4 2 3 3" xfId="24406"/>
    <cellStyle name="20% - Accent5 4 4 2 3 3 2" xfId="44161"/>
    <cellStyle name="20% - Accent5 4 4 2 3 4" xfId="34517"/>
    <cellStyle name="20% - Accent5 4 4 2 4" xfId="19497"/>
    <cellStyle name="20% - Accent5 4 4 2 4 2" xfId="29213"/>
    <cellStyle name="20% - Accent5 4 4 2 4 2 2" xfId="48967"/>
    <cellStyle name="20% - Accent5 4 4 2 4 3" xfId="39323"/>
    <cellStyle name="20% - Accent5 4 4 2 5" xfId="24403"/>
    <cellStyle name="20% - Accent5 4 4 2 5 2" xfId="44158"/>
    <cellStyle name="20% - Accent5 4 4 2 6" xfId="34514"/>
    <cellStyle name="20% - Accent5 4 4 3" xfId="4211"/>
    <cellStyle name="20% - Accent5 4 4 3 2" xfId="4212"/>
    <cellStyle name="20% - Accent5 4 4 3 2 2" xfId="19502"/>
    <cellStyle name="20% - Accent5 4 4 3 2 2 2" xfId="29218"/>
    <cellStyle name="20% - Accent5 4 4 3 2 2 2 2" xfId="48972"/>
    <cellStyle name="20% - Accent5 4 4 3 2 2 3" xfId="39328"/>
    <cellStyle name="20% - Accent5 4 4 3 2 3" xfId="24408"/>
    <cellStyle name="20% - Accent5 4 4 3 2 3 2" xfId="44163"/>
    <cellStyle name="20% - Accent5 4 4 3 2 4" xfId="34519"/>
    <cellStyle name="20% - Accent5 4 4 3 3" xfId="19501"/>
    <cellStyle name="20% - Accent5 4 4 3 3 2" xfId="29217"/>
    <cellStyle name="20% - Accent5 4 4 3 3 2 2" xfId="48971"/>
    <cellStyle name="20% - Accent5 4 4 3 3 3" xfId="39327"/>
    <cellStyle name="20% - Accent5 4 4 3 4" xfId="24407"/>
    <cellStyle name="20% - Accent5 4 4 3 4 2" xfId="44162"/>
    <cellStyle name="20% - Accent5 4 4 3 5" xfId="34518"/>
    <cellStyle name="20% - Accent5 4 4 4" xfId="4213"/>
    <cellStyle name="20% - Accent5 4 4 4 2" xfId="19503"/>
    <cellStyle name="20% - Accent5 4 4 4 2 2" xfId="29219"/>
    <cellStyle name="20% - Accent5 4 4 4 2 2 2" xfId="48973"/>
    <cellStyle name="20% - Accent5 4 4 4 2 3" xfId="39329"/>
    <cellStyle name="20% - Accent5 4 4 4 3" xfId="24409"/>
    <cellStyle name="20% - Accent5 4 4 4 3 2" xfId="44164"/>
    <cellStyle name="20% - Accent5 4 4 4 4" xfId="34520"/>
    <cellStyle name="20% - Accent5 4 4 5" xfId="16162"/>
    <cellStyle name="20% - Accent5 4 4 5 2" xfId="25878"/>
    <cellStyle name="20% - Accent5 4 4 5 2 2" xfId="45632"/>
    <cellStyle name="20% - Accent5 4 4 5 3" xfId="35988"/>
    <cellStyle name="20% - Accent5 4 4 6" xfId="21068"/>
    <cellStyle name="20% - Accent5 4 4 6 2" xfId="40823"/>
    <cellStyle name="20% - Accent5 4 4 7" xfId="31179"/>
    <cellStyle name="20% - Accent5 4 5" xfId="816"/>
    <cellStyle name="20% - Accent5 4 5 2" xfId="4214"/>
    <cellStyle name="20% - Accent5 4 5 2 2" xfId="4215"/>
    <cellStyle name="20% - Accent5 4 5 2 2 2" xfId="4216"/>
    <cellStyle name="20% - Accent5 4 5 2 2 2 2" xfId="19506"/>
    <cellStyle name="20% - Accent5 4 5 2 2 2 2 2" xfId="29222"/>
    <cellStyle name="20% - Accent5 4 5 2 2 2 2 2 2" xfId="48976"/>
    <cellStyle name="20% - Accent5 4 5 2 2 2 2 3" xfId="39332"/>
    <cellStyle name="20% - Accent5 4 5 2 2 2 3" xfId="24412"/>
    <cellStyle name="20% - Accent5 4 5 2 2 2 3 2" xfId="44167"/>
    <cellStyle name="20% - Accent5 4 5 2 2 2 4" xfId="34523"/>
    <cellStyle name="20% - Accent5 4 5 2 2 3" xfId="19505"/>
    <cellStyle name="20% - Accent5 4 5 2 2 3 2" xfId="29221"/>
    <cellStyle name="20% - Accent5 4 5 2 2 3 2 2" xfId="48975"/>
    <cellStyle name="20% - Accent5 4 5 2 2 3 3" xfId="39331"/>
    <cellStyle name="20% - Accent5 4 5 2 2 4" xfId="24411"/>
    <cellStyle name="20% - Accent5 4 5 2 2 4 2" xfId="44166"/>
    <cellStyle name="20% - Accent5 4 5 2 2 5" xfId="34522"/>
    <cellStyle name="20% - Accent5 4 5 2 3" xfId="4217"/>
    <cellStyle name="20% - Accent5 4 5 2 3 2" xfId="19507"/>
    <cellStyle name="20% - Accent5 4 5 2 3 2 2" xfId="29223"/>
    <cellStyle name="20% - Accent5 4 5 2 3 2 2 2" xfId="48977"/>
    <cellStyle name="20% - Accent5 4 5 2 3 2 3" xfId="39333"/>
    <cellStyle name="20% - Accent5 4 5 2 3 3" xfId="24413"/>
    <cellStyle name="20% - Accent5 4 5 2 3 3 2" xfId="44168"/>
    <cellStyle name="20% - Accent5 4 5 2 3 4" xfId="34524"/>
    <cellStyle name="20% - Accent5 4 5 2 4" xfId="19504"/>
    <cellStyle name="20% - Accent5 4 5 2 4 2" xfId="29220"/>
    <cellStyle name="20% - Accent5 4 5 2 4 2 2" xfId="48974"/>
    <cellStyle name="20% - Accent5 4 5 2 4 3" xfId="39330"/>
    <cellStyle name="20% - Accent5 4 5 2 5" xfId="24410"/>
    <cellStyle name="20% - Accent5 4 5 2 5 2" xfId="44165"/>
    <cellStyle name="20% - Accent5 4 5 2 6" xfId="34521"/>
    <cellStyle name="20% - Accent5 4 5 3" xfId="4218"/>
    <cellStyle name="20% - Accent5 4 5 3 2" xfId="4219"/>
    <cellStyle name="20% - Accent5 4 5 3 2 2" xfId="19509"/>
    <cellStyle name="20% - Accent5 4 5 3 2 2 2" xfId="29225"/>
    <cellStyle name="20% - Accent5 4 5 3 2 2 2 2" xfId="48979"/>
    <cellStyle name="20% - Accent5 4 5 3 2 2 3" xfId="39335"/>
    <cellStyle name="20% - Accent5 4 5 3 2 3" xfId="24415"/>
    <cellStyle name="20% - Accent5 4 5 3 2 3 2" xfId="44170"/>
    <cellStyle name="20% - Accent5 4 5 3 2 4" xfId="34526"/>
    <cellStyle name="20% - Accent5 4 5 3 3" xfId="19508"/>
    <cellStyle name="20% - Accent5 4 5 3 3 2" xfId="29224"/>
    <cellStyle name="20% - Accent5 4 5 3 3 2 2" xfId="48978"/>
    <cellStyle name="20% - Accent5 4 5 3 3 3" xfId="39334"/>
    <cellStyle name="20% - Accent5 4 5 3 4" xfId="24414"/>
    <cellStyle name="20% - Accent5 4 5 3 4 2" xfId="44169"/>
    <cellStyle name="20% - Accent5 4 5 3 5" xfId="34525"/>
    <cellStyle name="20% - Accent5 4 5 4" xfId="4220"/>
    <cellStyle name="20% - Accent5 4 5 4 2" xfId="19510"/>
    <cellStyle name="20% - Accent5 4 5 4 2 2" xfId="29226"/>
    <cellStyle name="20% - Accent5 4 5 4 2 2 2" xfId="48980"/>
    <cellStyle name="20% - Accent5 4 5 4 2 3" xfId="39336"/>
    <cellStyle name="20% - Accent5 4 5 4 3" xfId="24416"/>
    <cellStyle name="20% - Accent5 4 5 4 3 2" xfId="44171"/>
    <cellStyle name="20% - Accent5 4 5 4 4" xfId="34527"/>
    <cellStyle name="20% - Accent5 4 5 5" xfId="16163"/>
    <cellStyle name="20% - Accent5 4 5 5 2" xfId="25879"/>
    <cellStyle name="20% - Accent5 4 5 5 2 2" xfId="45633"/>
    <cellStyle name="20% - Accent5 4 5 5 3" xfId="35989"/>
    <cellStyle name="20% - Accent5 4 5 6" xfId="21069"/>
    <cellStyle name="20% - Accent5 4 5 6 2" xfId="40824"/>
    <cellStyle name="20% - Accent5 4 5 7" xfId="31180"/>
    <cellStyle name="20% - Accent5 4 6" xfId="4221"/>
    <cellStyle name="20% - Accent5 4 6 2" xfId="4222"/>
    <cellStyle name="20% - Accent5 4 6 2 2" xfId="4223"/>
    <cellStyle name="20% - Accent5 4 6 2 2 2" xfId="19513"/>
    <cellStyle name="20% - Accent5 4 6 2 2 2 2" xfId="29229"/>
    <cellStyle name="20% - Accent5 4 6 2 2 2 2 2" xfId="48983"/>
    <cellStyle name="20% - Accent5 4 6 2 2 2 3" xfId="39339"/>
    <cellStyle name="20% - Accent5 4 6 2 2 3" xfId="24419"/>
    <cellStyle name="20% - Accent5 4 6 2 2 3 2" xfId="44174"/>
    <cellStyle name="20% - Accent5 4 6 2 2 4" xfId="34530"/>
    <cellStyle name="20% - Accent5 4 6 2 3" xfId="19512"/>
    <cellStyle name="20% - Accent5 4 6 2 3 2" xfId="29228"/>
    <cellStyle name="20% - Accent5 4 6 2 3 2 2" xfId="48982"/>
    <cellStyle name="20% - Accent5 4 6 2 3 3" xfId="39338"/>
    <cellStyle name="20% - Accent5 4 6 2 4" xfId="24418"/>
    <cellStyle name="20% - Accent5 4 6 2 4 2" xfId="44173"/>
    <cellStyle name="20% - Accent5 4 6 2 5" xfId="34529"/>
    <cellStyle name="20% - Accent5 4 6 3" xfId="4224"/>
    <cellStyle name="20% - Accent5 4 6 3 2" xfId="19514"/>
    <cellStyle name="20% - Accent5 4 6 3 2 2" xfId="29230"/>
    <cellStyle name="20% - Accent5 4 6 3 2 2 2" xfId="48984"/>
    <cellStyle name="20% - Accent5 4 6 3 2 3" xfId="39340"/>
    <cellStyle name="20% - Accent5 4 6 3 3" xfId="24420"/>
    <cellStyle name="20% - Accent5 4 6 3 3 2" xfId="44175"/>
    <cellStyle name="20% - Accent5 4 6 3 4" xfId="34531"/>
    <cellStyle name="20% - Accent5 4 6 4" xfId="19511"/>
    <cellStyle name="20% - Accent5 4 6 4 2" xfId="29227"/>
    <cellStyle name="20% - Accent5 4 6 4 2 2" xfId="48981"/>
    <cellStyle name="20% - Accent5 4 6 4 3" xfId="39337"/>
    <cellStyle name="20% - Accent5 4 6 5" xfId="24417"/>
    <cellStyle name="20% - Accent5 4 6 5 2" xfId="44172"/>
    <cellStyle name="20% - Accent5 4 6 6" xfId="34528"/>
    <cellStyle name="20% - Accent5 4 7" xfId="4225"/>
    <cellStyle name="20% - Accent5 4 7 2" xfId="4226"/>
    <cellStyle name="20% - Accent5 4 7 2 2" xfId="19516"/>
    <cellStyle name="20% - Accent5 4 7 2 2 2" xfId="29232"/>
    <cellStyle name="20% - Accent5 4 7 2 2 2 2" xfId="48986"/>
    <cellStyle name="20% - Accent5 4 7 2 2 3" xfId="39342"/>
    <cellStyle name="20% - Accent5 4 7 2 3" xfId="24422"/>
    <cellStyle name="20% - Accent5 4 7 2 3 2" xfId="44177"/>
    <cellStyle name="20% - Accent5 4 7 2 4" xfId="34533"/>
    <cellStyle name="20% - Accent5 4 7 3" xfId="19515"/>
    <cellStyle name="20% - Accent5 4 7 3 2" xfId="29231"/>
    <cellStyle name="20% - Accent5 4 7 3 2 2" xfId="48985"/>
    <cellStyle name="20% - Accent5 4 7 3 3" xfId="39341"/>
    <cellStyle name="20% - Accent5 4 7 4" xfId="24421"/>
    <cellStyle name="20% - Accent5 4 7 4 2" xfId="44176"/>
    <cellStyle name="20% - Accent5 4 7 5" xfId="34532"/>
    <cellStyle name="20% - Accent5 4 8" xfId="4227"/>
    <cellStyle name="20% - Accent5 4 8 2" xfId="4228"/>
    <cellStyle name="20% - Accent5 4 8 2 2" xfId="19518"/>
    <cellStyle name="20% - Accent5 4 8 2 2 2" xfId="29234"/>
    <cellStyle name="20% - Accent5 4 8 2 2 2 2" xfId="48988"/>
    <cellStyle name="20% - Accent5 4 8 2 2 3" xfId="39344"/>
    <cellStyle name="20% - Accent5 4 8 2 3" xfId="24424"/>
    <cellStyle name="20% - Accent5 4 8 2 3 2" xfId="44179"/>
    <cellStyle name="20% - Accent5 4 8 2 4" xfId="34535"/>
    <cellStyle name="20% - Accent5 4 8 3" xfId="19517"/>
    <cellStyle name="20% - Accent5 4 8 3 2" xfId="29233"/>
    <cellStyle name="20% - Accent5 4 8 3 2 2" xfId="48987"/>
    <cellStyle name="20% - Accent5 4 8 3 3" xfId="39343"/>
    <cellStyle name="20% - Accent5 4 8 4" xfId="24423"/>
    <cellStyle name="20% - Accent5 4 8 4 2" xfId="44178"/>
    <cellStyle name="20% - Accent5 4 8 5" xfId="34534"/>
    <cellStyle name="20% - Accent5 4 9" xfId="4229"/>
    <cellStyle name="20% - Accent5 4 9 2" xfId="19519"/>
    <cellStyle name="20% - Accent5 4 9 2 2" xfId="29235"/>
    <cellStyle name="20% - Accent5 4 9 2 2 2" xfId="48989"/>
    <cellStyle name="20% - Accent5 4 9 2 3" xfId="39345"/>
    <cellStyle name="20% - Accent5 4 9 3" xfId="24425"/>
    <cellStyle name="20% - Accent5 4 9 3 2" xfId="44180"/>
    <cellStyle name="20% - Accent5 4 9 4" xfId="34536"/>
    <cellStyle name="20% - Accent5 5" xfId="90"/>
    <cellStyle name="20% - Accent5 5 10" xfId="4230"/>
    <cellStyle name="20% - Accent5 5 10 2" xfId="19520"/>
    <cellStyle name="20% - Accent5 5 10 2 2" xfId="29236"/>
    <cellStyle name="20% - Accent5 5 10 2 2 2" xfId="48990"/>
    <cellStyle name="20% - Accent5 5 10 2 3" xfId="39346"/>
    <cellStyle name="20% - Accent5 5 10 3" xfId="24426"/>
    <cellStyle name="20% - Accent5 5 10 3 2" xfId="44181"/>
    <cellStyle name="20% - Accent5 5 10 4" xfId="34537"/>
    <cellStyle name="20% - Accent5 5 11" xfId="15478"/>
    <cellStyle name="20% - Accent5 5 11 2" xfId="20350"/>
    <cellStyle name="20% - Accent5 5 11 2 2" xfId="30064"/>
    <cellStyle name="20% - Accent5 5 11 2 2 2" xfId="49817"/>
    <cellStyle name="20% - Accent5 5 11 2 3" xfId="40173"/>
    <cellStyle name="20% - Accent5 5 11 3" xfId="25252"/>
    <cellStyle name="20% - Accent5 5 11 3 2" xfId="45006"/>
    <cellStyle name="20% - Accent5 5 11 4" xfId="35362"/>
    <cellStyle name="20% - Accent5 5 12" xfId="15881"/>
    <cellStyle name="20% - Accent5 5 12 2" xfId="25597"/>
    <cellStyle name="20% - Accent5 5 12 2 2" xfId="45351"/>
    <cellStyle name="20% - Accent5 5 12 3" xfId="35707"/>
    <cellStyle name="20% - Accent5 5 13" xfId="20756"/>
    <cellStyle name="20% - Accent5 5 13 2" xfId="40536"/>
    <cellStyle name="20% - Accent5 5 14" xfId="30492"/>
    <cellStyle name="20% - Accent5 5 14 2" xfId="50240"/>
    <cellStyle name="20% - Accent5 5 15" xfId="30867"/>
    <cellStyle name="20% - Accent5 5 2" xfId="91"/>
    <cellStyle name="20% - Accent5 5 2 10" xfId="15882"/>
    <cellStyle name="20% - Accent5 5 2 10 2" xfId="25598"/>
    <cellStyle name="20% - Accent5 5 2 10 2 2" xfId="45352"/>
    <cellStyle name="20% - Accent5 5 2 10 3" xfId="35708"/>
    <cellStyle name="20% - Accent5 5 2 11" xfId="20757"/>
    <cellStyle name="20% - Accent5 5 2 11 2" xfId="40537"/>
    <cellStyle name="20% - Accent5 5 2 12" xfId="30493"/>
    <cellStyle name="20% - Accent5 5 2 12 2" xfId="50241"/>
    <cellStyle name="20% - Accent5 5 2 13" xfId="30868"/>
    <cellStyle name="20% - Accent5 5 2 2" xfId="817"/>
    <cellStyle name="20% - Accent5 5 2 2 2" xfId="4231"/>
    <cellStyle name="20% - Accent5 5 2 2 2 2" xfId="4232"/>
    <cellStyle name="20% - Accent5 5 2 2 2 2 2" xfId="4233"/>
    <cellStyle name="20% - Accent5 5 2 2 2 2 2 2" xfId="19523"/>
    <cellStyle name="20% - Accent5 5 2 2 2 2 2 2 2" xfId="29239"/>
    <cellStyle name="20% - Accent5 5 2 2 2 2 2 2 2 2" xfId="48993"/>
    <cellStyle name="20% - Accent5 5 2 2 2 2 2 2 3" xfId="39349"/>
    <cellStyle name="20% - Accent5 5 2 2 2 2 2 3" xfId="24429"/>
    <cellStyle name="20% - Accent5 5 2 2 2 2 2 3 2" xfId="44184"/>
    <cellStyle name="20% - Accent5 5 2 2 2 2 2 4" xfId="34540"/>
    <cellStyle name="20% - Accent5 5 2 2 2 2 3" xfId="19522"/>
    <cellStyle name="20% - Accent5 5 2 2 2 2 3 2" xfId="29238"/>
    <cellStyle name="20% - Accent5 5 2 2 2 2 3 2 2" xfId="48992"/>
    <cellStyle name="20% - Accent5 5 2 2 2 2 3 3" xfId="39348"/>
    <cellStyle name="20% - Accent5 5 2 2 2 2 4" xfId="24428"/>
    <cellStyle name="20% - Accent5 5 2 2 2 2 4 2" xfId="44183"/>
    <cellStyle name="20% - Accent5 5 2 2 2 2 5" xfId="34539"/>
    <cellStyle name="20% - Accent5 5 2 2 2 3" xfId="4234"/>
    <cellStyle name="20% - Accent5 5 2 2 2 3 2" xfId="19524"/>
    <cellStyle name="20% - Accent5 5 2 2 2 3 2 2" xfId="29240"/>
    <cellStyle name="20% - Accent5 5 2 2 2 3 2 2 2" xfId="48994"/>
    <cellStyle name="20% - Accent5 5 2 2 2 3 2 3" xfId="39350"/>
    <cellStyle name="20% - Accent5 5 2 2 2 3 3" xfId="24430"/>
    <cellStyle name="20% - Accent5 5 2 2 2 3 3 2" xfId="44185"/>
    <cellStyle name="20% - Accent5 5 2 2 2 3 4" xfId="34541"/>
    <cellStyle name="20% - Accent5 5 2 2 2 4" xfId="19521"/>
    <cellStyle name="20% - Accent5 5 2 2 2 4 2" xfId="29237"/>
    <cellStyle name="20% - Accent5 5 2 2 2 4 2 2" xfId="48991"/>
    <cellStyle name="20% - Accent5 5 2 2 2 4 3" xfId="39347"/>
    <cellStyle name="20% - Accent5 5 2 2 2 5" xfId="24427"/>
    <cellStyle name="20% - Accent5 5 2 2 2 5 2" xfId="44182"/>
    <cellStyle name="20% - Accent5 5 2 2 2 6" xfId="34538"/>
    <cellStyle name="20% - Accent5 5 2 2 3" xfId="4235"/>
    <cellStyle name="20% - Accent5 5 2 2 3 2" xfId="4236"/>
    <cellStyle name="20% - Accent5 5 2 2 3 2 2" xfId="19526"/>
    <cellStyle name="20% - Accent5 5 2 2 3 2 2 2" xfId="29242"/>
    <cellStyle name="20% - Accent5 5 2 2 3 2 2 2 2" xfId="48996"/>
    <cellStyle name="20% - Accent5 5 2 2 3 2 2 3" xfId="39352"/>
    <cellStyle name="20% - Accent5 5 2 2 3 2 3" xfId="24432"/>
    <cellStyle name="20% - Accent5 5 2 2 3 2 3 2" xfId="44187"/>
    <cellStyle name="20% - Accent5 5 2 2 3 2 4" xfId="34543"/>
    <cellStyle name="20% - Accent5 5 2 2 3 3" xfId="19525"/>
    <cellStyle name="20% - Accent5 5 2 2 3 3 2" xfId="29241"/>
    <cellStyle name="20% - Accent5 5 2 2 3 3 2 2" xfId="48995"/>
    <cellStyle name="20% - Accent5 5 2 2 3 3 3" xfId="39351"/>
    <cellStyle name="20% - Accent5 5 2 2 3 4" xfId="24431"/>
    <cellStyle name="20% - Accent5 5 2 2 3 4 2" xfId="44186"/>
    <cellStyle name="20% - Accent5 5 2 2 3 5" xfId="34542"/>
    <cellStyle name="20% - Accent5 5 2 2 4" xfId="4237"/>
    <cellStyle name="20% - Accent5 5 2 2 4 2" xfId="19527"/>
    <cellStyle name="20% - Accent5 5 2 2 4 2 2" xfId="29243"/>
    <cellStyle name="20% - Accent5 5 2 2 4 2 2 2" xfId="48997"/>
    <cellStyle name="20% - Accent5 5 2 2 4 2 3" xfId="39353"/>
    <cellStyle name="20% - Accent5 5 2 2 4 3" xfId="24433"/>
    <cellStyle name="20% - Accent5 5 2 2 4 3 2" xfId="44188"/>
    <cellStyle name="20% - Accent5 5 2 2 4 4" xfId="34544"/>
    <cellStyle name="20% - Accent5 5 2 2 5" xfId="16164"/>
    <cellStyle name="20% - Accent5 5 2 2 5 2" xfId="25880"/>
    <cellStyle name="20% - Accent5 5 2 2 5 2 2" xfId="45634"/>
    <cellStyle name="20% - Accent5 5 2 2 5 3" xfId="35990"/>
    <cellStyle name="20% - Accent5 5 2 2 6" xfId="21070"/>
    <cellStyle name="20% - Accent5 5 2 2 6 2" xfId="40825"/>
    <cellStyle name="20% - Accent5 5 2 2 7" xfId="31181"/>
    <cellStyle name="20% - Accent5 5 2 3" xfId="818"/>
    <cellStyle name="20% - Accent5 5 2 3 2" xfId="4238"/>
    <cellStyle name="20% - Accent5 5 2 3 2 2" xfId="4239"/>
    <cellStyle name="20% - Accent5 5 2 3 2 2 2" xfId="4240"/>
    <cellStyle name="20% - Accent5 5 2 3 2 2 2 2" xfId="19530"/>
    <cellStyle name="20% - Accent5 5 2 3 2 2 2 2 2" xfId="29246"/>
    <cellStyle name="20% - Accent5 5 2 3 2 2 2 2 2 2" xfId="49000"/>
    <cellStyle name="20% - Accent5 5 2 3 2 2 2 2 3" xfId="39356"/>
    <cellStyle name="20% - Accent5 5 2 3 2 2 2 3" xfId="24436"/>
    <cellStyle name="20% - Accent5 5 2 3 2 2 2 3 2" xfId="44191"/>
    <cellStyle name="20% - Accent5 5 2 3 2 2 2 4" xfId="34547"/>
    <cellStyle name="20% - Accent5 5 2 3 2 2 3" xfId="19529"/>
    <cellStyle name="20% - Accent5 5 2 3 2 2 3 2" xfId="29245"/>
    <cellStyle name="20% - Accent5 5 2 3 2 2 3 2 2" xfId="48999"/>
    <cellStyle name="20% - Accent5 5 2 3 2 2 3 3" xfId="39355"/>
    <cellStyle name="20% - Accent5 5 2 3 2 2 4" xfId="24435"/>
    <cellStyle name="20% - Accent5 5 2 3 2 2 4 2" xfId="44190"/>
    <cellStyle name="20% - Accent5 5 2 3 2 2 5" xfId="34546"/>
    <cellStyle name="20% - Accent5 5 2 3 2 3" xfId="4241"/>
    <cellStyle name="20% - Accent5 5 2 3 2 3 2" xfId="19531"/>
    <cellStyle name="20% - Accent5 5 2 3 2 3 2 2" xfId="29247"/>
    <cellStyle name="20% - Accent5 5 2 3 2 3 2 2 2" xfId="49001"/>
    <cellStyle name="20% - Accent5 5 2 3 2 3 2 3" xfId="39357"/>
    <cellStyle name="20% - Accent5 5 2 3 2 3 3" xfId="24437"/>
    <cellStyle name="20% - Accent5 5 2 3 2 3 3 2" xfId="44192"/>
    <cellStyle name="20% - Accent5 5 2 3 2 3 4" xfId="34548"/>
    <cellStyle name="20% - Accent5 5 2 3 2 4" xfId="19528"/>
    <cellStyle name="20% - Accent5 5 2 3 2 4 2" xfId="29244"/>
    <cellStyle name="20% - Accent5 5 2 3 2 4 2 2" xfId="48998"/>
    <cellStyle name="20% - Accent5 5 2 3 2 4 3" xfId="39354"/>
    <cellStyle name="20% - Accent5 5 2 3 2 5" xfId="24434"/>
    <cellStyle name="20% - Accent5 5 2 3 2 5 2" xfId="44189"/>
    <cellStyle name="20% - Accent5 5 2 3 2 6" xfId="34545"/>
    <cellStyle name="20% - Accent5 5 2 3 3" xfId="4242"/>
    <cellStyle name="20% - Accent5 5 2 3 3 2" xfId="4243"/>
    <cellStyle name="20% - Accent5 5 2 3 3 2 2" xfId="19533"/>
    <cellStyle name="20% - Accent5 5 2 3 3 2 2 2" xfId="29249"/>
    <cellStyle name="20% - Accent5 5 2 3 3 2 2 2 2" xfId="49003"/>
    <cellStyle name="20% - Accent5 5 2 3 3 2 2 3" xfId="39359"/>
    <cellStyle name="20% - Accent5 5 2 3 3 2 3" xfId="24439"/>
    <cellStyle name="20% - Accent5 5 2 3 3 2 3 2" xfId="44194"/>
    <cellStyle name="20% - Accent5 5 2 3 3 2 4" xfId="34550"/>
    <cellStyle name="20% - Accent5 5 2 3 3 3" xfId="19532"/>
    <cellStyle name="20% - Accent5 5 2 3 3 3 2" xfId="29248"/>
    <cellStyle name="20% - Accent5 5 2 3 3 3 2 2" xfId="49002"/>
    <cellStyle name="20% - Accent5 5 2 3 3 3 3" xfId="39358"/>
    <cellStyle name="20% - Accent5 5 2 3 3 4" xfId="24438"/>
    <cellStyle name="20% - Accent5 5 2 3 3 4 2" xfId="44193"/>
    <cellStyle name="20% - Accent5 5 2 3 3 5" xfId="34549"/>
    <cellStyle name="20% - Accent5 5 2 3 4" xfId="4244"/>
    <cellStyle name="20% - Accent5 5 2 3 4 2" xfId="19534"/>
    <cellStyle name="20% - Accent5 5 2 3 4 2 2" xfId="29250"/>
    <cellStyle name="20% - Accent5 5 2 3 4 2 2 2" xfId="49004"/>
    <cellStyle name="20% - Accent5 5 2 3 4 2 3" xfId="39360"/>
    <cellStyle name="20% - Accent5 5 2 3 4 3" xfId="24440"/>
    <cellStyle name="20% - Accent5 5 2 3 4 3 2" xfId="44195"/>
    <cellStyle name="20% - Accent5 5 2 3 4 4" xfId="34551"/>
    <cellStyle name="20% - Accent5 5 2 3 5" xfId="16165"/>
    <cellStyle name="20% - Accent5 5 2 3 5 2" xfId="25881"/>
    <cellStyle name="20% - Accent5 5 2 3 5 2 2" xfId="45635"/>
    <cellStyle name="20% - Accent5 5 2 3 5 3" xfId="35991"/>
    <cellStyle name="20% - Accent5 5 2 3 6" xfId="21071"/>
    <cellStyle name="20% - Accent5 5 2 3 6 2" xfId="40826"/>
    <cellStyle name="20% - Accent5 5 2 3 7" xfId="31182"/>
    <cellStyle name="20% - Accent5 5 2 4" xfId="4245"/>
    <cellStyle name="20% - Accent5 5 2 4 2" xfId="4246"/>
    <cellStyle name="20% - Accent5 5 2 4 2 2" xfId="4247"/>
    <cellStyle name="20% - Accent5 5 2 4 2 2 2" xfId="19537"/>
    <cellStyle name="20% - Accent5 5 2 4 2 2 2 2" xfId="29253"/>
    <cellStyle name="20% - Accent5 5 2 4 2 2 2 2 2" xfId="49007"/>
    <cellStyle name="20% - Accent5 5 2 4 2 2 2 3" xfId="39363"/>
    <cellStyle name="20% - Accent5 5 2 4 2 2 3" xfId="24443"/>
    <cellStyle name="20% - Accent5 5 2 4 2 2 3 2" xfId="44198"/>
    <cellStyle name="20% - Accent5 5 2 4 2 2 4" xfId="34554"/>
    <cellStyle name="20% - Accent5 5 2 4 2 3" xfId="19536"/>
    <cellStyle name="20% - Accent5 5 2 4 2 3 2" xfId="29252"/>
    <cellStyle name="20% - Accent5 5 2 4 2 3 2 2" xfId="49006"/>
    <cellStyle name="20% - Accent5 5 2 4 2 3 3" xfId="39362"/>
    <cellStyle name="20% - Accent5 5 2 4 2 4" xfId="24442"/>
    <cellStyle name="20% - Accent5 5 2 4 2 4 2" xfId="44197"/>
    <cellStyle name="20% - Accent5 5 2 4 2 5" xfId="34553"/>
    <cellStyle name="20% - Accent5 5 2 4 3" xfId="4248"/>
    <cellStyle name="20% - Accent5 5 2 4 3 2" xfId="19538"/>
    <cellStyle name="20% - Accent5 5 2 4 3 2 2" xfId="29254"/>
    <cellStyle name="20% - Accent5 5 2 4 3 2 2 2" xfId="49008"/>
    <cellStyle name="20% - Accent5 5 2 4 3 2 3" xfId="39364"/>
    <cellStyle name="20% - Accent5 5 2 4 3 3" xfId="24444"/>
    <cellStyle name="20% - Accent5 5 2 4 3 3 2" xfId="44199"/>
    <cellStyle name="20% - Accent5 5 2 4 3 4" xfId="34555"/>
    <cellStyle name="20% - Accent5 5 2 4 4" xfId="19535"/>
    <cellStyle name="20% - Accent5 5 2 4 4 2" xfId="29251"/>
    <cellStyle name="20% - Accent5 5 2 4 4 2 2" xfId="49005"/>
    <cellStyle name="20% - Accent5 5 2 4 4 3" xfId="39361"/>
    <cellStyle name="20% - Accent5 5 2 4 5" xfId="24441"/>
    <cellStyle name="20% - Accent5 5 2 4 5 2" xfId="44196"/>
    <cellStyle name="20% - Accent5 5 2 4 6" xfId="34552"/>
    <cellStyle name="20% - Accent5 5 2 5" xfId="4249"/>
    <cellStyle name="20% - Accent5 5 2 5 2" xfId="4250"/>
    <cellStyle name="20% - Accent5 5 2 5 2 2" xfId="19540"/>
    <cellStyle name="20% - Accent5 5 2 5 2 2 2" xfId="29256"/>
    <cellStyle name="20% - Accent5 5 2 5 2 2 2 2" xfId="49010"/>
    <cellStyle name="20% - Accent5 5 2 5 2 2 3" xfId="39366"/>
    <cellStyle name="20% - Accent5 5 2 5 2 3" xfId="24446"/>
    <cellStyle name="20% - Accent5 5 2 5 2 3 2" xfId="44201"/>
    <cellStyle name="20% - Accent5 5 2 5 2 4" xfId="34557"/>
    <cellStyle name="20% - Accent5 5 2 5 3" xfId="19539"/>
    <cellStyle name="20% - Accent5 5 2 5 3 2" xfId="29255"/>
    <cellStyle name="20% - Accent5 5 2 5 3 2 2" xfId="49009"/>
    <cellStyle name="20% - Accent5 5 2 5 3 3" xfId="39365"/>
    <cellStyle name="20% - Accent5 5 2 5 4" xfId="24445"/>
    <cellStyle name="20% - Accent5 5 2 5 4 2" xfId="44200"/>
    <cellStyle name="20% - Accent5 5 2 5 5" xfId="34556"/>
    <cellStyle name="20% - Accent5 5 2 6" xfId="4251"/>
    <cellStyle name="20% - Accent5 5 2 6 2" xfId="19541"/>
    <cellStyle name="20% - Accent5 5 2 6 2 2" xfId="29257"/>
    <cellStyle name="20% - Accent5 5 2 6 2 2 2" xfId="49011"/>
    <cellStyle name="20% - Accent5 5 2 6 2 3" xfId="39367"/>
    <cellStyle name="20% - Accent5 5 2 6 3" xfId="24447"/>
    <cellStyle name="20% - Accent5 5 2 6 3 2" xfId="44202"/>
    <cellStyle name="20% - Accent5 5 2 6 4" xfId="34558"/>
    <cellStyle name="20% - Accent5 5 2 7" xfId="4252"/>
    <cellStyle name="20% - Accent5 5 2 7 2" xfId="19542"/>
    <cellStyle name="20% - Accent5 5 2 7 2 2" xfId="29258"/>
    <cellStyle name="20% - Accent5 5 2 7 2 2 2" xfId="49012"/>
    <cellStyle name="20% - Accent5 5 2 7 2 3" xfId="39368"/>
    <cellStyle name="20% - Accent5 5 2 7 3" xfId="24448"/>
    <cellStyle name="20% - Accent5 5 2 7 3 2" xfId="44203"/>
    <cellStyle name="20% - Accent5 5 2 7 4" xfId="34559"/>
    <cellStyle name="20% - Accent5 5 2 8" xfId="4253"/>
    <cellStyle name="20% - Accent5 5 2 8 2" xfId="19543"/>
    <cellStyle name="20% - Accent5 5 2 8 2 2" xfId="29259"/>
    <cellStyle name="20% - Accent5 5 2 8 2 2 2" xfId="49013"/>
    <cellStyle name="20% - Accent5 5 2 8 2 3" xfId="39369"/>
    <cellStyle name="20% - Accent5 5 2 8 3" xfId="24449"/>
    <cellStyle name="20% - Accent5 5 2 8 3 2" xfId="44204"/>
    <cellStyle name="20% - Accent5 5 2 8 4" xfId="34560"/>
    <cellStyle name="20% - Accent5 5 2 9" xfId="15479"/>
    <cellStyle name="20% - Accent5 5 2 9 2" xfId="20351"/>
    <cellStyle name="20% - Accent5 5 2 9 2 2" xfId="30065"/>
    <cellStyle name="20% - Accent5 5 2 9 2 2 2" xfId="49818"/>
    <cellStyle name="20% - Accent5 5 2 9 2 3" xfId="40174"/>
    <cellStyle name="20% - Accent5 5 2 9 3" xfId="25253"/>
    <cellStyle name="20% - Accent5 5 2 9 3 2" xfId="45007"/>
    <cellStyle name="20% - Accent5 5 2 9 4" xfId="35363"/>
    <cellStyle name="20% - Accent5 5 3" xfId="819"/>
    <cellStyle name="20% - Accent5 5 3 2" xfId="4254"/>
    <cellStyle name="20% - Accent5 5 3 2 2" xfId="4255"/>
    <cellStyle name="20% - Accent5 5 3 2 2 2" xfId="4256"/>
    <cellStyle name="20% - Accent5 5 3 2 2 2 2" xfId="19546"/>
    <cellStyle name="20% - Accent5 5 3 2 2 2 2 2" xfId="29262"/>
    <cellStyle name="20% - Accent5 5 3 2 2 2 2 2 2" xfId="49016"/>
    <cellStyle name="20% - Accent5 5 3 2 2 2 2 3" xfId="39372"/>
    <cellStyle name="20% - Accent5 5 3 2 2 2 3" xfId="24452"/>
    <cellStyle name="20% - Accent5 5 3 2 2 2 3 2" xfId="44207"/>
    <cellStyle name="20% - Accent5 5 3 2 2 2 4" xfId="34563"/>
    <cellStyle name="20% - Accent5 5 3 2 2 3" xfId="19545"/>
    <cellStyle name="20% - Accent5 5 3 2 2 3 2" xfId="29261"/>
    <cellStyle name="20% - Accent5 5 3 2 2 3 2 2" xfId="49015"/>
    <cellStyle name="20% - Accent5 5 3 2 2 3 3" xfId="39371"/>
    <cellStyle name="20% - Accent5 5 3 2 2 4" xfId="24451"/>
    <cellStyle name="20% - Accent5 5 3 2 2 4 2" xfId="44206"/>
    <cellStyle name="20% - Accent5 5 3 2 2 5" xfId="34562"/>
    <cellStyle name="20% - Accent5 5 3 2 3" xfId="4257"/>
    <cellStyle name="20% - Accent5 5 3 2 3 2" xfId="19547"/>
    <cellStyle name="20% - Accent5 5 3 2 3 2 2" xfId="29263"/>
    <cellStyle name="20% - Accent5 5 3 2 3 2 2 2" xfId="49017"/>
    <cellStyle name="20% - Accent5 5 3 2 3 2 3" xfId="39373"/>
    <cellStyle name="20% - Accent5 5 3 2 3 3" xfId="24453"/>
    <cellStyle name="20% - Accent5 5 3 2 3 3 2" xfId="44208"/>
    <cellStyle name="20% - Accent5 5 3 2 3 4" xfId="34564"/>
    <cellStyle name="20% - Accent5 5 3 2 4" xfId="19544"/>
    <cellStyle name="20% - Accent5 5 3 2 4 2" xfId="29260"/>
    <cellStyle name="20% - Accent5 5 3 2 4 2 2" xfId="49014"/>
    <cellStyle name="20% - Accent5 5 3 2 4 3" xfId="39370"/>
    <cellStyle name="20% - Accent5 5 3 2 5" xfId="24450"/>
    <cellStyle name="20% - Accent5 5 3 2 5 2" xfId="44205"/>
    <cellStyle name="20% - Accent5 5 3 2 6" xfId="34561"/>
    <cellStyle name="20% - Accent5 5 3 3" xfId="4258"/>
    <cellStyle name="20% - Accent5 5 3 3 2" xfId="4259"/>
    <cellStyle name="20% - Accent5 5 3 3 2 2" xfId="19549"/>
    <cellStyle name="20% - Accent5 5 3 3 2 2 2" xfId="29265"/>
    <cellStyle name="20% - Accent5 5 3 3 2 2 2 2" xfId="49019"/>
    <cellStyle name="20% - Accent5 5 3 3 2 2 3" xfId="39375"/>
    <cellStyle name="20% - Accent5 5 3 3 2 3" xfId="24455"/>
    <cellStyle name="20% - Accent5 5 3 3 2 3 2" xfId="44210"/>
    <cellStyle name="20% - Accent5 5 3 3 2 4" xfId="34566"/>
    <cellStyle name="20% - Accent5 5 3 3 3" xfId="19548"/>
    <cellStyle name="20% - Accent5 5 3 3 3 2" xfId="29264"/>
    <cellStyle name="20% - Accent5 5 3 3 3 2 2" xfId="49018"/>
    <cellStyle name="20% - Accent5 5 3 3 3 3" xfId="39374"/>
    <cellStyle name="20% - Accent5 5 3 3 4" xfId="24454"/>
    <cellStyle name="20% - Accent5 5 3 3 4 2" xfId="44209"/>
    <cellStyle name="20% - Accent5 5 3 3 5" xfId="34565"/>
    <cellStyle name="20% - Accent5 5 3 4" xfId="4260"/>
    <cellStyle name="20% - Accent5 5 3 4 2" xfId="19550"/>
    <cellStyle name="20% - Accent5 5 3 4 2 2" xfId="29266"/>
    <cellStyle name="20% - Accent5 5 3 4 2 2 2" xfId="49020"/>
    <cellStyle name="20% - Accent5 5 3 4 2 3" xfId="39376"/>
    <cellStyle name="20% - Accent5 5 3 4 3" xfId="24456"/>
    <cellStyle name="20% - Accent5 5 3 4 3 2" xfId="44211"/>
    <cellStyle name="20% - Accent5 5 3 4 4" xfId="34567"/>
    <cellStyle name="20% - Accent5 5 3 5" xfId="16166"/>
    <cellStyle name="20% - Accent5 5 3 5 2" xfId="25882"/>
    <cellStyle name="20% - Accent5 5 3 5 2 2" xfId="45636"/>
    <cellStyle name="20% - Accent5 5 3 5 3" xfId="35992"/>
    <cellStyle name="20% - Accent5 5 3 6" xfId="21072"/>
    <cellStyle name="20% - Accent5 5 3 6 2" xfId="40827"/>
    <cellStyle name="20% - Accent5 5 3 7" xfId="31183"/>
    <cellStyle name="20% - Accent5 5 4" xfId="820"/>
    <cellStyle name="20% - Accent5 5 4 2" xfId="4261"/>
    <cellStyle name="20% - Accent5 5 4 2 2" xfId="4262"/>
    <cellStyle name="20% - Accent5 5 4 2 2 2" xfId="4263"/>
    <cellStyle name="20% - Accent5 5 4 2 2 2 2" xfId="19553"/>
    <cellStyle name="20% - Accent5 5 4 2 2 2 2 2" xfId="29269"/>
    <cellStyle name="20% - Accent5 5 4 2 2 2 2 2 2" xfId="49023"/>
    <cellStyle name="20% - Accent5 5 4 2 2 2 2 3" xfId="39379"/>
    <cellStyle name="20% - Accent5 5 4 2 2 2 3" xfId="24459"/>
    <cellStyle name="20% - Accent5 5 4 2 2 2 3 2" xfId="44214"/>
    <cellStyle name="20% - Accent5 5 4 2 2 2 4" xfId="34570"/>
    <cellStyle name="20% - Accent5 5 4 2 2 3" xfId="19552"/>
    <cellStyle name="20% - Accent5 5 4 2 2 3 2" xfId="29268"/>
    <cellStyle name="20% - Accent5 5 4 2 2 3 2 2" xfId="49022"/>
    <cellStyle name="20% - Accent5 5 4 2 2 3 3" xfId="39378"/>
    <cellStyle name="20% - Accent5 5 4 2 2 4" xfId="24458"/>
    <cellStyle name="20% - Accent5 5 4 2 2 4 2" xfId="44213"/>
    <cellStyle name="20% - Accent5 5 4 2 2 5" xfId="34569"/>
    <cellStyle name="20% - Accent5 5 4 2 3" xfId="4264"/>
    <cellStyle name="20% - Accent5 5 4 2 3 2" xfId="19554"/>
    <cellStyle name="20% - Accent5 5 4 2 3 2 2" xfId="29270"/>
    <cellStyle name="20% - Accent5 5 4 2 3 2 2 2" xfId="49024"/>
    <cellStyle name="20% - Accent5 5 4 2 3 2 3" xfId="39380"/>
    <cellStyle name="20% - Accent5 5 4 2 3 3" xfId="24460"/>
    <cellStyle name="20% - Accent5 5 4 2 3 3 2" xfId="44215"/>
    <cellStyle name="20% - Accent5 5 4 2 3 4" xfId="34571"/>
    <cellStyle name="20% - Accent5 5 4 2 4" xfId="19551"/>
    <cellStyle name="20% - Accent5 5 4 2 4 2" xfId="29267"/>
    <cellStyle name="20% - Accent5 5 4 2 4 2 2" xfId="49021"/>
    <cellStyle name="20% - Accent5 5 4 2 4 3" xfId="39377"/>
    <cellStyle name="20% - Accent5 5 4 2 5" xfId="24457"/>
    <cellStyle name="20% - Accent5 5 4 2 5 2" xfId="44212"/>
    <cellStyle name="20% - Accent5 5 4 2 6" xfId="34568"/>
    <cellStyle name="20% - Accent5 5 4 3" xfId="4265"/>
    <cellStyle name="20% - Accent5 5 4 3 2" xfId="4266"/>
    <cellStyle name="20% - Accent5 5 4 3 2 2" xfId="19556"/>
    <cellStyle name="20% - Accent5 5 4 3 2 2 2" xfId="29272"/>
    <cellStyle name="20% - Accent5 5 4 3 2 2 2 2" xfId="49026"/>
    <cellStyle name="20% - Accent5 5 4 3 2 2 3" xfId="39382"/>
    <cellStyle name="20% - Accent5 5 4 3 2 3" xfId="24462"/>
    <cellStyle name="20% - Accent5 5 4 3 2 3 2" xfId="44217"/>
    <cellStyle name="20% - Accent5 5 4 3 2 4" xfId="34573"/>
    <cellStyle name="20% - Accent5 5 4 3 3" xfId="19555"/>
    <cellStyle name="20% - Accent5 5 4 3 3 2" xfId="29271"/>
    <cellStyle name="20% - Accent5 5 4 3 3 2 2" xfId="49025"/>
    <cellStyle name="20% - Accent5 5 4 3 3 3" xfId="39381"/>
    <cellStyle name="20% - Accent5 5 4 3 4" xfId="24461"/>
    <cellStyle name="20% - Accent5 5 4 3 4 2" xfId="44216"/>
    <cellStyle name="20% - Accent5 5 4 3 5" xfId="34572"/>
    <cellStyle name="20% - Accent5 5 4 4" xfId="4267"/>
    <cellStyle name="20% - Accent5 5 4 4 2" xfId="19557"/>
    <cellStyle name="20% - Accent5 5 4 4 2 2" xfId="29273"/>
    <cellStyle name="20% - Accent5 5 4 4 2 2 2" xfId="49027"/>
    <cellStyle name="20% - Accent5 5 4 4 2 3" xfId="39383"/>
    <cellStyle name="20% - Accent5 5 4 4 3" xfId="24463"/>
    <cellStyle name="20% - Accent5 5 4 4 3 2" xfId="44218"/>
    <cellStyle name="20% - Accent5 5 4 4 4" xfId="34574"/>
    <cellStyle name="20% - Accent5 5 4 5" xfId="16167"/>
    <cellStyle name="20% - Accent5 5 4 5 2" xfId="25883"/>
    <cellStyle name="20% - Accent5 5 4 5 2 2" xfId="45637"/>
    <cellStyle name="20% - Accent5 5 4 5 3" xfId="35993"/>
    <cellStyle name="20% - Accent5 5 4 6" xfId="21073"/>
    <cellStyle name="20% - Accent5 5 4 6 2" xfId="40828"/>
    <cellStyle name="20% - Accent5 5 4 7" xfId="31184"/>
    <cellStyle name="20% - Accent5 5 5" xfId="4268"/>
    <cellStyle name="20% - Accent5 5 5 2" xfId="4269"/>
    <cellStyle name="20% - Accent5 5 5 2 2" xfId="4270"/>
    <cellStyle name="20% - Accent5 5 5 2 2 2" xfId="19560"/>
    <cellStyle name="20% - Accent5 5 5 2 2 2 2" xfId="29276"/>
    <cellStyle name="20% - Accent5 5 5 2 2 2 2 2" xfId="49030"/>
    <cellStyle name="20% - Accent5 5 5 2 2 2 3" xfId="39386"/>
    <cellStyle name="20% - Accent5 5 5 2 2 3" xfId="24466"/>
    <cellStyle name="20% - Accent5 5 5 2 2 3 2" xfId="44221"/>
    <cellStyle name="20% - Accent5 5 5 2 2 4" xfId="34577"/>
    <cellStyle name="20% - Accent5 5 5 2 3" xfId="19559"/>
    <cellStyle name="20% - Accent5 5 5 2 3 2" xfId="29275"/>
    <cellStyle name="20% - Accent5 5 5 2 3 2 2" xfId="49029"/>
    <cellStyle name="20% - Accent5 5 5 2 3 3" xfId="39385"/>
    <cellStyle name="20% - Accent5 5 5 2 4" xfId="24465"/>
    <cellStyle name="20% - Accent5 5 5 2 4 2" xfId="44220"/>
    <cellStyle name="20% - Accent5 5 5 2 5" xfId="34576"/>
    <cellStyle name="20% - Accent5 5 5 3" xfId="4271"/>
    <cellStyle name="20% - Accent5 5 5 3 2" xfId="19561"/>
    <cellStyle name="20% - Accent5 5 5 3 2 2" xfId="29277"/>
    <cellStyle name="20% - Accent5 5 5 3 2 2 2" xfId="49031"/>
    <cellStyle name="20% - Accent5 5 5 3 2 3" xfId="39387"/>
    <cellStyle name="20% - Accent5 5 5 3 3" xfId="24467"/>
    <cellStyle name="20% - Accent5 5 5 3 3 2" xfId="44222"/>
    <cellStyle name="20% - Accent5 5 5 3 4" xfId="34578"/>
    <cellStyle name="20% - Accent5 5 5 4" xfId="19558"/>
    <cellStyle name="20% - Accent5 5 5 4 2" xfId="29274"/>
    <cellStyle name="20% - Accent5 5 5 4 2 2" xfId="49028"/>
    <cellStyle name="20% - Accent5 5 5 4 3" xfId="39384"/>
    <cellStyle name="20% - Accent5 5 5 5" xfId="24464"/>
    <cellStyle name="20% - Accent5 5 5 5 2" xfId="44219"/>
    <cellStyle name="20% - Accent5 5 5 6" xfId="34575"/>
    <cellStyle name="20% - Accent5 5 6" xfId="4272"/>
    <cellStyle name="20% - Accent5 5 6 2" xfId="4273"/>
    <cellStyle name="20% - Accent5 5 6 2 2" xfId="19563"/>
    <cellStyle name="20% - Accent5 5 6 2 2 2" xfId="29279"/>
    <cellStyle name="20% - Accent5 5 6 2 2 2 2" xfId="49033"/>
    <cellStyle name="20% - Accent5 5 6 2 2 3" xfId="39389"/>
    <cellStyle name="20% - Accent5 5 6 2 3" xfId="24469"/>
    <cellStyle name="20% - Accent5 5 6 2 3 2" xfId="44224"/>
    <cellStyle name="20% - Accent5 5 6 2 4" xfId="34580"/>
    <cellStyle name="20% - Accent5 5 6 3" xfId="19562"/>
    <cellStyle name="20% - Accent5 5 6 3 2" xfId="29278"/>
    <cellStyle name="20% - Accent5 5 6 3 2 2" xfId="49032"/>
    <cellStyle name="20% - Accent5 5 6 3 3" xfId="39388"/>
    <cellStyle name="20% - Accent5 5 6 4" xfId="24468"/>
    <cellStyle name="20% - Accent5 5 6 4 2" xfId="44223"/>
    <cellStyle name="20% - Accent5 5 6 5" xfId="34579"/>
    <cellStyle name="20% - Accent5 5 7" xfId="4274"/>
    <cellStyle name="20% - Accent5 5 7 2" xfId="4275"/>
    <cellStyle name="20% - Accent5 5 7 2 2" xfId="19565"/>
    <cellStyle name="20% - Accent5 5 7 2 2 2" xfId="29281"/>
    <cellStyle name="20% - Accent5 5 7 2 2 2 2" xfId="49035"/>
    <cellStyle name="20% - Accent5 5 7 2 2 3" xfId="39391"/>
    <cellStyle name="20% - Accent5 5 7 2 3" xfId="24471"/>
    <cellStyle name="20% - Accent5 5 7 2 3 2" xfId="44226"/>
    <cellStyle name="20% - Accent5 5 7 2 4" xfId="34582"/>
    <cellStyle name="20% - Accent5 5 7 3" xfId="19564"/>
    <cellStyle name="20% - Accent5 5 7 3 2" xfId="29280"/>
    <cellStyle name="20% - Accent5 5 7 3 2 2" xfId="49034"/>
    <cellStyle name="20% - Accent5 5 7 3 3" xfId="39390"/>
    <cellStyle name="20% - Accent5 5 7 4" xfId="24470"/>
    <cellStyle name="20% - Accent5 5 7 4 2" xfId="44225"/>
    <cellStyle name="20% - Accent5 5 7 5" xfId="34581"/>
    <cellStyle name="20% - Accent5 5 8" xfId="4276"/>
    <cellStyle name="20% - Accent5 5 8 2" xfId="19566"/>
    <cellStyle name="20% - Accent5 5 8 2 2" xfId="29282"/>
    <cellStyle name="20% - Accent5 5 8 2 2 2" xfId="49036"/>
    <cellStyle name="20% - Accent5 5 8 2 3" xfId="39392"/>
    <cellStyle name="20% - Accent5 5 8 3" xfId="24472"/>
    <cellStyle name="20% - Accent5 5 8 3 2" xfId="44227"/>
    <cellStyle name="20% - Accent5 5 8 4" xfId="34583"/>
    <cellStyle name="20% - Accent5 5 9" xfId="4277"/>
    <cellStyle name="20% - Accent5 5 9 2" xfId="19567"/>
    <cellStyle name="20% - Accent5 5 9 2 2" xfId="29283"/>
    <cellStyle name="20% - Accent5 5 9 2 2 2" xfId="49037"/>
    <cellStyle name="20% - Accent5 5 9 2 3" xfId="39393"/>
    <cellStyle name="20% - Accent5 5 9 3" xfId="24473"/>
    <cellStyle name="20% - Accent5 5 9 3 2" xfId="44228"/>
    <cellStyle name="20% - Accent5 5 9 4" xfId="34584"/>
    <cellStyle name="20% - Accent5 6" xfId="92"/>
    <cellStyle name="20% - Accent5 6 10" xfId="4278"/>
    <cellStyle name="20% - Accent5 6 10 2" xfId="19568"/>
    <cellStyle name="20% - Accent5 6 10 2 2" xfId="29284"/>
    <cellStyle name="20% - Accent5 6 10 2 2 2" xfId="49038"/>
    <cellStyle name="20% - Accent5 6 10 2 3" xfId="39394"/>
    <cellStyle name="20% - Accent5 6 10 3" xfId="24474"/>
    <cellStyle name="20% - Accent5 6 10 3 2" xfId="44229"/>
    <cellStyle name="20% - Accent5 6 10 4" xfId="34585"/>
    <cellStyle name="20% - Accent5 6 11" xfId="15480"/>
    <cellStyle name="20% - Accent5 6 11 2" xfId="20352"/>
    <cellStyle name="20% - Accent5 6 11 2 2" xfId="30066"/>
    <cellStyle name="20% - Accent5 6 11 2 2 2" xfId="49819"/>
    <cellStyle name="20% - Accent5 6 11 2 3" xfId="40175"/>
    <cellStyle name="20% - Accent5 6 11 3" xfId="25254"/>
    <cellStyle name="20% - Accent5 6 11 3 2" xfId="45008"/>
    <cellStyle name="20% - Accent5 6 11 4" xfId="35364"/>
    <cellStyle name="20% - Accent5 6 12" xfId="15883"/>
    <cellStyle name="20% - Accent5 6 12 2" xfId="25599"/>
    <cellStyle name="20% - Accent5 6 12 2 2" xfId="45353"/>
    <cellStyle name="20% - Accent5 6 12 3" xfId="35709"/>
    <cellStyle name="20% - Accent5 6 13" xfId="20758"/>
    <cellStyle name="20% - Accent5 6 13 2" xfId="40538"/>
    <cellStyle name="20% - Accent5 6 14" xfId="30494"/>
    <cellStyle name="20% - Accent5 6 14 2" xfId="50242"/>
    <cellStyle name="20% - Accent5 6 15" xfId="30869"/>
    <cellStyle name="20% - Accent5 6 2" xfId="93"/>
    <cellStyle name="20% - Accent5 6 2 10" xfId="15884"/>
    <cellStyle name="20% - Accent5 6 2 10 2" xfId="25600"/>
    <cellStyle name="20% - Accent5 6 2 10 2 2" xfId="45354"/>
    <cellStyle name="20% - Accent5 6 2 10 3" xfId="35710"/>
    <cellStyle name="20% - Accent5 6 2 11" xfId="20759"/>
    <cellStyle name="20% - Accent5 6 2 11 2" xfId="40539"/>
    <cellStyle name="20% - Accent5 6 2 12" xfId="30495"/>
    <cellStyle name="20% - Accent5 6 2 12 2" xfId="50243"/>
    <cellStyle name="20% - Accent5 6 2 13" xfId="30870"/>
    <cellStyle name="20% - Accent5 6 2 2" xfId="821"/>
    <cellStyle name="20% - Accent5 6 2 2 2" xfId="4279"/>
    <cellStyle name="20% - Accent5 6 2 2 2 2" xfId="4280"/>
    <cellStyle name="20% - Accent5 6 2 2 2 2 2" xfId="4281"/>
    <cellStyle name="20% - Accent5 6 2 2 2 2 2 2" xfId="19571"/>
    <cellStyle name="20% - Accent5 6 2 2 2 2 2 2 2" xfId="29287"/>
    <cellStyle name="20% - Accent5 6 2 2 2 2 2 2 2 2" xfId="49041"/>
    <cellStyle name="20% - Accent5 6 2 2 2 2 2 2 3" xfId="39397"/>
    <cellStyle name="20% - Accent5 6 2 2 2 2 2 3" xfId="24477"/>
    <cellStyle name="20% - Accent5 6 2 2 2 2 2 3 2" xfId="44232"/>
    <cellStyle name="20% - Accent5 6 2 2 2 2 2 4" xfId="34588"/>
    <cellStyle name="20% - Accent5 6 2 2 2 2 3" xfId="19570"/>
    <cellStyle name="20% - Accent5 6 2 2 2 2 3 2" xfId="29286"/>
    <cellStyle name="20% - Accent5 6 2 2 2 2 3 2 2" xfId="49040"/>
    <cellStyle name="20% - Accent5 6 2 2 2 2 3 3" xfId="39396"/>
    <cellStyle name="20% - Accent5 6 2 2 2 2 4" xfId="24476"/>
    <cellStyle name="20% - Accent5 6 2 2 2 2 4 2" xfId="44231"/>
    <cellStyle name="20% - Accent5 6 2 2 2 2 5" xfId="34587"/>
    <cellStyle name="20% - Accent5 6 2 2 2 3" xfId="4282"/>
    <cellStyle name="20% - Accent5 6 2 2 2 3 2" xfId="19572"/>
    <cellStyle name="20% - Accent5 6 2 2 2 3 2 2" xfId="29288"/>
    <cellStyle name="20% - Accent5 6 2 2 2 3 2 2 2" xfId="49042"/>
    <cellStyle name="20% - Accent5 6 2 2 2 3 2 3" xfId="39398"/>
    <cellStyle name="20% - Accent5 6 2 2 2 3 3" xfId="24478"/>
    <cellStyle name="20% - Accent5 6 2 2 2 3 3 2" xfId="44233"/>
    <cellStyle name="20% - Accent5 6 2 2 2 3 4" xfId="34589"/>
    <cellStyle name="20% - Accent5 6 2 2 2 4" xfId="19569"/>
    <cellStyle name="20% - Accent5 6 2 2 2 4 2" xfId="29285"/>
    <cellStyle name="20% - Accent5 6 2 2 2 4 2 2" xfId="49039"/>
    <cellStyle name="20% - Accent5 6 2 2 2 4 3" xfId="39395"/>
    <cellStyle name="20% - Accent5 6 2 2 2 5" xfId="24475"/>
    <cellStyle name="20% - Accent5 6 2 2 2 5 2" xfId="44230"/>
    <cellStyle name="20% - Accent5 6 2 2 2 6" xfId="34586"/>
    <cellStyle name="20% - Accent5 6 2 2 3" xfId="4283"/>
    <cellStyle name="20% - Accent5 6 2 2 3 2" xfId="4284"/>
    <cellStyle name="20% - Accent5 6 2 2 3 2 2" xfId="19574"/>
    <cellStyle name="20% - Accent5 6 2 2 3 2 2 2" xfId="29290"/>
    <cellStyle name="20% - Accent5 6 2 2 3 2 2 2 2" xfId="49044"/>
    <cellStyle name="20% - Accent5 6 2 2 3 2 2 3" xfId="39400"/>
    <cellStyle name="20% - Accent5 6 2 2 3 2 3" xfId="24480"/>
    <cellStyle name="20% - Accent5 6 2 2 3 2 3 2" xfId="44235"/>
    <cellStyle name="20% - Accent5 6 2 2 3 2 4" xfId="34591"/>
    <cellStyle name="20% - Accent5 6 2 2 3 3" xfId="19573"/>
    <cellStyle name="20% - Accent5 6 2 2 3 3 2" xfId="29289"/>
    <cellStyle name="20% - Accent5 6 2 2 3 3 2 2" xfId="49043"/>
    <cellStyle name="20% - Accent5 6 2 2 3 3 3" xfId="39399"/>
    <cellStyle name="20% - Accent5 6 2 2 3 4" xfId="24479"/>
    <cellStyle name="20% - Accent5 6 2 2 3 4 2" xfId="44234"/>
    <cellStyle name="20% - Accent5 6 2 2 3 5" xfId="34590"/>
    <cellStyle name="20% - Accent5 6 2 2 4" xfId="4285"/>
    <cellStyle name="20% - Accent5 6 2 2 4 2" xfId="19575"/>
    <cellStyle name="20% - Accent5 6 2 2 4 2 2" xfId="29291"/>
    <cellStyle name="20% - Accent5 6 2 2 4 2 2 2" xfId="49045"/>
    <cellStyle name="20% - Accent5 6 2 2 4 2 3" xfId="39401"/>
    <cellStyle name="20% - Accent5 6 2 2 4 3" xfId="24481"/>
    <cellStyle name="20% - Accent5 6 2 2 4 3 2" xfId="44236"/>
    <cellStyle name="20% - Accent5 6 2 2 4 4" xfId="34592"/>
    <cellStyle name="20% - Accent5 6 2 2 5" xfId="16168"/>
    <cellStyle name="20% - Accent5 6 2 2 5 2" xfId="25884"/>
    <cellStyle name="20% - Accent5 6 2 2 5 2 2" xfId="45638"/>
    <cellStyle name="20% - Accent5 6 2 2 5 3" xfId="35994"/>
    <cellStyle name="20% - Accent5 6 2 2 6" xfId="21074"/>
    <cellStyle name="20% - Accent5 6 2 2 6 2" xfId="40829"/>
    <cellStyle name="20% - Accent5 6 2 2 7" xfId="31185"/>
    <cellStyle name="20% - Accent5 6 2 3" xfId="822"/>
    <cellStyle name="20% - Accent5 6 2 3 2" xfId="4286"/>
    <cellStyle name="20% - Accent5 6 2 3 2 2" xfId="4287"/>
    <cellStyle name="20% - Accent5 6 2 3 2 2 2" xfId="4288"/>
    <cellStyle name="20% - Accent5 6 2 3 2 2 2 2" xfId="19578"/>
    <cellStyle name="20% - Accent5 6 2 3 2 2 2 2 2" xfId="29294"/>
    <cellStyle name="20% - Accent5 6 2 3 2 2 2 2 2 2" xfId="49048"/>
    <cellStyle name="20% - Accent5 6 2 3 2 2 2 2 3" xfId="39404"/>
    <cellStyle name="20% - Accent5 6 2 3 2 2 2 3" xfId="24484"/>
    <cellStyle name="20% - Accent5 6 2 3 2 2 2 3 2" xfId="44239"/>
    <cellStyle name="20% - Accent5 6 2 3 2 2 2 4" xfId="34595"/>
    <cellStyle name="20% - Accent5 6 2 3 2 2 3" xfId="19577"/>
    <cellStyle name="20% - Accent5 6 2 3 2 2 3 2" xfId="29293"/>
    <cellStyle name="20% - Accent5 6 2 3 2 2 3 2 2" xfId="49047"/>
    <cellStyle name="20% - Accent5 6 2 3 2 2 3 3" xfId="39403"/>
    <cellStyle name="20% - Accent5 6 2 3 2 2 4" xfId="24483"/>
    <cellStyle name="20% - Accent5 6 2 3 2 2 4 2" xfId="44238"/>
    <cellStyle name="20% - Accent5 6 2 3 2 2 5" xfId="34594"/>
    <cellStyle name="20% - Accent5 6 2 3 2 3" xfId="4289"/>
    <cellStyle name="20% - Accent5 6 2 3 2 3 2" xfId="19579"/>
    <cellStyle name="20% - Accent5 6 2 3 2 3 2 2" xfId="29295"/>
    <cellStyle name="20% - Accent5 6 2 3 2 3 2 2 2" xfId="49049"/>
    <cellStyle name="20% - Accent5 6 2 3 2 3 2 3" xfId="39405"/>
    <cellStyle name="20% - Accent5 6 2 3 2 3 3" xfId="24485"/>
    <cellStyle name="20% - Accent5 6 2 3 2 3 3 2" xfId="44240"/>
    <cellStyle name="20% - Accent5 6 2 3 2 3 4" xfId="34596"/>
    <cellStyle name="20% - Accent5 6 2 3 2 4" xfId="19576"/>
    <cellStyle name="20% - Accent5 6 2 3 2 4 2" xfId="29292"/>
    <cellStyle name="20% - Accent5 6 2 3 2 4 2 2" xfId="49046"/>
    <cellStyle name="20% - Accent5 6 2 3 2 4 3" xfId="39402"/>
    <cellStyle name="20% - Accent5 6 2 3 2 5" xfId="24482"/>
    <cellStyle name="20% - Accent5 6 2 3 2 5 2" xfId="44237"/>
    <cellStyle name="20% - Accent5 6 2 3 2 6" xfId="34593"/>
    <cellStyle name="20% - Accent5 6 2 3 3" xfId="4290"/>
    <cellStyle name="20% - Accent5 6 2 3 3 2" xfId="4291"/>
    <cellStyle name="20% - Accent5 6 2 3 3 2 2" xfId="19581"/>
    <cellStyle name="20% - Accent5 6 2 3 3 2 2 2" xfId="29297"/>
    <cellStyle name="20% - Accent5 6 2 3 3 2 2 2 2" xfId="49051"/>
    <cellStyle name="20% - Accent5 6 2 3 3 2 2 3" xfId="39407"/>
    <cellStyle name="20% - Accent5 6 2 3 3 2 3" xfId="24487"/>
    <cellStyle name="20% - Accent5 6 2 3 3 2 3 2" xfId="44242"/>
    <cellStyle name="20% - Accent5 6 2 3 3 2 4" xfId="34598"/>
    <cellStyle name="20% - Accent5 6 2 3 3 3" xfId="19580"/>
    <cellStyle name="20% - Accent5 6 2 3 3 3 2" xfId="29296"/>
    <cellStyle name="20% - Accent5 6 2 3 3 3 2 2" xfId="49050"/>
    <cellStyle name="20% - Accent5 6 2 3 3 3 3" xfId="39406"/>
    <cellStyle name="20% - Accent5 6 2 3 3 4" xfId="24486"/>
    <cellStyle name="20% - Accent5 6 2 3 3 4 2" xfId="44241"/>
    <cellStyle name="20% - Accent5 6 2 3 3 5" xfId="34597"/>
    <cellStyle name="20% - Accent5 6 2 3 4" xfId="4292"/>
    <cellStyle name="20% - Accent5 6 2 3 4 2" xfId="19582"/>
    <cellStyle name="20% - Accent5 6 2 3 4 2 2" xfId="29298"/>
    <cellStyle name="20% - Accent5 6 2 3 4 2 2 2" xfId="49052"/>
    <cellStyle name="20% - Accent5 6 2 3 4 2 3" xfId="39408"/>
    <cellStyle name="20% - Accent5 6 2 3 4 3" xfId="24488"/>
    <cellStyle name="20% - Accent5 6 2 3 4 3 2" xfId="44243"/>
    <cellStyle name="20% - Accent5 6 2 3 4 4" xfId="34599"/>
    <cellStyle name="20% - Accent5 6 2 3 5" xfId="16169"/>
    <cellStyle name="20% - Accent5 6 2 3 5 2" xfId="25885"/>
    <cellStyle name="20% - Accent5 6 2 3 5 2 2" xfId="45639"/>
    <cellStyle name="20% - Accent5 6 2 3 5 3" xfId="35995"/>
    <cellStyle name="20% - Accent5 6 2 3 6" xfId="21075"/>
    <cellStyle name="20% - Accent5 6 2 3 6 2" xfId="40830"/>
    <cellStyle name="20% - Accent5 6 2 3 7" xfId="31186"/>
    <cellStyle name="20% - Accent5 6 2 4" xfId="4293"/>
    <cellStyle name="20% - Accent5 6 2 4 2" xfId="4294"/>
    <cellStyle name="20% - Accent5 6 2 4 2 2" xfId="4295"/>
    <cellStyle name="20% - Accent5 6 2 4 2 2 2" xfId="19585"/>
    <cellStyle name="20% - Accent5 6 2 4 2 2 2 2" xfId="29301"/>
    <cellStyle name="20% - Accent5 6 2 4 2 2 2 2 2" xfId="49055"/>
    <cellStyle name="20% - Accent5 6 2 4 2 2 2 3" xfId="39411"/>
    <cellStyle name="20% - Accent5 6 2 4 2 2 3" xfId="24491"/>
    <cellStyle name="20% - Accent5 6 2 4 2 2 3 2" xfId="44246"/>
    <cellStyle name="20% - Accent5 6 2 4 2 2 4" xfId="34602"/>
    <cellStyle name="20% - Accent5 6 2 4 2 3" xfId="19584"/>
    <cellStyle name="20% - Accent5 6 2 4 2 3 2" xfId="29300"/>
    <cellStyle name="20% - Accent5 6 2 4 2 3 2 2" xfId="49054"/>
    <cellStyle name="20% - Accent5 6 2 4 2 3 3" xfId="39410"/>
    <cellStyle name="20% - Accent5 6 2 4 2 4" xfId="24490"/>
    <cellStyle name="20% - Accent5 6 2 4 2 4 2" xfId="44245"/>
    <cellStyle name="20% - Accent5 6 2 4 2 5" xfId="34601"/>
    <cellStyle name="20% - Accent5 6 2 4 3" xfId="4296"/>
    <cellStyle name="20% - Accent5 6 2 4 3 2" xfId="19586"/>
    <cellStyle name="20% - Accent5 6 2 4 3 2 2" xfId="29302"/>
    <cellStyle name="20% - Accent5 6 2 4 3 2 2 2" xfId="49056"/>
    <cellStyle name="20% - Accent5 6 2 4 3 2 3" xfId="39412"/>
    <cellStyle name="20% - Accent5 6 2 4 3 3" xfId="24492"/>
    <cellStyle name="20% - Accent5 6 2 4 3 3 2" xfId="44247"/>
    <cellStyle name="20% - Accent5 6 2 4 3 4" xfId="34603"/>
    <cellStyle name="20% - Accent5 6 2 4 4" xfId="19583"/>
    <cellStyle name="20% - Accent5 6 2 4 4 2" xfId="29299"/>
    <cellStyle name="20% - Accent5 6 2 4 4 2 2" xfId="49053"/>
    <cellStyle name="20% - Accent5 6 2 4 4 3" xfId="39409"/>
    <cellStyle name="20% - Accent5 6 2 4 5" xfId="24489"/>
    <cellStyle name="20% - Accent5 6 2 4 5 2" xfId="44244"/>
    <cellStyle name="20% - Accent5 6 2 4 6" xfId="34600"/>
    <cellStyle name="20% - Accent5 6 2 5" xfId="4297"/>
    <cellStyle name="20% - Accent5 6 2 5 2" xfId="4298"/>
    <cellStyle name="20% - Accent5 6 2 5 2 2" xfId="19588"/>
    <cellStyle name="20% - Accent5 6 2 5 2 2 2" xfId="29304"/>
    <cellStyle name="20% - Accent5 6 2 5 2 2 2 2" xfId="49058"/>
    <cellStyle name="20% - Accent5 6 2 5 2 2 3" xfId="39414"/>
    <cellStyle name="20% - Accent5 6 2 5 2 3" xfId="24494"/>
    <cellStyle name="20% - Accent5 6 2 5 2 3 2" xfId="44249"/>
    <cellStyle name="20% - Accent5 6 2 5 2 4" xfId="34605"/>
    <cellStyle name="20% - Accent5 6 2 5 3" xfId="19587"/>
    <cellStyle name="20% - Accent5 6 2 5 3 2" xfId="29303"/>
    <cellStyle name="20% - Accent5 6 2 5 3 2 2" xfId="49057"/>
    <cellStyle name="20% - Accent5 6 2 5 3 3" xfId="39413"/>
    <cellStyle name="20% - Accent5 6 2 5 4" xfId="24493"/>
    <cellStyle name="20% - Accent5 6 2 5 4 2" xfId="44248"/>
    <cellStyle name="20% - Accent5 6 2 5 5" xfId="34604"/>
    <cellStyle name="20% - Accent5 6 2 6" xfId="4299"/>
    <cellStyle name="20% - Accent5 6 2 6 2" xfId="19589"/>
    <cellStyle name="20% - Accent5 6 2 6 2 2" xfId="29305"/>
    <cellStyle name="20% - Accent5 6 2 6 2 2 2" xfId="49059"/>
    <cellStyle name="20% - Accent5 6 2 6 2 3" xfId="39415"/>
    <cellStyle name="20% - Accent5 6 2 6 3" xfId="24495"/>
    <cellStyle name="20% - Accent5 6 2 6 3 2" xfId="44250"/>
    <cellStyle name="20% - Accent5 6 2 6 4" xfId="34606"/>
    <cellStyle name="20% - Accent5 6 2 7" xfId="4300"/>
    <cellStyle name="20% - Accent5 6 2 7 2" xfId="19590"/>
    <cellStyle name="20% - Accent5 6 2 7 2 2" xfId="29306"/>
    <cellStyle name="20% - Accent5 6 2 7 2 2 2" xfId="49060"/>
    <cellStyle name="20% - Accent5 6 2 7 2 3" xfId="39416"/>
    <cellStyle name="20% - Accent5 6 2 7 3" xfId="24496"/>
    <cellStyle name="20% - Accent5 6 2 7 3 2" xfId="44251"/>
    <cellStyle name="20% - Accent5 6 2 7 4" xfId="34607"/>
    <cellStyle name="20% - Accent5 6 2 8" xfId="4301"/>
    <cellStyle name="20% - Accent5 6 2 8 2" xfId="19591"/>
    <cellStyle name="20% - Accent5 6 2 8 2 2" xfId="29307"/>
    <cellStyle name="20% - Accent5 6 2 8 2 2 2" xfId="49061"/>
    <cellStyle name="20% - Accent5 6 2 8 2 3" xfId="39417"/>
    <cellStyle name="20% - Accent5 6 2 8 3" xfId="24497"/>
    <cellStyle name="20% - Accent5 6 2 8 3 2" xfId="44252"/>
    <cellStyle name="20% - Accent5 6 2 8 4" xfId="34608"/>
    <cellStyle name="20% - Accent5 6 2 9" xfId="15481"/>
    <cellStyle name="20% - Accent5 6 2 9 2" xfId="20353"/>
    <cellStyle name="20% - Accent5 6 2 9 2 2" xfId="30067"/>
    <cellStyle name="20% - Accent5 6 2 9 2 2 2" xfId="49820"/>
    <cellStyle name="20% - Accent5 6 2 9 2 3" xfId="40176"/>
    <cellStyle name="20% - Accent5 6 2 9 3" xfId="25255"/>
    <cellStyle name="20% - Accent5 6 2 9 3 2" xfId="45009"/>
    <cellStyle name="20% - Accent5 6 2 9 4" xfId="35365"/>
    <cellStyle name="20% - Accent5 6 3" xfId="823"/>
    <cellStyle name="20% - Accent5 6 3 2" xfId="4302"/>
    <cellStyle name="20% - Accent5 6 3 2 2" xfId="4303"/>
    <cellStyle name="20% - Accent5 6 3 2 2 2" xfId="4304"/>
    <cellStyle name="20% - Accent5 6 3 2 2 2 2" xfId="19594"/>
    <cellStyle name="20% - Accent5 6 3 2 2 2 2 2" xfId="29310"/>
    <cellStyle name="20% - Accent5 6 3 2 2 2 2 2 2" xfId="49064"/>
    <cellStyle name="20% - Accent5 6 3 2 2 2 2 3" xfId="39420"/>
    <cellStyle name="20% - Accent5 6 3 2 2 2 3" xfId="24500"/>
    <cellStyle name="20% - Accent5 6 3 2 2 2 3 2" xfId="44255"/>
    <cellStyle name="20% - Accent5 6 3 2 2 2 4" xfId="34611"/>
    <cellStyle name="20% - Accent5 6 3 2 2 3" xfId="19593"/>
    <cellStyle name="20% - Accent5 6 3 2 2 3 2" xfId="29309"/>
    <cellStyle name="20% - Accent5 6 3 2 2 3 2 2" xfId="49063"/>
    <cellStyle name="20% - Accent5 6 3 2 2 3 3" xfId="39419"/>
    <cellStyle name="20% - Accent5 6 3 2 2 4" xfId="24499"/>
    <cellStyle name="20% - Accent5 6 3 2 2 4 2" xfId="44254"/>
    <cellStyle name="20% - Accent5 6 3 2 2 5" xfId="34610"/>
    <cellStyle name="20% - Accent5 6 3 2 3" xfId="4305"/>
    <cellStyle name="20% - Accent5 6 3 2 3 2" xfId="19595"/>
    <cellStyle name="20% - Accent5 6 3 2 3 2 2" xfId="29311"/>
    <cellStyle name="20% - Accent5 6 3 2 3 2 2 2" xfId="49065"/>
    <cellStyle name="20% - Accent5 6 3 2 3 2 3" xfId="39421"/>
    <cellStyle name="20% - Accent5 6 3 2 3 3" xfId="24501"/>
    <cellStyle name="20% - Accent5 6 3 2 3 3 2" xfId="44256"/>
    <cellStyle name="20% - Accent5 6 3 2 3 4" xfId="34612"/>
    <cellStyle name="20% - Accent5 6 3 2 4" xfId="19592"/>
    <cellStyle name="20% - Accent5 6 3 2 4 2" xfId="29308"/>
    <cellStyle name="20% - Accent5 6 3 2 4 2 2" xfId="49062"/>
    <cellStyle name="20% - Accent5 6 3 2 4 3" xfId="39418"/>
    <cellStyle name="20% - Accent5 6 3 2 5" xfId="24498"/>
    <cellStyle name="20% - Accent5 6 3 2 5 2" xfId="44253"/>
    <cellStyle name="20% - Accent5 6 3 2 6" xfId="34609"/>
    <cellStyle name="20% - Accent5 6 3 3" xfId="4306"/>
    <cellStyle name="20% - Accent5 6 3 3 2" xfId="4307"/>
    <cellStyle name="20% - Accent5 6 3 3 2 2" xfId="19597"/>
    <cellStyle name="20% - Accent5 6 3 3 2 2 2" xfId="29313"/>
    <cellStyle name="20% - Accent5 6 3 3 2 2 2 2" xfId="49067"/>
    <cellStyle name="20% - Accent5 6 3 3 2 2 3" xfId="39423"/>
    <cellStyle name="20% - Accent5 6 3 3 2 3" xfId="24503"/>
    <cellStyle name="20% - Accent5 6 3 3 2 3 2" xfId="44258"/>
    <cellStyle name="20% - Accent5 6 3 3 2 4" xfId="34614"/>
    <cellStyle name="20% - Accent5 6 3 3 3" xfId="19596"/>
    <cellStyle name="20% - Accent5 6 3 3 3 2" xfId="29312"/>
    <cellStyle name="20% - Accent5 6 3 3 3 2 2" xfId="49066"/>
    <cellStyle name="20% - Accent5 6 3 3 3 3" xfId="39422"/>
    <cellStyle name="20% - Accent5 6 3 3 4" xfId="24502"/>
    <cellStyle name="20% - Accent5 6 3 3 4 2" xfId="44257"/>
    <cellStyle name="20% - Accent5 6 3 3 5" xfId="34613"/>
    <cellStyle name="20% - Accent5 6 3 4" xfId="4308"/>
    <cellStyle name="20% - Accent5 6 3 4 2" xfId="19598"/>
    <cellStyle name="20% - Accent5 6 3 4 2 2" xfId="29314"/>
    <cellStyle name="20% - Accent5 6 3 4 2 2 2" xfId="49068"/>
    <cellStyle name="20% - Accent5 6 3 4 2 3" xfId="39424"/>
    <cellStyle name="20% - Accent5 6 3 4 3" xfId="24504"/>
    <cellStyle name="20% - Accent5 6 3 4 3 2" xfId="44259"/>
    <cellStyle name="20% - Accent5 6 3 4 4" xfId="34615"/>
    <cellStyle name="20% - Accent5 6 3 5" xfId="16170"/>
    <cellStyle name="20% - Accent5 6 3 5 2" xfId="25886"/>
    <cellStyle name="20% - Accent5 6 3 5 2 2" xfId="45640"/>
    <cellStyle name="20% - Accent5 6 3 5 3" xfId="35996"/>
    <cellStyle name="20% - Accent5 6 3 6" xfId="21076"/>
    <cellStyle name="20% - Accent5 6 3 6 2" xfId="40831"/>
    <cellStyle name="20% - Accent5 6 3 7" xfId="31187"/>
    <cellStyle name="20% - Accent5 6 4" xfId="824"/>
    <cellStyle name="20% - Accent5 6 4 2" xfId="4309"/>
    <cellStyle name="20% - Accent5 6 4 2 2" xfId="4310"/>
    <cellStyle name="20% - Accent5 6 4 2 2 2" xfId="4311"/>
    <cellStyle name="20% - Accent5 6 4 2 2 2 2" xfId="19601"/>
    <cellStyle name="20% - Accent5 6 4 2 2 2 2 2" xfId="29317"/>
    <cellStyle name="20% - Accent5 6 4 2 2 2 2 2 2" xfId="49071"/>
    <cellStyle name="20% - Accent5 6 4 2 2 2 2 3" xfId="39427"/>
    <cellStyle name="20% - Accent5 6 4 2 2 2 3" xfId="24507"/>
    <cellStyle name="20% - Accent5 6 4 2 2 2 3 2" xfId="44262"/>
    <cellStyle name="20% - Accent5 6 4 2 2 2 4" xfId="34618"/>
    <cellStyle name="20% - Accent5 6 4 2 2 3" xfId="19600"/>
    <cellStyle name="20% - Accent5 6 4 2 2 3 2" xfId="29316"/>
    <cellStyle name="20% - Accent5 6 4 2 2 3 2 2" xfId="49070"/>
    <cellStyle name="20% - Accent5 6 4 2 2 3 3" xfId="39426"/>
    <cellStyle name="20% - Accent5 6 4 2 2 4" xfId="24506"/>
    <cellStyle name="20% - Accent5 6 4 2 2 4 2" xfId="44261"/>
    <cellStyle name="20% - Accent5 6 4 2 2 5" xfId="34617"/>
    <cellStyle name="20% - Accent5 6 4 2 3" xfId="4312"/>
    <cellStyle name="20% - Accent5 6 4 2 3 2" xfId="19602"/>
    <cellStyle name="20% - Accent5 6 4 2 3 2 2" xfId="29318"/>
    <cellStyle name="20% - Accent5 6 4 2 3 2 2 2" xfId="49072"/>
    <cellStyle name="20% - Accent5 6 4 2 3 2 3" xfId="39428"/>
    <cellStyle name="20% - Accent5 6 4 2 3 3" xfId="24508"/>
    <cellStyle name="20% - Accent5 6 4 2 3 3 2" xfId="44263"/>
    <cellStyle name="20% - Accent5 6 4 2 3 4" xfId="34619"/>
    <cellStyle name="20% - Accent5 6 4 2 4" xfId="19599"/>
    <cellStyle name="20% - Accent5 6 4 2 4 2" xfId="29315"/>
    <cellStyle name="20% - Accent5 6 4 2 4 2 2" xfId="49069"/>
    <cellStyle name="20% - Accent5 6 4 2 4 3" xfId="39425"/>
    <cellStyle name="20% - Accent5 6 4 2 5" xfId="24505"/>
    <cellStyle name="20% - Accent5 6 4 2 5 2" xfId="44260"/>
    <cellStyle name="20% - Accent5 6 4 2 6" xfId="34616"/>
    <cellStyle name="20% - Accent5 6 4 3" xfId="4313"/>
    <cellStyle name="20% - Accent5 6 4 3 2" xfId="4314"/>
    <cellStyle name="20% - Accent5 6 4 3 2 2" xfId="19604"/>
    <cellStyle name="20% - Accent5 6 4 3 2 2 2" xfId="29320"/>
    <cellStyle name="20% - Accent5 6 4 3 2 2 2 2" xfId="49074"/>
    <cellStyle name="20% - Accent5 6 4 3 2 2 3" xfId="39430"/>
    <cellStyle name="20% - Accent5 6 4 3 2 3" xfId="24510"/>
    <cellStyle name="20% - Accent5 6 4 3 2 3 2" xfId="44265"/>
    <cellStyle name="20% - Accent5 6 4 3 2 4" xfId="34621"/>
    <cellStyle name="20% - Accent5 6 4 3 3" xfId="19603"/>
    <cellStyle name="20% - Accent5 6 4 3 3 2" xfId="29319"/>
    <cellStyle name="20% - Accent5 6 4 3 3 2 2" xfId="49073"/>
    <cellStyle name="20% - Accent5 6 4 3 3 3" xfId="39429"/>
    <cellStyle name="20% - Accent5 6 4 3 4" xfId="24509"/>
    <cellStyle name="20% - Accent5 6 4 3 4 2" xfId="44264"/>
    <cellStyle name="20% - Accent5 6 4 3 5" xfId="34620"/>
    <cellStyle name="20% - Accent5 6 4 4" xfId="4315"/>
    <cellStyle name="20% - Accent5 6 4 4 2" xfId="19605"/>
    <cellStyle name="20% - Accent5 6 4 4 2 2" xfId="29321"/>
    <cellStyle name="20% - Accent5 6 4 4 2 2 2" xfId="49075"/>
    <cellStyle name="20% - Accent5 6 4 4 2 3" xfId="39431"/>
    <cellStyle name="20% - Accent5 6 4 4 3" xfId="24511"/>
    <cellStyle name="20% - Accent5 6 4 4 3 2" xfId="44266"/>
    <cellStyle name="20% - Accent5 6 4 4 4" xfId="34622"/>
    <cellStyle name="20% - Accent5 6 4 5" xfId="16171"/>
    <cellStyle name="20% - Accent5 6 4 5 2" xfId="25887"/>
    <cellStyle name="20% - Accent5 6 4 5 2 2" xfId="45641"/>
    <cellStyle name="20% - Accent5 6 4 5 3" xfId="35997"/>
    <cellStyle name="20% - Accent5 6 4 6" xfId="21077"/>
    <cellStyle name="20% - Accent5 6 4 6 2" xfId="40832"/>
    <cellStyle name="20% - Accent5 6 4 7" xfId="31188"/>
    <cellStyle name="20% - Accent5 6 5" xfId="4316"/>
    <cellStyle name="20% - Accent5 6 5 2" xfId="4317"/>
    <cellStyle name="20% - Accent5 6 5 2 2" xfId="4318"/>
    <cellStyle name="20% - Accent5 6 5 2 2 2" xfId="19608"/>
    <cellStyle name="20% - Accent5 6 5 2 2 2 2" xfId="29324"/>
    <cellStyle name="20% - Accent5 6 5 2 2 2 2 2" xfId="49078"/>
    <cellStyle name="20% - Accent5 6 5 2 2 2 3" xfId="39434"/>
    <cellStyle name="20% - Accent5 6 5 2 2 3" xfId="24514"/>
    <cellStyle name="20% - Accent5 6 5 2 2 3 2" xfId="44269"/>
    <cellStyle name="20% - Accent5 6 5 2 2 4" xfId="34625"/>
    <cellStyle name="20% - Accent5 6 5 2 3" xfId="19607"/>
    <cellStyle name="20% - Accent5 6 5 2 3 2" xfId="29323"/>
    <cellStyle name="20% - Accent5 6 5 2 3 2 2" xfId="49077"/>
    <cellStyle name="20% - Accent5 6 5 2 3 3" xfId="39433"/>
    <cellStyle name="20% - Accent5 6 5 2 4" xfId="24513"/>
    <cellStyle name="20% - Accent5 6 5 2 4 2" xfId="44268"/>
    <cellStyle name="20% - Accent5 6 5 2 5" xfId="34624"/>
    <cellStyle name="20% - Accent5 6 5 3" xfId="4319"/>
    <cellStyle name="20% - Accent5 6 5 3 2" xfId="19609"/>
    <cellStyle name="20% - Accent5 6 5 3 2 2" xfId="29325"/>
    <cellStyle name="20% - Accent5 6 5 3 2 2 2" xfId="49079"/>
    <cellStyle name="20% - Accent5 6 5 3 2 3" xfId="39435"/>
    <cellStyle name="20% - Accent5 6 5 3 3" xfId="24515"/>
    <cellStyle name="20% - Accent5 6 5 3 3 2" xfId="44270"/>
    <cellStyle name="20% - Accent5 6 5 3 4" xfId="34626"/>
    <cellStyle name="20% - Accent5 6 5 4" xfId="19606"/>
    <cellStyle name="20% - Accent5 6 5 4 2" xfId="29322"/>
    <cellStyle name="20% - Accent5 6 5 4 2 2" xfId="49076"/>
    <cellStyle name="20% - Accent5 6 5 4 3" xfId="39432"/>
    <cellStyle name="20% - Accent5 6 5 5" xfId="24512"/>
    <cellStyle name="20% - Accent5 6 5 5 2" xfId="44267"/>
    <cellStyle name="20% - Accent5 6 5 6" xfId="34623"/>
    <cellStyle name="20% - Accent5 6 6" xfId="4320"/>
    <cellStyle name="20% - Accent5 6 6 2" xfId="4321"/>
    <cellStyle name="20% - Accent5 6 6 2 2" xfId="19611"/>
    <cellStyle name="20% - Accent5 6 6 2 2 2" xfId="29327"/>
    <cellStyle name="20% - Accent5 6 6 2 2 2 2" xfId="49081"/>
    <cellStyle name="20% - Accent5 6 6 2 2 3" xfId="39437"/>
    <cellStyle name="20% - Accent5 6 6 2 3" xfId="24517"/>
    <cellStyle name="20% - Accent5 6 6 2 3 2" xfId="44272"/>
    <cellStyle name="20% - Accent5 6 6 2 4" xfId="34628"/>
    <cellStyle name="20% - Accent5 6 6 3" xfId="19610"/>
    <cellStyle name="20% - Accent5 6 6 3 2" xfId="29326"/>
    <cellStyle name="20% - Accent5 6 6 3 2 2" xfId="49080"/>
    <cellStyle name="20% - Accent5 6 6 3 3" xfId="39436"/>
    <cellStyle name="20% - Accent5 6 6 4" xfId="24516"/>
    <cellStyle name="20% - Accent5 6 6 4 2" xfId="44271"/>
    <cellStyle name="20% - Accent5 6 6 5" xfId="34627"/>
    <cellStyle name="20% - Accent5 6 7" xfId="4322"/>
    <cellStyle name="20% - Accent5 6 7 2" xfId="4323"/>
    <cellStyle name="20% - Accent5 6 7 2 2" xfId="19613"/>
    <cellStyle name="20% - Accent5 6 7 2 2 2" xfId="29329"/>
    <cellStyle name="20% - Accent5 6 7 2 2 2 2" xfId="49083"/>
    <cellStyle name="20% - Accent5 6 7 2 2 3" xfId="39439"/>
    <cellStyle name="20% - Accent5 6 7 2 3" xfId="24519"/>
    <cellStyle name="20% - Accent5 6 7 2 3 2" xfId="44274"/>
    <cellStyle name="20% - Accent5 6 7 2 4" xfId="34630"/>
    <cellStyle name="20% - Accent5 6 7 3" xfId="19612"/>
    <cellStyle name="20% - Accent5 6 7 3 2" xfId="29328"/>
    <cellStyle name="20% - Accent5 6 7 3 2 2" xfId="49082"/>
    <cellStyle name="20% - Accent5 6 7 3 3" xfId="39438"/>
    <cellStyle name="20% - Accent5 6 7 4" xfId="24518"/>
    <cellStyle name="20% - Accent5 6 7 4 2" xfId="44273"/>
    <cellStyle name="20% - Accent5 6 7 5" xfId="34629"/>
    <cellStyle name="20% - Accent5 6 8" xfId="4324"/>
    <cellStyle name="20% - Accent5 6 8 2" xfId="19614"/>
    <cellStyle name="20% - Accent5 6 8 2 2" xfId="29330"/>
    <cellStyle name="20% - Accent5 6 8 2 2 2" xfId="49084"/>
    <cellStyle name="20% - Accent5 6 8 2 3" xfId="39440"/>
    <cellStyle name="20% - Accent5 6 8 3" xfId="24520"/>
    <cellStyle name="20% - Accent5 6 8 3 2" xfId="44275"/>
    <cellStyle name="20% - Accent5 6 8 4" xfId="34631"/>
    <cellStyle name="20% - Accent5 6 9" xfId="4325"/>
    <cellStyle name="20% - Accent5 6 9 2" xfId="19615"/>
    <cellStyle name="20% - Accent5 6 9 2 2" xfId="29331"/>
    <cellStyle name="20% - Accent5 6 9 2 2 2" xfId="49085"/>
    <cellStyle name="20% - Accent5 6 9 2 3" xfId="39441"/>
    <cellStyle name="20% - Accent5 6 9 3" xfId="24521"/>
    <cellStyle name="20% - Accent5 6 9 3 2" xfId="44276"/>
    <cellStyle name="20% - Accent5 6 9 4" xfId="34632"/>
    <cellStyle name="20% - Accent5 7" xfId="94"/>
    <cellStyle name="20% - Accent5 7 10" xfId="30871"/>
    <cellStyle name="20% - Accent5 7 2" xfId="95"/>
    <cellStyle name="20% - Accent5 7 2 2" xfId="825"/>
    <cellStyle name="20% - Accent5 7 2 2 2" xfId="4326"/>
    <cellStyle name="20% - Accent5 7 2 2 2 2" xfId="4327"/>
    <cellStyle name="20% - Accent5 7 2 2 2 2 2" xfId="19617"/>
    <cellStyle name="20% - Accent5 7 2 2 2 2 2 2" xfId="29333"/>
    <cellStyle name="20% - Accent5 7 2 2 2 2 2 2 2" xfId="49087"/>
    <cellStyle name="20% - Accent5 7 2 2 2 2 2 3" xfId="39443"/>
    <cellStyle name="20% - Accent5 7 2 2 2 2 3" xfId="24523"/>
    <cellStyle name="20% - Accent5 7 2 2 2 2 3 2" xfId="44278"/>
    <cellStyle name="20% - Accent5 7 2 2 2 2 4" xfId="34634"/>
    <cellStyle name="20% - Accent5 7 2 2 2 3" xfId="19616"/>
    <cellStyle name="20% - Accent5 7 2 2 2 3 2" xfId="29332"/>
    <cellStyle name="20% - Accent5 7 2 2 2 3 2 2" xfId="49086"/>
    <cellStyle name="20% - Accent5 7 2 2 2 3 3" xfId="39442"/>
    <cellStyle name="20% - Accent5 7 2 2 2 4" xfId="24522"/>
    <cellStyle name="20% - Accent5 7 2 2 2 4 2" xfId="44277"/>
    <cellStyle name="20% - Accent5 7 2 2 2 5" xfId="34633"/>
    <cellStyle name="20% - Accent5 7 2 2 3" xfId="4328"/>
    <cellStyle name="20% - Accent5 7 2 2 3 2" xfId="19618"/>
    <cellStyle name="20% - Accent5 7 2 2 3 2 2" xfId="29334"/>
    <cellStyle name="20% - Accent5 7 2 2 3 2 2 2" xfId="49088"/>
    <cellStyle name="20% - Accent5 7 2 2 3 2 3" xfId="39444"/>
    <cellStyle name="20% - Accent5 7 2 2 3 3" xfId="24524"/>
    <cellStyle name="20% - Accent5 7 2 2 3 3 2" xfId="44279"/>
    <cellStyle name="20% - Accent5 7 2 2 3 4" xfId="34635"/>
    <cellStyle name="20% - Accent5 7 2 2 4" xfId="16172"/>
    <cellStyle name="20% - Accent5 7 2 2 4 2" xfId="25888"/>
    <cellStyle name="20% - Accent5 7 2 2 4 2 2" xfId="45642"/>
    <cellStyle name="20% - Accent5 7 2 2 4 3" xfId="35998"/>
    <cellStyle name="20% - Accent5 7 2 2 5" xfId="21078"/>
    <cellStyle name="20% - Accent5 7 2 2 5 2" xfId="40833"/>
    <cellStyle name="20% - Accent5 7 2 2 6" xfId="31189"/>
    <cellStyle name="20% - Accent5 7 2 3" xfId="826"/>
    <cellStyle name="20% - Accent5 7 2 3 2" xfId="4329"/>
    <cellStyle name="20% - Accent5 7 2 3 2 2" xfId="19619"/>
    <cellStyle name="20% - Accent5 7 2 3 2 2 2" xfId="29335"/>
    <cellStyle name="20% - Accent5 7 2 3 2 2 2 2" xfId="49089"/>
    <cellStyle name="20% - Accent5 7 2 3 2 2 3" xfId="39445"/>
    <cellStyle name="20% - Accent5 7 2 3 2 3" xfId="24525"/>
    <cellStyle name="20% - Accent5 7 2 3 2 3 2" xfId="44280"/>
    <cellStyle name="20% - Accent5 7 2 3 2 4" xfId="34636"/>
    <cellStyle name="20% - Accent5 7 2 3 3" xfId="16173"/>
    <cellStyle name="20% - Accent5 7 2 3 3 2" xfId="25889"/>
    <cellStyle name="20% - Accent5 7 2 3 3 2 2" xfId="45643"/>
    <cellStyle name="20% - Accent5 7 2 3 3 3" xfId="35999"/>
    <cellStyle name="20% - Accent5 7 2 3 4" xfId="21079"/>
    <cellStyle name="20% - Accent5 7 2 3 4 2" xfId="40834"/>
    <cellStyle name="20% - Accent5 7 2 3 5" xfId="31190"/>
    <cellStyle name="20% - Accent5 7 2 4" xfId="4330"/>
    <cellStyle name="20% - Accent5 7 2 4 2" xfId="19620"/>
    <cellStyle name="20% - Accent5 7 2 4 2 2" xfId="29336"/>
    <cellStyle name="20% - Accent5 7 2 4 2 2 2" xfId="49090"/>
    <cellStyle name="20% - Accent5 7 2 4 2 3" xfId="39446"/>
    <cellStyle name="20% - Accent5 7 2 4 3" xfId="24526"/>
    <cellStyle name="20% - Accent5 7 2 4 3 2" xfId="44281"/>
    <cellStyle name="20% - Accent5 7 2 4 4" xfId="34637"/>
    <cellStyle name="20% - Accent5 7 2 5" xfId="15483"/>
    <cellStyle name="20% - Accent5 7 2 5 2" xfId="20355"/>
    <cellStyle name="20% - Accent5 7 2 5 2 2" xfId="30069"/>
    <cellStyle name="20% - Accent5 7 2 5 2 2 2" xfId="49822"/>
    <cellStyle name="20% - Accent5 7 2 5 2 3" xfId="40178"/>
    <cellStyle name="20% - Accent5 7 2 5 3" xfId="25257"/>
    <cellStyle name="20% - Accent5 7 2 5 3 2" xfId="45011"/>
    <cellStyle name="20% - Accent5 7 2 5 4" xfId="35367"/>
    <cellStyle name="20% - Accent5 7 2 6" xfId="15886"/>
    <cellStyle name="20% - Accent5 7 2 6 2" xfId="25602"/>
    <cellStyle name="20% - Accent5 7 2 6 2 2" xfId="45356"/>
    <cellStyle name="20% - Accent5 7 2 6 3" xfId="35712"/>
    <cellStyle name="20% - Accent5 7 2 7" xfId="20761"/>
    <cellStyle name="20% - Accent5 7 2 7 2" xfId="40541"/>
    <cellStyle name="20% - Accent5 7 2 8" xfId="30497"/>
    <cellStyle name="20% - Accent5 7 2 8 2" xfId="50245"/>
    <cellStyle name="20% - Accent5 7 2 9" xfId="30872"/>
    <cellStyle name="20% - Accent5 7 3" xfId="827"/>
    <cellStyle name="20% - Accent5 7 3 2" xfId="4331"/>
    <cellStyle name="20% - Accent5 7 3 2 2" xfId="4332"/>
    <cellStyle name="20% - Accent5 7 3 2 2 2" xfId="19622"/>
    <cellStyle name="20% - Accent5 7 3 2 2 2 2" xfId="29338"/>
    <cellStyle name="20% - Accent5 7 3 2 2 2 2 2" xfId="49092"/>
    <cellStyle name="20% - Accent5 7 3 2 2 2 3" xfId="39448"/>
    <cellStyle name="20% - Accent5 7 3 2 2 3" xfId="24528"/>
    <cellStyle name="20% - Accent5 7 3 2 2 3 2" xfId="44283"/>
    <cellStyle name="20% - Accent5 7 3 2 2 4" xfId="34639"/>
    <cellStyle name="20% - Accent5 7 3 2 3" xfId="19621"/>
    <cellStyle name="20% - Accent5 7 3 2 3 2" xfId="29337"/>
    <cellStyle name="20% - Accent5 7 3 2 3 2 2" xfId="49091"/>
    <cellStyle name="20% - Accent5 7 3 2 3 3" xfId="39447"/>
    <cellStyle name="20% - Accent5 7 3 2 4" xfId="24527"/>
    <cellStyle name="20% - Accent5 7 3 2 4 2" xfId="44282"/>
    <cellStyle name="20% - Accent5 7 3 2 5" xfId="34638"/>
    <cellStyle name="20% - Accent5 7 3 3" xfId="4333"/>
    <cellStyle name="20% - Accent5 7 3 3 2" xfId="19623"/>
    <cellStyle name="20% - Accent5 7 3 3 2 2" xfId="29339"/>
    <cellStyle name="20% - Accent5 7 3 3 2 2 2" xfId="49093"/>
    <cellStyle name="20% - Accent5 7 3 3 2 3" xfId="39449"/>
    <cellStyle name="20% - Accent5 7 3 3 3" xfId="24529"/>
    <cellStyle name="20% - Accent5 7 3 3 3 2" xfId="44284"/>
    <cellStyle name="20% - Accent5 7 3 3 4" xfId="34640"/>
    <cellStyle name="20% - Accent5 7 3 4" xfId="16174"/>
    <cellStyle name="20% - Accent5 7 3 4 2" xfId="25890"/>
    <cellStyle name="20% - Accent5 7 3 4 2 2" xfId="45644"/>
    <cellStyle name="20% - Accent5 7 3 4 3" xfId="36000"/>
    <cellStyle name="20% - Accent5 7 3 5" xfId="21080"/>
    <cellStyle name="20% - Accent5 7 3 5 2" xfId="40835"/>
    <cellStyle name="20% - Accent5 7 3 6" xfId="31191"/>
    <cellStyle name="20% - Accent5 7 4" xfId="828"/>
    <cellStyle name="20% - Accent5 7 4 2" xfId="4334"/>
    <cellStyle name="20% - Accent5 7 4 2 2" xfId="19624"/>
    <cellStyle name="20% - Accent5 7 4 2 2 2" xfId="29340"/>
    <cellStyle name="20% - Accent5 7 4 2 2 2 2" xfId="49094"/>
    <cellStyle name="20% - Accent5 7 4 2 2 3" xfId="39450"/>
    <cellStyle name="20% - Accent5 7 4 2 3" xfId="24530"/>
    <cellStyle name="20% - Accent5 7 4 2 3 2" xfId="44285"/>
    <cellStyle name="20% - Accent5 7 4 2 4" xfId="34641"/>
    <cellStyle name="20% - Accent5 7 4 3" xfId="16175"/>
    <cellStyle name="20% - Accent5 7 4 3 2" xfId="25891"/>
    <cellStyle name="20% - Accent5 7 4 3 2 2" xfId="45645"/>
    <cellStyle name="20% - Accent5 7 4 3 3" xfId="36001"/>
    <cellStyle name="20% - Accent5 7 4 4" xfId="21081"/>
    <cellStyle name="20% - Accent5 7 4 4 2" xfId="40836"/>
    <cellStyle name="20% - Accent5 7 4 5" xfId="31192"/>
    <cellStyle name="20% - Accent5 7 5" xfId="4335"/>
    <cellStyle name="20% - Accent5 7 5 2" xfId="19625"/>
    <cellStyle name="20% - Accent5 7 5 2 2" xfId="29341"/>
    <cellStyle name="20% - Accent5 7 5 2 2 2" xfId="49095"/>
    <cellStyle name="20% - Accent5 7 5 2 3" xfId="39451"/>
    <cellStyle name="20% - Accent5 7 5 3" xfId="24531"/>
    <cellStyle name="20% - Accent5 7 5 3 2" xfId="44286"/>
    <cellStyle name="20% - Accent5 7 5 4" xfId="34642"/>
    <cellStyle name="20% - Accent5 7 6" xfId="15482"/>
    <cellStyle name="20% - Accent5 7 6 2" xfId="20354"/>
    <cellStyle name="20% - Accent5 7 6 2 2" xfId="30068"/>
    <cellStyle name="20% - Accent5 7 6 2 2 2" xfId="49821"/>
    <cellStyle name="20% - Accent5 7 6 2 3" xfId="40177"/>
    <cellStyle name="20% - Accent5 7 6 3" xfId="25256"/>
    <cellStyle name="20% - Accent5 7 6 3 2" xfId="45010"/>
    <cellStyle name="20% - Accent5 7 6 4" xfId="35366"/>
    <cellStyle name="20% - Accent5 7 7" xfId="15885"/>
    <cellStyle name="20% - Accent5 7 7 2" xfId="25601"/>
    <cellStyle name="20% - Accent5 7 7 2 2" xfId="45355"/>
    <cellStyle name="20% - Accent5 7 7 3" xfId="35711"/>
    <cellStyle name="20% - Accent5 7 8" xfId="20760"/>
    <cellStyle name="20% - Accent5 7 8 2" xfId="40540"/>
    <cellStyle name="20% - Accent5 7 9" xfId="30496"/>
    <cellStyle name="20% - Accent5 7 9 2" xfId="50244"/>
    <cellStyle name="20% - Accent5 8" xfId="96"/>
    <cellStyle name="20% - Accent5 8 10" xfId="30873"/>
    <cellStyle name="20% - Accent5 8 2" xfId="97"/>
    <cellStyle name="20% - Accent5 8 2 2" xfId="829"/>
    <cellStyle name="20% - Accent5 8 2 2 2" xfId="4336"/>
    <cellStyle name="20% - Accent5 8 2 2 2 2" xfId="4337"/>
    <cellStyle name="20% - Accent5 8 2 2 2 2 2" xfId="19627"/>
    <cellStyle name="20% - Accent5 8 2 2 2 2 2 2" xfId="29343"/>
    <cellStyle name="20% - Accent5 8 2 2 2 2 2 2 2" xfId="49097"/>
    <cellStyle name="20% - Accent5 8 2 2 2 2 2 3" xfId="39453"/>
    <cellStyle name="20% - Accent5 8 2 2 2 2 3" xfId="24533"/>
    <cellStyle name="20% - Accent5 8 2 2 2 2 3 2" xfId="44288"/>
    <cellStyle name="20% - Accent5 8 2 2 2 2 4" xfId="34644"/>
    <cellStyle name="20% - Accent5 8 2 2 2 3" xfId="19626"/>
    <cellStyle name="20% - Accent5 8 2 2 2 3 2" xfId="29342"/>
    <cellStyle name="20% - Accent5 8 2 2 2 3 2 2" xfId="49096"/>
    <cellStyle name="20% - Accent5 8 2 2 2 3 3" xfId="39452"/>
    <cellStyle name="20% - Accent5 8 2 2 2 4" xfId="24532"/>
    <cellStyle name="20% - Accent5 8 2 2 2 4 2" xfId="44287"/>
    <cellStyle name="20% - Accent5 8 2 2 2 5" xfId="34643"/>
    <cellStyle name="20% - Accent5 8 2 2 3" xfId="4338"/>
    <cellStyle name="20% - Accent5 8 2 2 3 2" xfId="19628"/>
    <cellStyle name="20% - Accent5 8 2 2 3 2 2" xfId="29344"/>
    <cellStyle name="20% - Accent5 8 2 2 3 2 2 2" xfId="49098"/>
    <cellStyle name="20% - Accent5 8 2 2 3 2 3" xfId="39454"/>
    <cellStyle name="20% - Accent5 8 2 2 3 3" xfId="24534"/>
    <cellStyle name="20% - Accent5 8 2 2 3 3 2" xfId="44289"/>
    <cellStyle name="20% - Accent5 8 2 2 3 4" xfId="34645"/>
    <cellStyle name="20% - Accent5 8 2 2 4" xfId="16176"/>
    <cellStyle name="20% - Accent5 8 2 2 4 2" xfId="25892"/>
    <cellStyle name="20% - Accent5 8 2 2 4 2 2" xfId="45646"/>
    <cellStyle name="20% - Accent5 8 2 2 4 3" xfId="36002"/>
    <cellStyle name="20% - Accent5 8 2 2 5" xfId="21082"/>
    <cellStyle name="20% - Accent5 8 2 2 5 2" xfId="40837"/>
    <cellStyle name="20% - Accent5 8 2 2 6" xfId="31193"/>
    <cellStyle name="20% - Accent5 8 2 3" xfId="830"/>
    <cellStyle name="20% - Accent5 8 2 3 2" xfId="4339"/>
    <cellStyle name="20% - Accent5 8 2 3 2 2" xfId="19629"/>
    <cellStyle name="20% - Accent5 8 2 3 2 2 2" xfId="29345"/>
    <cellStyle name="20% - Accent5 8 2 3 2 2 2 2" xfId="49099"/>
    <cellStyle name="20% - Accent5 8 2 3 2 2 3" xfId="39455"/>
    <cellStyle name="20% - Accent5 8 2 3 2 3" xfId="24535"/>
    <cellStyle name="20% - Accent5 8 2 3 2 3 2" xfId="44290"/>
    <cellStyle name="20% - Accent5 8 2 3 2 4" xfId="34646"/>
    <cellStyle name="20% - Accent5 8 2 3 3" xfId="16177"/>
    <cellStyle name="20% - Accent5 8 2 3 3 2" xfId="25893"/>
    <cellStyle name="20% - Accent5 8 2 3 3 2 2" xfId="45647"/>
    <cellStyle name="20% - Accent5 8 2 3 3 3" xfId="36003"/>
    <cellStyle name="20% - Accent5 8 2 3 4" xfId="21083"/>
    <cellStyle name="20% - Accent5 8 2 3 4 2" xfId="40838"/>
    <cellStyle name="20% - Accent5 8 2 3 5" xfId="31194"/>
    <cellStyle name="20% - Accent5 8 2 4" xfId="4340"/>
    <cellStyle name="20% - Accent5 8 2 4 2" xfId="19630"/>
    <cellStyle name="20% - Accent5 8 2 4 2 2" xfId="29346"/>
    <cellStyle name="20% - Accent5 8 2 4 2 2 2" xfId="49100"/>
    <cellStyle name="20% - Accent5 8 2 4 2 3" xfId="39456"/>
    <cellStyle name="20% - Accent5 8 2 4 3" xfId="24536"/>
    <cellStyle name="20% - Accent5 8 2 4 3 2" xfId="44291"/>
    <cellStyle name="20% - Accent5 8 2 4 4" xfId="34647"/>
    <cellStyle name="20% - Accent5 8 2 5" xfId="15485"/>
    <cellStyle name="20% - Accent5 8 2 5 2" xfId="20357"/>
    <cellStyle name="20% - Accent5 8 2 5 2 2" xfId="30071"/>
    <cellStyle name="20% - Accent5 8 2 5 2 2 2" xfId="49824"/>
    <cellStyle name="20% - Accent5 8 2 5 2 3" xfId="40180"/>
    <cellStyle name="20% - Accent5 8 2 5 3" xfId="25259"/>
    <cellStyle name="20% - Accent5 8 2 5 3 2" xfId="45013"/>
    <cellStyle name="20% - Accent5 8 2 5 4" xfId="35369"/>
    <cellStyle name="20% - Accent5 8 2 6" xfId="15888"/>
    <cellStyle name="20% - Accent5 8 2 6 2" xfId="25604"/>
    <cellStyle name="20% - Accent5 8 2 6 2 2" xfId="45358"/>
    <cellStyle name="20% - Accent5 8 2 6 3" xfId="35714"/>
    <cellStyle name="20% - Accent5 8 2 7" xfId="20763"/>
    <cellStyle name="20% - Accent5 8 2 7 2" xfId="40543"/>
    <cellStyle name="20% - Accent5 8 2 8" xfId="30499"/>
    <cellStyle name="20% - Accent5 8 2 8 2" xfId="50247"/>
    <cellStyle name="20% - Accent5 8 2 9" xfId="30874"/>
    <cellStyle name="20% - Accent5 8 3" xfId="831"/>
    <cellStyle name="20% - Accent5 8 3 2" xfId="4341"/>
    <cellStyle name="20% - Accent5 8 3 2 2" xfId="4342"/>
    <cellStyle name="20% - Accent5 8 3 2 2 2" xfId="19632"/>
    <cellStyle name="20% - Accent5 8 3 2 2 2 2" xfId="29348"/>
    <cellStyle name="20% - Accent5 8 3 2 2 2 2 2" xfId="49102"/>
    <cellStyle name="20% - Accent5 8 3 2 2 2 3" xfId="39458"/>
    <cellStyle name="20% - Accent5 8 3 2 2 3" xfId="24538"/>
    <cellStyle name="20% - Accent5 8 3 2 2 3 2" xfId="44293"/>
    <cellStyle name="20% - Accent5 8 3 2 2 4" xfId="34649"/>
    <cellStyle name="20% - Accent5 8 3 2 3" xfId="19631"/>
    <cellStyle name="20% - Accent5 8 3 2 3 2" xfId="29347"/>
    <cellStyle name="20% - Accent5 8 3 2 3 2 2" xfId="49101"/>
    <cellStyle name="20% - Accent5 8 3 2 3 3" xfId="39457"/>
    <cellStyle name="20% - Accent5 8 3 2 4" xfId="24537"/>
    <cellStyle name="20% - Accent5 8 3 2 4 2" xfId="44292"/>
    <cellStyle name="20% - Accent5 8 3 2 5" xfId="34648"/>
    <cellStyle name="20% - Accent5 8 3 3" xfId="4343"/>
    <cellStyle name="20% - Accent5 8 3 3 2" xfId="19633"/>
    <cellStyle name="20% - Accent5 8 3 3 2 2" xfId="29349"/>
    <cellStyle name="20% - Accent5 8 3 3 2 2 2" xfId="49103"/>
    <cellStyle name="20% - Accent5 8 3 3 2 3" xfId="39459"/>
    <cellStyle name="20% - Accent5 8 3 3 3" xfId="24539"/>
    <cellStyle name="20% - Accent5 8 3 3 3 2" xfId="44294"/>
    <cellStyle name="20% - Accent5 8 3 3 4" xfId="34650"/>
    <cellStyle name="20% - Accent5 8 3 4" xfId="16178"/>
    <cellStyle name="20% - Accent5 8 3 4 2" xfId="25894"/>
    <cellStyle name="20% - Accent5 8 3 4 2 2" xfId="45648"/>
    <cellStyle name="20% - Accent5 8 3 4 3" xfId="36004"/>
    <cellStyle name="20% - Accent5 8 3 5" xfId="21084"/>
    <cellStyle name="20% - Accent5 8 3 5 2" xfId="40839"/>
    <cellStyle name="20% - Accent5 8 3 6" xfId="31195"/>
    <cellStyle name="20% - Accent5 8 4" xfId="832"/>
    <cellStyle name="20% - Accent5 8 4 2" xfId="4344"/>
    <cellStyle name="20% - Accent5 8 4 2 2" xfId="19634"/>
    <cellStyle name="20% - Accent5 8 4 2 2 2" xfId="29350"/>
    <cellStyle name="20% - Accent5 8 4 2 2 2 2" xfId="49104"/>
    <cellStyle name="20% - Accent5 8 4 2 2 3" xfId="39460"/>
    <cellStyle name="20% - Accent5 8 4 2 3" xfId="24540"/>
    <cellStyle name="20% - Accent5 8 4 2 3 2" xfId="44295"/>
    <cellStyle name="20% - Accent5 8 4 2 4" xfId="34651"/>
    <cellStyle name="20% - Accent5 8 4 3" xfId="16179"/>
    <cellStyle name="20% - Accent5 8 4 3 2" xfId="25895"/>
    <cellStyle name="20% - Accent5 8 4 3 2 2" xfId="45649"/>
    <cellStyle name="20% - Accent5 8 4 3 3" xfId="36005"/>
    <cellStyle name="20% - Accent5 8 4 4" xfId="21085"/>
    <cellStyle name="20% - Accent5 8 4 4 2" xfId="40840"/>
    <cellStyle name="20% - Accent5 8 4 5" xfId="31196"/>
    <cellStyle name="20% - Accent5 8 5" xfId="4345"/>
    <cellStyle name="20% - Accent5 8 5 2" xfId="19635"/>
    <cellStyle name="20% - Accent5 8 5 2 2" xfId="29351"/>
    <cellStyle name="20% - Accent5 8 5 2 2 2" xfId="49105"/>
    <cellStyle name="20% - Accent5 8 5 2 3" xfId="39461"/>
    <cellStyle name="20% - Accent5 8 5 3" xfId="24541"/>
    <cellStyle name="20% - Accent5 8 5 3 2" xfId="44296"/>
    <cellStyle name="20% - Accent5 8 5 4" xfId="34652"/>
    <cellStyle name="20% - Accent5 8 6" xfId="15484"/>
    <cellStyle name="20% - Accent5 8 6 2" xfId="20356"/>
    <cellStyle name="20% - Accent5 8 6 2 2" xfId="30070"/>
    <cellStyle name="20% - Accent5 8 6 2 2 2" xfId="49823"/>
    <cellStyle name="20% - Accent5 8 6 2 3" xfId="40179"/>
    <cellStyle name="20% - Accent5 8 6 3" xfId="25258"/>
    <cellStyle name="20% - Accent5 8 6 3 2" xfId="45012"/>
    <cellStyle name="20% - Accent5 8 6 4" xfId="35368"/>
    <cellStyle name="20% - Accent5 8 7" xfId="15887"/>
    <cellStyle name="20% - Accent5 8 7 2" xfId="25603"/>
    <cellStyle name="20% - Accent5 8 7 2 2" xfId="45357"/>
    <cellStyle name="20% - Accent5 8 7 3" xfId="35713"/>
    <cellStyle name="20% - Accent5 8 8" xfId="20762"/>
    <cellStyle name="20% - Accent5 8 8 2" xfId="40542"/>
    <cellStyle name="20% - Accent5 8 9" xfId="30498"/>
    <cellStyle name="20% - Accent5 8 9 2" xfId="50246"/>
    <cellStyle name="20% - Accent5 9" xfId="98"/>
    <cellStyle name="20% - Accent5 9 2" xfId="833"/>
    <cellStyle name="20% - Accent5 9 2 2" xfId="4346"/>
    <cellStyle name="20% - Accent5 9 2 2 2" xfId="4347"/>
    <cellStyle name="20% - Accent5 9 2 2 2 2" xfId="19637"/>
    <cellStyle name="20% - Accent5 9 2 2 2 2 2" xfId="29353"/>
    <cellStyle name="20% - Accent5 9 2 2 2 2 2 2" xfId="49107"/>
    <cellStyle name="20% - Accent5 9 2 2 2 2 3" xfId="39463"/>
    <cellStyle name="20% - Accent5 9 2 2 2 3" xfId="24543"/>
    <cellStyle name="20% - Accent5 9 2 2 2 3 2" xfId="44298"/>
    <cellStyle name="20% - Accent5 9 2 2 2 4" xfId="34654"/>
    <cellStyle name="20% - Accent5 9 2 2 3" xfId="19636"/>
    <cellStyle name="20% - Accent5 9 2 2 3 2" xfId="29352"/>
    <cellStyle name="20% - Accent5 9 2 2 3 2 2" xfId="49106"/>
    <cellStyle name="20% - Accent5 9 2 2 3 3" xfId="39462"/>
    <cellStyle name="20% - Accent5 9 2 2 4" xfId="24542"/>
    <cellStyle name="20% - Accent5 9 2 2 4 2" xfId="44297"/>
    <cellStyle name="20% - Accent5 9 2 2 5" xfId="34653"/>
    <cellStyle name="20% - Accent5 9 2 3" xfId="4348"/>
    <cellStyle name="20% - Accent5 9 2 3 2" xfId="19638"/>
    <cellStyle name="20% - Accent5 9 2 3 2 2" xfId="29354"/>
    <cellStyle name="20% - Accent5 9 2 3 2 2 2" xfId="49108"/>
    <cellStyle name="20% - Accent5 9 2 3 2 3" xfId="39464"/>
    <cellStyle name="20% - Accent5 9 2 3 3" xfId="24544"/>
    <cellStyle name="20% - Accent5 9 2 3 3 2" xfId="44299"/>
    <cellStyle name="20% - Accent5 9 2 3 4" xfId="34655"/>
    <cellStyle name="20% - Accent5 9 2 4" xfId="16180"/>
    <cellStyle name="20% - Accent5 9 2 4 2" xfId="25896"/>
    <cellStyle name="20% - Accent5 9 2 4 2 2" xfId="45650"/>
    <cellStyle name="20% - Accent5 9 2 4 3" xfId="36006"/>
    <cellStyle name="20% - Accent5 9 2 5" xfId="21086"/>
    <cellStyle name="20% - Accent5 9 2 5 2" xfId="40841"/>
    <cellStyle name="20% - Accent5 9 2 6" xfId="31197"/>
    <cellStyle name="20% - Accent5 9 3" xfId="834"/>
    <cellStyle name="20% - Accent5 9 3 2" xfId="4349"/>
    <cellStyle name="20% - Accent5 9 3 2 2" xfId="19639"/>
    <cellStyle name="20% - Accent5 9 3 2 2 2" xfId="29355"/>
    <cellStyle name="20% - Accent5 9 3 2 2 2 2" xfId="49109"/>
    <cellStyle name="20% - Accent5 9 3 2 2 3" xfId="39465"/>
    <cellStyle name="20% - Accent5 9 3 2 3" xfId="24545"/>
    <cellStyle name="20% - Accent5 9 3 2 3 2" xfId="44300"/>
    <cellStyle name="20% - Accent5 9 3 2 4" xfId="34656"/>
    <cellStyle name="20% - Accent5 9 3 3" xfId="16181"/>
    <cellStyle name="20% - Accent5 9 3 3 2" xfId="25897"/>
    <cellStyle name="20% - Accent5 9 3 3 2 2" xfId="45651"/>
    <cellStyle name="20% - Accent5 9 3 3 3" xfId="36007"/>
    <cellStyle name="20% - Accent5 9 3 4" xfId="21087"/>
    <cellStyle name="20% - Accent5 9 3 4 2" xfId="40842"/>
    <cellStyle name="20% - Accent5 9 3 5" xfId="31198"/>
    <cellStyle name="20% - Accent5 9 4" xfId="4350"/>
    <cellStyle name="20% - Accent5 9 4 2" xfId="19640"/>
    <cellStyle name="20% - Accent5 9 4 2 2" xfId="29356"/>
    <cellStyle name="20% - Accent5 9 4 2 2 2" xfId="49110"/>
    <cellStyle name="20% - Accent5 9 4 2 3" xfId="39466"/>
    <cellStyle name="20% - Accent5 9 4 3" xfId="24546"/>
    <cellStyle name="20% - Accent5 9 4 3 2" xfId="44301"/>
    <cellStyle name="20% - Accent5 9 4 4" xfId="34657"/>
    <cellStyle name="20% - Accent5 9 5" xfId="15486"/>
    <cellStyle name="20% - Accent5 9 5 2" xfId="20358"/>
    <cellStyle name="20% - Accent5 9 5 2 2" xfId="30072"/>
    <cellStyle name="20% - Accent5 9 5 2 2 2" xfId="49825"/>
    <cellStyle name="20% - Accent5 9 5 2 3" xfId="40181"/>
    <cellStyle name="20% - Accent5 9 5 3" xfId="25260"/>
    <cellStyle name="20% - Accent5 9 5 3 2" xfId="45014"/>
    <cellStyle name="20% - Accent5 9 5 4" xfId="35370"/>
    <cellStyle name="20% - Accent5 9 6" xfId="15889"/>
    <cellStyle name="20% - Accent5 9 6 2" xfId="25605"/>
    <cellStyle name="20% - Accent5 9 6 2 2" xfId="45359"/>
    <cellStyle name="20% - Accent5 9 6 3" xfId="35715"/>
    <cellStyle name="20% - Accent5 9 7" xfId="20764"/>
    <cellStyle name="20% - Accent5 9 7 2" xfId="40544"/>
    <cellStyle name="20% - Accent5 9 8" xfId="30500"/>
    <cellStyle name="20% - Accent5 9 8 2" xfId="50248"/>
    <cellStyle name="20% - Accent5 9 9" xfId="30875"/>
    <cellStyle name="20% - Accent6" xfId="99" builtinId="50" customBuiltin="1"/>
    <cellStyle name="20% - Accent6 10" xfId="100"/>
    <cellStyle name="20% - Accent6 10 2" xfId="835"/>
    <cellStyle name="20% - Accent6 10 2 2" xfId="4351"/>
    <cellStyle name="20% - Accent6 10 2 2 2" xfId="4352"/>
    <cellStyle name="20% - Accent6 10 2 2 2 2" xfId="19642"/>
    <cellStyle name="20% - Accent6 10 2 2 2 2 2" xfId="29358"/>
    <cellStyle name="20% - Accent6 10 2 2 2 2 2 2" xfId="49112"/>
    <cellStyle name="20% - Accent6 10 2 2 2 2 3" xfId="39468"/>
    <cellStyle name="20% - Accent6 10 2 2 2 3" xfId="24548"/>
    <cellStyle name="20% - Accent6 10 2 2 2 3 2" xfId="44303"/>
    <cellStyle name="20% - Accent6 10 2 2 2 4" xfId="34659"/>
    <cellStyle name="20% - Accent6 10 2 2 3" xfId="19641"/>
    <cellStyle name="20% - Accent6 10 2 2 3 2" xfId="29357"/>
    <cellStyle name="20% - Accent6 10 2 2 3 2 2" xfId="49111"/>
    <cellStyle name="20% - Accent6 10 2 2 3 3" xfId="39467"/>
    <cellStyle name="20% - Accent6 10 2 2 4" xfId="24547"/>
    <cellStyle name="20% - Accent6 10 2 2 4 2" xfId="44302"/>
    <cellStyle name="20% - Accent6 10 2 2 5" xfId="34658"/>
    <cellStyle name="20% - Accent6 10 2 3" xfId="4353"/>
    <cellStyle name="20% - Accent6 10 2 3 2" xfId="19643"/>
    <cellStyle name="20% - Accent6 10 2 3 2 2" xfId="29359"/>
    <cellStyle name="20% - Accent6 10 2 3 2 2 2" xfId="49113"/>
    <cellStyle name="20% - Accent6 10 2 3 2 3" xfId="39469"/>
    <cellStyle name="20% - Accent6 10 2 3 3" xfId="24549"/>
    <cellStyle name="20% - Accent6 10 2 3 3 2" xfId="44304"/>
    <cellStyle name="20% - Accent6 10 2 3 4" xfId="34660"/>
    <cellStyle name="20% - Accent6 10 2 4" xfId="16182"/>
    <cellStyle name="20% - Accent6 10 2 4 2" xfId="25898"/>
    <cellStyle name="20% - Accent6 10 2 4 2 2" xfId="45652"/>
    <cellStyle name="20% - Accent6 10 2 4 3" xfId="36008"/>
    <cellStyle name="20% - Accent6 10 2 5" xfId="21088"/>
    <cellStyle name="20% - Accent6 10 2 5 2" xfId="40843"/>
    <cellStyle name="20% - Accent6 10 2 6" xfId="31199"/>
    <cellStyle name="20% - Accent6 10 3" xfId="836"/>
    <cellStyle name="20% - Accent6 10 3 2" xfId="4354"/>
    <cellStyle name="20% - Accent6 10 3 2 2" xfId="19644"/>
    <cellStyle name="20% - Accent6 10 3 2 2 2" xfId="29360"/>
    <cellStyle name="20% - Accent6 10 3 2 2 2 2" xfId="49114"/>
    <cellStyle name="20% - Accent6 10 3 2 2 3" xfId="39470"/>
    <cellStyle name="20% - Accent6 10 3 2 3" xfId="24550"/>
    <cellStyle name="20% - Accent6 10 3 2 3 2" xfId="44305"/>
    <cellStyle name="20% - Accent6 10 3 2 4" xfId="34661"/>
    <cellStyle name="20% - Accent6 10 3 3" xfId="16183"/>
    <cellStyle name="20% - Accent6 10 3 3 2" xfId="25899"/>
    <cellStyle name="20% - Accent6 10 3 3 2 2" xfId="45653"/>
    <cellStyle name="20% - Accent6 10 3 3 3" xfId="36009"/>
    <cellStyle name="20% - Accent6 10 3 4" xfId="21089"/>
    <cellStyle name="20% - Accent6 10 3 4 2" xfId="40844"/>
    <cellStyle name="20% - Accent6 10 3 5" xfId="31200"/>
    <cellStyle name="20% - Accent6 10 4" xfId="4355"/>
    <cellStyle name="20% - Accent6 10 4 2" xfId="19645"/>
    <cellStyle name="20% - Accent6 10 4 2 2" xfId="29361"/>
    <cellStyle name="20% - Accent6 10 4 2 2 2" xfId="49115"/>
    <cellStyle name="20% - Accent6 10 4 2 3" xfId="39471"/>
    <cellStyle name="20% - Accent6 10 4 3" xfId="24551"/>
    <cellStyle name="20% - Accent6 10 4 3 2" xfId="44306"/>
    <cellStyle name="20% - Accent6 10 4 4" xfId="34662"/>
    <cellStyle name="20% - Accent6 10 5" xfId="15488"/>
    <cellStyle name="20% - Accent6 10 5 2" xfId="20360"/>
    <cellStyle name="20% - Accent6 10 5 2 2" xfId="30074"/>
    <cellStyle name="20% - Accent6 10 5 2 2 2" xfId="49827"/>
    <cellStyle name="20% - Accent6 10 5 2 3" xfId="40183"/>
    <cellStyle name="20% - Accent6 10 5 3" xfId="25262"/>
    <cellStyle name="20% - Accent6 10 5 3 2" xfId="45016"/>
    <cellStyle name="20% - Accent6 10 5 4" xfId="35372"/>
    <cellStyle name="20% - Accent6 10 6" xfId="15891"/>
    <cellStyle name="20% - Accent6 10 6 2" xfId="25607"/>
    <cellStyle name="20% - Accent6 10 6 2 2" xfId="45361"/>
    <cellStyle name="20% - Accent6 10 6 3" xfId="35717"/>
    <cellStyle name="20% - Accent6 10 7" xfId="20766"/>
    <cellStyle name="20% - Accent6 10 7 2" xfId="40546"/>
    <cellStyle name="20% - Accent6 10 8" xfId="30501"/>
    <cellStyle name="20% - Accent6 10 8 2" xfId="50249"/>
    <cellStyle name="20% - Accent6 10 9" xfId="30877"/>
    <cellStyle name="20% - Accent6 11" xfId="101"/>
    <cellStyle name="20% - Accent6 11 2" xfId="837"/>
    <cellStyle name="20% - Accent6 11 2 2" xfId="16184"/>
    <cellStyle name="20% - Accent6 11 2 2 2" xfId="25900"/>
    <cellStyle name="20% - Accent6 11 2 2 2 2" xfId="45654"/>
    <cellStyle name="20% - Accent6 11 2 2 3" xfId="36010"/>
    <cellStyle name="20% - Accent6 11 2 3" xfId="21090"/>
    <cellStyle name="20% - Accent6 11 2 3 2" xfId="40845"/>
    <cellStyle name="20% - Accent6 11 2 4" xfId="31201"/>
    <cellStyle name="20% - Accent6 11 3" xfId="15489"/>
    <cellStyle name="20% - Accent6 11 3 2" xfId="20361"/>
    <cellStyle name="20% - Accent6 11 3 2 2" xfId="30075"/>
    <cellStyle name="20% - Accent6 11 3 2 2 2" xfId="49828"/>
    <cellStyle name="20% - Accent6 11 3 2 3" xfId="40184"/>
    <cellStyle name="20% - Accent6 11 3 3" xfId="25263"/>
    <cellStyle name="20% - Accent6 11 3 3 2" xfId="45017"/>
    <cellStyle name="20% - Accent6 11 3 4" xfId="35373"/>
    <cellStyle name="20% - Accent6 11 4" xfId="15890"/>
    <cellStyle name="20% - Accent6 11 4 2" xfId="25606"/>
    <cellStyle name="20% - Accent6 11 4 2 2" xfId="45360"/>
    <cellStyle name="20% - Accent6 11 4 3" xfId="35716"/>
    <cellStyle name="20% - Accent6 11 5" xfId="20767"/>
    <cellStyle name="20% - Accent6 11 5 2" xfId="40547"/>
    <cellStyle name="20% - Accent6 11 6" xfId="30502"/>
    <cellStyle name="20% - Accent6 11 6 2" xfId="50250"/>
    <cellStyle name="20% - Accent6 11 7" xfId="30878"/>
    <cellStyle name="20% - Accent6 12" xfId="838"/>
    <cellStyle name="20% - Accent6 12 2" xfId="16185"/>
    <cellStyle name="20% - Accent6 12 2 2" xfId="25901"/>
    <cellStyle name="20% - Accent6 12 2 2 2" xfId="45655"/>
    <cellStyle name="20% - Accent6 12 2 3" xfId="36011"/>
    <cellStyle name="20% - Accent6 12 3" xfId="21091"/>
    <cellStyle name="20% - Accent6 12 3 2" xfId="40846"/>
    <cellStyle name="20% - Accent6 12 4" xfId="31202"/>
    <cellStyle name="20% - Accent6 13" xfId="839"/>
    <cellStyle name="20% - Accent6 13 2" xfId="16186"/>
    <cellStyle name="20% - Accent6 13 2 2" xfId="25902"/>
    <cellStyle name="20% - Accent6 13 2 2 2" xfId="45656"/>
    <cellStyle name="20% - Accent6 13 2 3" xfId="36012"/>
    <cellStyle name="20% - Accent6 13 3" xfId="21092"/>
    <cellStyle name="20% - Accent6 13 3 2" xfId="40847"/>
    <cellStyle name="20% - Accent6 13 4" xfId="31203"/>
    <cellStyle name="20% - Accent6 14" xfId="840"/>
    <cellStyle name="20% - Accent6 14 2" xfId="16187"/>
    <cellStyle name="20% - Accent6 14 2 2" xfId="25903"/>
    <cellStyle name="20% - Accent6 14 2 2 2" xfId="45657"/>
    <cellStyle name="20% - Accent6 14 2 3" xfId="36013"/>
    <cellStyle name="20% - Accent6 14 3" xfId="21093"/>
    <cellStyle name="20% - Accent6 14 3 2" xfId="40848"/>
    <cellStyle name="20% - Accent6 14 4" xfId="31204"/>
    <cellStyle name="20% - Accent6 15" xfId="15320"/>
    <cellStyle name="20% - Accent6 15 2" xfId="20217"/>
    <cellStyle name="20% - Accent6 15 2 2" xfId="29931"/>
    <cellStyle name="20% - Accent6 15 2 2 2" xfId="49684"/>
    <cellStyle name="20% - Accent6 15 2 3" xfId="40040"/>
    <cellStyle name="20% - Accent6 15 3" xfId="25119"/>
    <cellStyle name="20% - Accent6 15 3 2" xfId="44873"/>
    <cellStyle name="20% - Accent6 15 4" xfId="35229"/>
    <cellStyle name="20% - Accent6 16" xfId="15487"/>
    <cellStyle name="20% - Accent6 16 2" xfId="20359"/>
    <cellStyle name="20% - Accent6 16 2 2" xfId="30073"/>
    <cellStyle name="20% - Accent6 16 2 2 2" xfId="49826"/>
    <cellStyle name="20% - Accent6 16 2 3" xfId="40182"/>
    <cellStyle name="20% - Accent6 16 3" xfId="25261"/>
    <cellStyle name="20% - Accent6 16 3 2" xfId="45015"/>
    <cellStyle name="20% - Accent6 16 4" xfId="35371"/>
    <cellStyle name="20% - Accent6 17" xfId="15810"/>
    <cellStyle name="20% - Accent6 17 2" xfId="25526"/>
    <cellStyle name="20% - Accent6 17 2 2" xfId="45280"/>
    <cellStyle name="20% - Accent6 17 3" xfId="35636"/>
    <cellStyle name="20% - Accent6 18" xfId="20648"/>
    <cellStyle name="20% - Accent6 18 2" xfId="30332"/>
    <cellStyle name="20% - Accent6 18 2 2" xfId="50084"/>
    <cellStyle name="20% - Accent6 18 3" xfId="40440"/>
    <cellStyle name="20% - Accent6 19" xfId="20676"/>
    <cellStyle name="20% - Accent6 19 2" xfId="30353"/>
    <cellStyle name="20% - Accent6 19 2 2" xfId="50102"/>
    <cellStyle name="20% - Accent6 19 3" xfId="40458"/>
    <cellStyle name="20% - Accent6 2" xfId="102"/>
    <cellStyle name="20% - Accent6 2 10" xfId="4356"/>
    <cellStyle name="20% - Accent6 2 10 2" xfId="4357"/>
    <cellStyle name="20% - Accent6 2 10 2 2" xfId="19647"/>
    <cellStyle name="20% - Accent6 2 10 2 2 2" xfId="29363"/>
    <cellStyle name="20% - Accent6 2 10 2 2 2 2" xfId="49117"/>
    <cellStyle name="20% - Accent6 2 10 2 2 3" xfId="39473"/>
    <cellStyle name="20% - Accent6 2 10 2 3" xfId="24553"/>
    <cellStyle name="20% - Accent6 2 10 2 3 2" xfId="44308"/>
    <cellStyle name="20% - Accent6 2 10 2 4" xfId="34664"/>
    <cellStyle name="20% - Accent6 2 10 3" xfId="19646"/>
    <cellStyle name="20% - Accent6 2 10 3 2" xfId="29362"/>
    <cellStyle name="20% - Accent6 2 10 3 2 2" xfId="49116"/>
    <cellStyle name="20% - Accent6 2 10 3 3" xfId="39472"/>
    <cellStyle name="20% - Accent6 2 10 4" xfId="24552"/>
    <cellStyle name="20% - Accent6 2 10 4 2" xfId="44307"/>
    <cellStyle name="20% - Accent6 2 10 5" xfId="34663"/>
    <cellStyle name="20% - Accent6 2 11" xfId="4358"/>
    <cellStyle name="20% - Accent6 2 11 2" xfId="19648"/>
    <cellStyle name="20% - Accent6 2 11 2 2" xfId="29364"/>
    <cellStyle name="20% - Accent6 2 11 2 2 2" xfId="49118"/>
    <cellStyle name="20% - Accent6 2 11 2 3" xfId="39474"/>
    <cellStyle name="20% - Accent6 2 11 3" xfId="24554"/>
    <cellStyle name="20% - Accent6 2 11 3 2" xfId="44309"/>
    <cellStyle name="20% - Accent6 2 11 4" xfId="34665"/>
    <cellStyle name="20% - Accent6 2 12" xfId="4359"/>
    <cellStyle name="20% - Accent6 2 12 2" xfId="19649"/>
    <cellStyle name="20% - Accent6 2 12 2 2" xfId="29365"/>
    <cellStyle name="20% - Accent6 2 12 2 2 2" xfId="49119"/>
    <cellStyle name="20% - Accent6 2 12 2 3" xfId="39475"/>
    <cellStyle name="20% - Accent6 2 12 3" xfId="24555"/>
    <cellStyle name="20% - Accent6 2 12 3 2" xfId="44310"/>
    <cellStyle name="20% - Accent6 2 12 4" xfId="34666"/>
    <cellStyle name="20% - Accent6 2 13" xfId="4360"/>
    <cellStyle name="20% - Accent6 2 13 2" xfId="19650"/>
    <cellStyle name="20% - Accent6 2 13 2 2" xfId="29366"/>
    <cellStyle name="20% - Accent6 2 13 2 2 2" xfId="49120"/>
    <cellStyle name="20% - Accent6 2 13 2 3" xfId="39476"/>
    <cellStyle name="20% - Accent6 2 13 3" xfId="24556"/>
    <cellStyle name="20% - Accent6 2 13 3 2" xfId="44311"/>
    <cellStyle name="20% - Accent6 2 13 4" xfId="34667"/>
    <cellStyle name="20% - Accent6 2 2" xfId="103"/>
    <cellStyle name="20% - Accent6 2 2 10" xfId="4361"/>
    <cellStyle name="20% - Accent6 2 2 10 2" xfId="19651"/>
    <cellStyle name="20% - Accent6 2 2 10 2 2" xfId="29367"/>
    <cellStyle name="20% - Accent6 2 2 10 2 2 2" xfId="49121"/>
    <cellStyle name="20% - Accent6 2 2 10 2 3" xfId="39477"/>
    <cellStyle name="20% - Accent6 2 2 10 3" xfId="24557"/>
    <cellStyle name="20% - Accent6 2 2 10 3 2" xfId="44312"/>
    <cellStyle name="20% - Accent6 2 2 10 4" xfId="34668"/>
    <cellStyle name="20% - Accent6 2 2 11" xfId="4362"/>
    <cellStyle name="20% - Accent6 2 2 11 2" xfId="19652"/>
    <cellStyle name="20% - Accent6 2 2 11 2 2" xfId="29368"/>
    <cellStyle name="20% - Accent6 2 2 11 2 2 2" xfId="49122"/>
    <cellStyle name="20% - Accent6 2 2 11 2 3" xfId="39478"/>
    <cellStyle name="20% - Accent6 2 2 11 3" xfId="24558"/>
    <cellStyle name="20% - Accent6 2 2 11 3 2" xfId="44313"/>
    <cellStyle name="20% - Accent6 2 2 11 4" xfId="34669"/>
    <cellStyle name="20% - Accent6 2 2 12" xfId="4363"/>
    <cellStyle name="20% - Accent6 2 2 12 2" xfId="19653"/>
    <cellStyle name="20% - Accent6 2 2 12 2 2" xfId="29369"/>
    <cellStyle name="20% - Accent6 2 2 12 2 2 2" xfId="49123"/>
    <cellStyle name="20% - Accent6 2 2 12 2 3" xfId="39479"/>
    <cellStyle name="20% - Accent6 2 2 12 3" xfId="24559"/>
    <cellStyle name="20% - Accent6 2 2 12 3 2" xfId="44314"/>
    <cellStyle name="20% - Accent6 2 2 12 4" xfId="34670"/>
    <cellStyle name="20% - Accent6 2 2 2" xfId="4364"/>
    <cellStyle name="20% - Accent6 2 2 2 10" xfId="4365"/>
    <cellStyle name="20% - Accent6 2 2 2 10 2" xfId="19655"/>
    <cellStyle name="20% - Accent6 2 2 2 10 2 2" xfId="29371"/>
    <cellStyle name="20% - Accent6 2 2 2 10 2 2 2" xfId="49125"/>
    <cellStyle name="20% - Accent6 2 2 2 10 2 3" xfId="39481"/>
    <cellStyle name="20% - Accent6 2 2 2 10 3" xfId="24561"/>
    <cellStyle name="20% - Accent6 2 2 2 10 3 2" xfId="44316"/>
    <cellStyle name="20% - Accent6 2 2 2 10 4" xfId="34672"/>
    <cellStyle name="20% - Accent6 2 2 2 11" xfId="19654"/>
    <cellStyle name="20% - Accent6 2 2 2 11 2" xfId="29370"/>
    <cellStyle name="20% - Accent6 2 2 2 11 2 2" xfId="49124"/>
    <cellStyle name="20% - Accent6 2 2 2 11 3" xfId="39480"/>
    <cellStyle name="20% - Accent6 2 2 2 12" xfId="24560"/>
    <cellStyle name="20% - Accent6 2 2 2 12 2" xfId="44315"/>
    <cellStyle name="20% - Accent6 2 2 2 13" xfId="34671"/>
    <cellStyle name="20% - Accent6 2 2 2 2" xfId="4366"/>
    <cellStyle name="20% - Accent6 2 2 2 2 10" xfId="34673"/>
    <cellStyle name="20% - Accent6 2 2 2 2 2" xfId="4367"/>
    <cellStyle name="20% - Accent6 2 2 2 2 2 2" xfId="4368"/>
    <cellStyle name="20% - Accent6 2 2 2 2 2 2 2" xfId="4369"/>
    <cellStyle name="20% - Accent6 2 2 2 2 2 2 2 2" xfId="4370"/>
    <cellStyle name="20% - Accent6 2 2 2 2 2 2 2 2 2" xfId="19660"/>
    <cellStyle name="20% - Accent6 2 2 2 2 2 2 2 2 2 2" xfId="29376"/>
    <cellStyle name="20% - Accent6 2 2 2 2 2 2 2 2 2 2 2" xfId="49130"/>
    <cellStyle name="20% - Accent6 2 2 2 2 2 2 2 2 2 3" xfId="39486"/>
    <cellStyle name="20% - Accent6 2 2 2 2 2 2 2 2 3" xfId="24566"/>
    <cellStyle name="20% - Accent6 2 2 2 2 2 2 2 2 3 2" xfId="44321"/>
    <cellStyle name="20% - Accent6 2 2 2 2 2 2 2 2 4" xfId="34677"/>
    <cellStyle name="20% - Accent6 2 2 2 2 2 2 2 3" xfId="19659"/>
    <cellStyle name="20% - Accent6 2 2 2 2 2 2 2 3 2" xfId="29375"/>
    <cellStyle name="20% - Accent6 2 2 2 2 2 2 2 3 2 2" xfId="49129"/>
    <cellStyle name="20% - Accent6 2 2 2 2 2 2 2 3 3" xfId="39485"/>
    <cellStyle name="20% - Accent6 2 2 2 2 2 2 2 4" xfId="24565"/>
    <cellStyle name="20% - Accent6 2 2 2 2 2 2 2 4 2" xfId="44320"/>
    <cellStyle name="20% - Accent6 2 2 2 2 2 2 2 5" xfId="34676"/>
    <cellStyle name="20% - Accent6 2 2 2 2 2 2 3" xfId="4371"/>
    <cellStyle name="20% - Accent6 2 2 2 2 2 2 3 2" xfId="19661"/>
    <cellStyle name="20% - Accent6 2 2 2 2 2 2 3 2 2" xfId="29377"/>
    <cellStyle name="20% - Accent6 2 2 2 2 2 2 3 2 2 2" xfId="49131"/>
    <cellStyle name="20% - Accent6 2 2 2 2 2 2 3 2 3" xfId="39487"/>
    <cellStyle name="20% - Accent6 2 2 2 2 2 2 3 3" xfId="24567"/>
    <cellStyle name="20% - Accent6 2 2 2 2 2 2 3 3 2" xfId="44322"/>
    <cellStyle name="20% - Accent6 2 2 2 2 2 2 3 4" xfId="34678"/>
    <cellStyle name="20% - Accent6 2 2 2 2 2 2 4" xfId="19658"/>
    <cellStyle name="20% - Accent6 2 2 2 2 2 2 4 2" xfId="29374"/>
    <cellStyle name="20% - Accent6 2 2 2 2 2 2 4 2 2" xfId="49128"/>
    <cellStyle name="20% - Accent6 2 2 2 2 2 2 4 3" xfId="39484"/>
    <cellStyle name="20% - Accent6 2 2 2 2 2 2 5" xfId="24564"/>
    <cellStyle name="20% - Accent6 2 2 2 2 2 2 5 2" xfId="44319"/>
    <cellStyle name="20% - Accent6 2 2 2 2 2 2 6" xfId="34675"/>
    <cellStyle name="20% - Accent6 2 2 2 2 2 3" xfId="4372"/>
    <cellStyle name="20% - Accent6 2 2 2 2 2 3 2" xfId="4373"/>
    <cellStyle name="20% - Accent6 2 2 2 2 2 3 2 2" xfId="19663"/>
    <cellStyle name="20% - Accent6 2 2 2 2 2 3 2 2 2" xfId="29379"/>
    <cellStyle name="20% - Accent6 2 2 2 2 2 3 2 2 2 2" xfId="49133"/>
    <cellStyle name="20% - Accent6 2 2 2 2 2 3 2 2 3" xfId="39489"/>
    <cellStyle name="20% - Accent6 2 2 2 2 2 3 2 3" xfId="24569"/>
    <cellStyle name="20% - Accent6 2 2 2 2 2 3 2 3 2" xfId="44324"/>
    <cellStyle name="20% - Accent6 2 2 2 2 2 3 2 4" xfId="34680"/>
    <cellStyle name="20% - Accent6 2 2 2 2 2 3 3" xfId="19662"/>
    <cellStyle name="20% - Accent6 2 2 2 2 2 3 3 2" xfId="29378"/>
    <cellStyle name="20% - Accent6 2 2 2 2 2 3 3 2 2" xfId="49132"/>
    <cellStyle name="20% - Accent6 2 2 2 2 2 3 3 3" xfId="39488"/>
    <cellStyle name="20% - Accent6 2 2 2 2 2 3 4" xfId="24568"/>
    <cellStyle name="20% - Accent6 2 2 2 2 2 3 4 2" xfId="44323"/>
    <cellStyle name="20% - Accent6 2 2 2 2 2 3 5" xfId="34679"/>
    <cellStyle name="20% - Accent6 2 2 2 2 2 4" xfId="4374"/>
    <cellStyle name="20% - Accent6 2 2 2 2 2 4 2" xfId="19664"/>
    <cellStyle name="20% - Accent6 2 2 2 2 2 4 2 2" xfId="29380"/>
    <cellStyle name="20% - Accent6 2 2 2 2 2 4 2 2 2" xfId="49134"/>
    <cellStyle name="20% - Accent6 2 2 2 2 2 4 2 3" xfId="39490"/>
    <cellStyle name="20% - Accent6 2 2 2 2 2 4 3" xfId="24570"/>
    <cellStyle name="20% - Accent6 2 2 2 2 2 4 3 2" xfId="44325"/>
    <cellStyle name="20% - Accent6 2 2 2 2 2 4 4" xfId="34681"/>
    <cellStyle name="20% - Accent6 2 2 2 2 2 5" xfId="19657"/>
    <cellStyle name="20% - Accent6 2 2 2 2 2 5 2" xfId="29373"/>
    <cellStyle name="20% - Accent6 2 2 2 2 2 5 2 2" xfId="49127"/>
    <cellStyle name="20% - Accent6 2 2 2 2 2 5 3" xfId="39483"/>
    <cellStyle name="20% - Accent6 2 2 2 2 2 6" xfId="24563"/>
    <cellStyle name="20% - Accent6 2 2 2 2 2 6 2" xfId="44318"/>
    <cellStyle name="20% - Accent6 2 2 2 2 2 7" xfId="34674"/>
    <cellStyle name="20% - Accent6 2 2 2 2 3" xfId="4375"/>
    <cellStyle name="20% - Accent6 2 2 2 2 3 2" xfId="4376"/>
    <cellStyle name="20% - Accent6 2 2 2 2 3 2 2" xfId="4377"/>
    <cellStyle name="20% - Accent6 2 2 2 2 3 2 2 2" xfId="19667"/>
    <cellStyle name="20% - Accent6 2 2 2 2 3 2 2 2 2" xfId="29383"/>
    <cellStyle name="20% - Accent6 2 2 2 2 3 2 2 2 2 2" xfId="49137"/>
    <cellStyle name="20% - Accent6 2 2 2 2 3 2 2 2 3" xfId="39493"/>
    <cellStyle name="20% - Accent6 2 2 2 2 3 2 2 3" xfId="24573"/>
    <cellStyle name="20% - Accent6 2 2 2 2 3 2 2 3 2" xfId="44328"/>
    <cellStyle name="20% - Accent6 2 2 2 2 3 2 2 4" xfId="34684"/>
    <cellStyle name="20% - Accent6 2 2 2 2 3 2 3" xfId="19666"/>
    <cellStyle name="20% - Accent6 2 2 2 2 3 2 3 2" xfId="29382"/>
    <cellStyle name="20% - Accent6 2 2 2 2 3 2 3 2 2" xfId="49136"/>
    <cellStyle name="20% - Accent6 2 2 2 2 3 2 3 3" xfId="39492"/>
    <cellStyle name="20% - Accent6 2 2 2 2 3 2 4" xfId="24572"/>
    <cellStyle name="20% - Accent6 2 2 2 2 3 2 4 2" xfId="44327"/>
    <cellStyle name="20% - Accent6 2 2 2 2 3 2 5" xfId="34683"/>
    <cellStyle name="20% - Accent6 2 2 2 2 3 3" xfId="4378"/>
    <cellStyle name="20% - Accent6 2 2 2 2 3 3 2" xfId="19668"/>
    <cellStyle name="20% - Accent6 2 2 2 2 3 3 2 2" xfId="29384"/>
    <cellStyle name="20% - Accent6 2 2 2 2 3 3 2 2 2" xfId="49138"/>
    <cellStyle name="20% - Accent6 2 2 2 2 3 3 2 3" xfId="39494"/>
    <cellStyle name="20% - Accent6 2 2 2 2 3 3 3" xfId="24574"/>
    <cellStyle name="20% - Accent6 2 2 2 2 3 3 3 2" xfId="44329"/>
    <cellStyle name="20% - Accent6 2 2 2 2 3 3 4" xfId="34685"/>
    <cellStyle name="20% - Accent6 2 2 2 2 3 4" xfId="19665"/>
    <cellStyle name="20% - Accent6 2 2 2 2 3 4 2" xfId="29381"/>
    <cellStyle name="20% - Accent6 2 2 2 2 3 4 2 2" xfId="49135"/>
    <cellStyle name="20% - Accent6 2 2 2 2 3 4 3" xfId="39491"/>
    <cellStyle name="20% - Accent6 2 2 2 2 3 5" xfId="24571"/>
    <cellStyle name="20% - Accent6 2 2 2 2 3 5 2" xfId="44326"/>
    <cellStyle name="20% - Accent6 2 2 2 2 3 6" xfId="34682"/>
    <cellStyle name="20% - Accent6 2 2 2 2 4" xfId="4379"/>
    <cellStyle name="20% - Accent6 2 2 2 2 4 2" xfId="4380"/>
    <cellStyle name="20% - Accent6 2 2 2 2 4 2 2" xfId="19670"/>
    <cellStyle name="20% - Accent6 2 2 2 2 4 2 2 2" xfId="29386"/>
    <cellStyle name="20% - Accent6 2 2 2 2 4 2 2 2 2" xfId="49140"/>
    <cellStyle name="20% - Accent6 2 2 2 2 4 2 2 3" xfId="39496"/>
    <cellStyle name="20% - Accent6 2 2 2 2 4 2 3" xfId="24576"/>
    <cellStyle name="20% - Accent6 2 2 2 2 4 2 3 2" xfId="44331"/>
    <cellStyle name="20% - Accent6 2 2 2 2 4 2 4" xfId="34687"/>
    <cellStyle name="20% - Accent6 2 2 2 2 4 3" xfId="19669"/>
    <cellStyle name="20% - Accent6 2 2 2 2 4 3 2" xfId="29385"/>
    <cellStyle name="20% - Accent6 2 2 2 2 4 3 2 2" xfId="49139"/>
    <cellStyle name="20% - Accent6 2 2 2 2 4 3 3" xfId="39495"/>
    <cellStyle name="20% - Accent6 2 2 2 2 4 4" xfId="24575"/>
    <cellStyle name="20% - Accent6 2 2 2 2 4 4 2" xfId="44330"/>
    <cellStyle name="20% - Accent6 2 2 2 2 4 5" xfId="34686"/>
    <cellStyle name="20% - Accent6 2 2 2 2 5" xfId="4381"/>
    <cellStyle name="20% - Accent6 2 2 2 2 5 2" xfId="19671"/>
    <cellStyle name="20% - Accent6 2 2 2 2 5 2 2" xfId="29387"/>
    <cellStyle name="20% - Accent6 2 2 2 2 5 2 2 2" xfId="49141"/>
    <cellStyle name="20% - Accent6 2 2 2 2 5 2 3" xfId="39497"/>
    <cellStyle name="20% - Accent6 2 2 2 2 5 3" xfId="24577"/>
    <cellStyle name="20% - Accent6 2 2 2 2 5 3 2" xfId="44332"/>
    <cellStyle name="20% - Accent6 2 2 2 2 5 4" xfId="34688"/>
    <cellStyle name="20% - Accent6 2 2 2 2 6" xfId="4382"/>
    <cellStyle name="20% - Accent6 2 2 2 2 6 2" xfId="19672"/>
    <cellStyle name="20% - Accent6 2 2 2 2 6 2 2" xfId="29388"/>
    <cellStyle name="20% - Accent6 2 2 2 2 6 2 2 2" xfId="49142"/>
    <cellStyle name="20% - Accent6 2 2 2 2 6 2 3" xfId="39498"/>
    <cellStyle name="20% - Accent6 2 2 2 2 6 3" xfId="24578"/>
    <cellStyle name="20% - Accent6 2 2 2 2 6 3 2" xfId="44333"/>
    <cellStyle name="20% - Accent6 2 2 2 2 6 4" xfId="34689"/>
    <cellStyle name="20% - Accent6 2 2 2 2 7" xfId="4383"/>
    <cellStyle name="20% - Accent6 2 2 2 2 7 2" xfId="19673"/>
    <cellStyle name="20% - Accent6 2 2 2 2 7 2 2" xfId="29389"/>
    <cellStyle name="20% - Accent6 2 2 2 2 7 2 2 2" xfId="49143"/>
    <cellStyle name="20% - Accent6 2 2 2 2 7 2 3" xfId="39499"/>
    <cellStyle name="20% - Accent6 2 2 2 2 7 3" xfId="24579"/>
    <cellStyle name="20% - Accent6 2 2 2 2 7 3 2" xfId="44334"/>
    <cellStyle name="20% - Accent6 2 2 2 2 7 4" xfId="34690"/>
    <cellStyle name="20% - Accent6 2 2 2 2 8" xfId="19656"/>
    <cellStyle name="20% - Accent6 2 2 2 2 8 2" xfId="29372"/>
    <cellStyle name="20% - Accent6 2 2 2 2 8 2 2" xfId="49126"/>
    <cellStyle name="20% - Accent6 2 2 2 2 8 3" xfId="39482"/>
    <cellStyle name="20% - Accent6 2 2 2 2 9" xfId="24562"/>
    <cellStyle name="20% - Accent6 2 2 2 2 9 2" xfId="44317"/>
    <cellStyle name="20% - Accent6 2 2 2 3" xfId="4384"/>
    <cellStyle name="20% - Accent6 2 2 2 3 2" xfId="4385"/>
    <cellStyle name="20% - Accent6 2 2 2 3 2 2" xfId="4386"/>
    <cellStyle name="20% - Accent6 2 2 2 3 2 2 2" xfId="4387"/>
    <cellStyle name="20% - Accent6 2 2 2 3 2 2 2 2" xfId="19677"/>
    <cellStyle name="20% - Accent6 2 2 2 3 2 2 2 2 2" xfId="29393"/>
    <cellStyle name="20% - Accent6 2 2 2 3 2 2 2 2 2 2" xfId="49147"/>
    <cellStyle name="20% - Accent6 2 2 2 3 2 2 2 2 3" xfId="39503"/>
    <cellStyle name="20% - Accent6 2 2 2 3 2 2 2 3" xfId="24583"/>
    <cellStyle name="20% - Accent6 2 2 2 3 2 2 2 3 2" xfId="44338"/>
    <cellStyle name="20% - Accent6 2 2 2 3 2 2 2 4" xfId="34694"/>
    <cellStyle name="20% - Accent6 2 2 2 3 2 2 3" xfId="19676"/>
    <cellStyle name="20% - Accent6 2 2 2 3 2 2 3 2" xfId="29392"/>
    <cellStyle name="20% - Accent6 2 2 2 3 2 2 3 2 2" xfId="49146"/>
    <cellStyle name="20% - Accent6 2 2 2 3 2 2 3 3" xfId="39502"/>
    <cellStyle name="20% - Accent6 2 2 2 3 2 2 4" xfId="24582"/>
    <cellStyle name="20% - Accent6 2 2 2 3 2 2 4 2" xfId="44337"/>
    <cellStyle name="20% - Accent6 2 2 2 3 2 2 5" xfId="34693"/>
    <cellStyle name="20% - Accent6 2 2 2 3 2 3" xfId="4388"/>
    <cellStyle name="20% - Accent6 2 2 2 3 2 3 2" xfId="19678"/>
    <cellStyle name="20% - Accent6 2 2 2 3 2 3 2 2" xfId="29394"/>
    <cellStyle name="20% - Accent6 2 2 2 3 2 3 2 2 2" xfId="49148"/>
    <cellStyle name="20% - Accent6 2 2 2 3 2 3 2 3" xfId="39504"/>
    <cellStyle name="20% - Accent6 2 2 2 3 2 3 3" xfId="24584"/>
    <cellStyle name="20% - Accent6 2 2 2 3 2 3 3 2" xfId="44339"/>
    <cellStyle name="20% - Accent6 2 2 2 3 2 3 4" xfId="34695"/>
    <cellStyle name="20% - Accent6 2 2 2 3 2 4" xfId="19675"/>
    <cellStyle name="20% - Accent6 2 2 2 3 2 4 2" xfId="29391"/>
    <cellStyle name="20% - Accent6 2 2 2 3 2 4 2 2" xfId="49145"/>
    <cellStyle name="20% - Accent6 2 2 2 3 2 4 3" xfId="39501"/>
    <cellStyle name="20% - Accent6 2 2 2 3 2 5" xfId="24581"/>
    <cellStyle name="20% - Accent6 2 2 2 3 2 5 2" xfId="44336"/>
    <cellStyle name="20% - Accent6 2 2 2 3 2 6" xfId="34692"/>
    <cellStyle name="20% - Accent6 2 2 2 3 3" xfId="4389"/>
    <cellStyle name="20% - Accent6 2 2 2 3 3 2" xfId="4390"/>
    <cellStyle name="20% - Accent6 2 2 2 3 3 2 2" xfId="19680"/>
    <cellStyle name="20% - Accent6 2 2 2 3 3 2 2 2" xfId="29396"/>
    <cellStyle name="20% - Accent6 2 2 2 3 3 2 2 2 2" xfId="49150"/>
    <cellStyle name="20% - Accent6 2 2 2 3 3 2 2 3" xfId="39506"/>
    <cellStyle name="20% - Accent6 2 2 2 3 3 2 3" xfId="24586"/>
    <cellStyle name="20% - Accent6 2 2 2 3 3 2 3 2" xfId="44341"/>
    <cellStyle name="20% - Accent6 2 2 2 3 3 2 4" xfId="34697"/>
    <cellStyle name="20% - Accent6 2 2 2 3 3 3" xfId="19679"/>
    <cellStyle name="20% - Accent6 2 2 2 3 3 3 2" xfId="29395"/>
    <cellStyle name="20% - Accent6 2 2 2 3 3 3 2 2" xfId="49149"/>
    <cellStyle name="20% - Accent6 2 2 2 3 3 3 3" xfId="39505"/>
    <cellStyle name="20% - Accent6 2 2 2 3 3 4" xfId="24585"/>
    <cellStyle name="20% - Accent6 2 2 2 3 3 4 2" xfId="44340"/>
    <cellStyle name="20% - Accent6 2 2 2 3 3 5" xfId="34696"/>
    <cellStyle name="20% - Accent6 2 2 2 3 4" xfId="4391"/>
    <cellStyle name="20% - Accent6 2 2 2 3 4 2" xfId="19681"/>
    <cellStyle name="20% - Accent6 2 2 2 3 4 2 2" xfId="29397"/>
    <cellStyle name="20% - Accent6 2 2 2 3 4 2 2 2" xfId="49151"/>
    <cellStyle name="20% - Accent6 2 2 2 3 4 2 3" xfId="39507"/>
    <cellStyle name="20% - Accent6 2 2 2 3 4 3" xfId="24587"/>
    <cellStyle name="20% - Accent6 2 2 2 3 4 3 2" xfId="44342"/>
    <cellStyle name="20% - Accent6 2 2 2 3 4 4" xfId="34698"/>
    <cellStyle name="20% - Accent6 2 2 2 3 5" xfId="19674"/>
    <cellStyle name="20% - Accent6 2 2 2 3 5 2" xfId="29390"/>
    <cellStyle name="20% - Accent6 2 2 2 3 5 2 2" xfId="49144"/>
    <cellStyle name="20% - Accent6 2 2 2 3 5 3" xfId="39500"/>
    <cellStyle name="20% - Accent6 2 2 2 3 6" xfId="24580"/>
    <cellStyle name="20% - Accent6 2 2 2 3 6 2" xfId="44335"/>
    <cellStyle name="20% - Accent6 2 2 2 3 7" xfId="34691"/>
    <cellStyle name="20% - Accent6 2 2 2 4" xfId="4392"/>
    <cellStyle name="20% - Accent6 2 2 2 4 2" xfId="4393"/>
    <cellStyle name="20% - Accent6 2 2 2 4 2 2" xfId="4394"/>
    <cellStyle name="20% - Accent6 2 2 2 4 2 2 2" xfId="4395"/>
    <cellStyle name="20% - Accent6 2 2 2 4 2 2 2 2" xfId="19685"/>
    <cellStyle name="20% - Accent6 2 2 2 4 2 2 2 2 2" xfId="29401"/>
    <cellStyle name="20% - Accent6 2 2 2 4 2 2 2 2 2 2" xfId="49155"/>
    <cellStyle name="20% - Accent6 2 2 2 4 2 2 2 2 3" xfId="39511"/>
    <cellStyle name="20% - Accent6 2 2 2 4 2 2 2 3" xfId="24591"/>
    <cellStyle name="20% - Accent6 2 2 2 4 2 2 2 3 2" xfId="44346"/>
    <cellStyle name="20% - Accent6 2 2 2 4 2 2 2 4" xfId="34702"/>
    <cellStyle name="20% - Accent6 2 2 2 4 2 2 3" xfId="19684"/>
    <cellStyle name="20% - Accent6 2 2 2 4 2 2 3 2" xfId="29400"/>
    <cellStyle name="20% - Accent6 2 2 2 4 2 2 3 2 2" xfId="49154"/>
    <cellStyle name="20% - Accent6 2 2 2 4 2 2 3 3" xfId="39510"/>
    <cellStyle name="20% - Accent6 2 2 2 4 2 2 4" xfId="24590"/>
    <cellStyle name="20% - Accent6 2 2 2 4 2 2 4 2" xfId="44345"/>
    <cellStyle name="20% - Accent6 2 2 2 4 2 2 5" xfId="34701"/>
    <cellStyle name="20% - Accent6 2 2 2 4 2 3" xfId="4396"/>
    <cellStyle name="20% - Accent6 2 2 2 4 2 3 2" xfId="19686"/>
    <cellStyle name="20% - Accent6 2 2 2 4 2 3 2 2" xfId="29402"/>
    <cellStyle name="20% - Accent6 2 2 2 4 2 3 2 2 2" xfId="49156"/>
    <cellStyle name="20% - Accent6 2 2 2 4 2 3 2 3" xfId="39512"/>
    <cellStyle name="20% - Accent6 2 2 2 4 2 3 3" xfId="24592"/>
    <cellStyle name="20% - Accent6 2 2 2 4 2 3 3 2" xfId="44347"/>
    <cellStyle name="20% - Accent6 2 2 2 4 2 3 4" xfId="34703"/>
    <cellStyle name="20% - Accent6 2 2 2 4 2 4" xfId="19683"/>
    <cellStyle name="20% - Accent6 2 2 2 4 2 4 2" xfId="29399"/>
    <cellStyle name="20% - Accent6 2 2 2 4 2 4 2 2" xfId="49153"/>
    <cellStyle name="20% - Accent6 2 2 2 4 2 4 3" xfId="39509"/>
    <cellStyle name="20% - Accent6 2 2 2 4 2 5" xfId="24589"/>
    <cellStyle name="20% - Accent6 2 2 2 4 2 5 2" xfId="44344"/>
    <cellStyle name="20% - Accent6 2 2 2 4 2 6" xfId="34700"/>
    <cellStyle name="20% - Accent6 2 2 2 4 3" xfId="4397"/>
    <cellStyle name="20% - Accent6 2 2 2 4 3 2" xfId="4398"/>
    <cellStyle name="20% - Accent6 2 2 2 4 3 2 2" xfId="19688"/>
    <cellStyle name="20% - Accent6 2 2 2 4 3 2 2 2" xfId="29404"/>
    <cellStyle name="20% - Accent6 2 2 2 4 3 2 2 2 2" xfId="49158"/>
    <cellStyle name="20% - Accent6 2 2 2 4 3 2 2 3" xfId="39514"/>
    <cellStyle name="20% - Accent6 2 2 2 4 3 2 3" xfId="24594"/>
    <cellStyle name="20% - Accent6 2 2 2 4 3 2 3 2" xfId="44349"/>
    <cellStyle name="20% - Accent6 2 2 2 4 3 2 4" xfId="34705"/>
    <cellStyle name="20% - Accent6 2 2 2 4 3 3" xfId="19687"/>
    <cellStyle name="20% - Accent6 2 2 2 4 3 3 2" xfId="29403"/>
    <cellStyle name="20% - Accent6 2 2 2 4 3 3 2 2" xfId="49157"/>
    <cellStyle name="20% - Accent6 2 2 2 4 3 3 3" xfId="39513"/>
    <cellStyle name="20% - Accent6 2 2 2 4 3 4" xfId="24593"/>
    <cellStyle name="20% - Accent6 2 2 2 4 3 4 2" xfId="44348"/>
    <cellStyle name="20% - Accent6 2 2 2 4 3 5" xfId="34704"/>
    <cellStyle name="20% - Accent6 2 2 2 4 4" xfId="4399"/>
    <cellStyle name="20% - Accent6 2 2 2 4 4 2" xfId="19689"/>
    <cellStyle name="20% - Accent6 2 2 2 4 4 2 2" xfId="29405"/>
    <cellStyle name="20% - Accent6 2 2 2 4 4 2 2 2" xfId="49159"/>
    <cellStyle name="20% - Accent6 2 2 2 4 4 2 3" xfId="39515"/>
    <cellStyle name="20% - Accent6 2 2 2 4 4 3" xfId="24595"/>
    <cellStyle name="20% - Accent6 2 2 2 4 4 3 2" xfId="44350"/>
    <cellStyle name="20% - Accent6 2 2 2 4 4 4" xfId="34706"/>
    <cellStyle name="20% - Accent6 2 2 2 4 5" xfId="19682"/>
    <cellStyle name="20% - Accent6 2 2 2 4 5 2" xfId="29398"/>
    <cellStyle name="20% - Accent6 2 2 2 4 5 2 2" xfId="49152"/>
    <cellStyle name="20% - Accent6 2 2 2 4 5 3" xfId="39508"/>
    <cellStyle name="20% - Accent6 2 2 2 4 6" xfId="24588"/>
    <cellStyle name="20% - Accent6 2 2 2 4 6 2" xfId="44343"/>
    <cellStyle name="20% - Accent6 2 2 2 4 7" xfId="34699"/>
    <cellStyle name="20% - Accent6 2 2 2 5" xfId="4400"/>
    <cellStyle name="20% - Accent6 2 2 2 5 2" xfId="4401"/>
    <cellStyle name="20% - Accent6 2 2 2 5 2 2" xfId="4402"/>
    <cellStyle name="20% - Accent6 2 2 2 5 2 2 2" xfId="19692"/>
    <cellStyle name="20% - Accent6 2 2 2 5 2 2 2 2" xfId="29408"/>
    <cellStyle name="20% - Accent6 2 2 2 5 2 2 2 2 2" xfId="49162"/>
    <cellStyle name="20% - Accent6 2 2 2 5 2 2 2 3" xfId="39518"/>
    <cellStyle name="20% - Accent6 2 2 2 5 2 2 3" xfId="24598"/>
    <cellStyle name="20% - Accent6 2 2 2 5 2 2 3 2" xfId="44353"/>
    <cellStyle name="20% - Accent6 2 2 2 5 2 2 4" xfId="34709"/>
    <cellStyle name="20% - Accent6 2 2 2 5 2 3" xfId="19691"/>
    <cellStyle name="20% - Accent6 2 2 2 5 2 3 2" xfId="29407"/>
    <cellStyle name="20% - Accent6 2 2 2 5 2 3 2 2" xfId="49161"/>
    <cellStyle name="20% - Accent6 2 2 2 5 2 3 3" xfId="39517"/>
    <cellStyle name="20% - Accent6 2 2 2 5 2 4" xfId="24597"/>
    <cellStyle name="20% - Accent6 2 2 2 5 2 4 2" xfId="44352"/>
    <cellStyle name="20% - Accent6 2 2 2 5 2 5" xfId="34708"/>
    <cellStyle name="20% - Accent6 2 2 2 5 3" xfId="4403"/>
    <cellStyle name="20% - Accent6 2 2 2 5 3 2" xfId="19693"/>
    <cellStyle name="20% - Accent6 2 2 2 5 3 2 2" xfId="29409"/>
    <cellStyle name="20% - Accent6 2 2 2 5 3 2 2 2" xfId="49163"/>
    <cellStyle name="20% - Accent6 2 2 2 5 3 2 3" xfId="39519"/>
    <cellStyle name="20% - Accent6 2 2 2 5 3 3" xfId="24599"/>
    <cellStyle name="20% - Accent6 2 2 2 5 3 3 2" xfId="44354"/>
    <cellStyle name="20% - Accent6 2 2 2 5 3 4" xfId="34710"/>
    <cellStyle name="20% - Accent6 2 2 2 5 4" xfId="19690"/>
    <cellStyle name="20% - Accent6 2 2 2 5 4 2" xfId="29406"/>
    <cellStyle name="20% - Accent6 2 2 2 5 4 2 2" xfId="49160"/>
    <cellStyle name="20% - Accent6 2 2 2 5 4 3" xfId="39516"/>
    <cellStyle name="20% - Accent6 2 2 2 5 5" xfId="24596"/>
    <cellStyle name="20% - Accent6 2 2 2 5 5 2" xfId="44351"/>
    <cellStyle name="20% - Accent6 2 2 2 5 6" xfId="34707"/>
    <cellStyle name="20% - Accent6 2 2 2 6" xfId="4404"/>
    <cellStyle name="20% - Accent6 2 2 2 6 2" xfId="4405"/>
    <cellStyle name="20% - Accent6 2 2 2 6 2 2" xfId="19695"/>
    <cellStyle name="20% - Accent6 2 2 2 6 2 2 2" xfId="29411"/>
    <cellStyle name="20% - Accent6 2 2 2 6 2 2 2 2" xfId="49165"/>
    <cellStyle name="20% - Accent6 2 2 2 6 2 2 3" xfId="39521"/>
    <cellStyle name="20% - Accent6 2 2 2 6 2 3" xfId="24601"/>
    <cellStyle name="20% - Accent6 2 2 2 6 2 3 2" xfId="44356"/>
    <cellStyle name="20% - Accent6 2 2 2 6 2 4" xfId="34712"/>
    <cellStyle name="20% - Accent6 2 2 2 6 3" xfId="19694"/>
    <cellStyle name="20% - Accent6 2 2 2 6 3 2" xfId="29410"/>
    <cellStyle name="20% - Accent6 2 2 2 6 3 2 2" xfId="49164"/>
    <cellStyle name="20% - Accent6 2 2 2 6 3 3" xfId="39520"/>
    <cellStyle name="20% - Accent6 2 2 2 6 4" xfId="24600"/>
    <cellStyle name="20% - Accent6 2 2 2 6 4 2" xfId="44355"/>
    <cellStyle name="20% - Accent6 2 2 2 6 5" xfId="34711"/>
    <cellStyle name="20% - Accent6 2 2 2 7" xfId="4406"/>
    <cellStyle name="20% - Accent6 2 2 2 7 2" xfId="4407"/>
    <cellStyle name="20% - Accent6 2 2 2 7 2 2" xfId="19697"/>
    <cellStyle name="20% - Accent6 2 2 2 7 2 2 2" xfId="29413"/>
    <cellStyle name="20% - Accent6 2 2 2 7 2 2 2 2" xfId="49167"/>
    <cellStyle name="20% - Accent6 2 2 2 7 2 2 3" xfId="39523"/>
    <cellStyle name="20% - Accent6 2 2 2 7 2 3" xfId="24603"/>
    <cellStyle name="20% - Accent6 2 2 2 7 2 3 2" xfId="44358"/>
    <cellStyle name="20% - Accent6 2 2 2 7 2 4" xfId="34714"/>
    <cellStyle name="20% - Accent6 2 2 2 7 3" xfId="19696"/>
    <cellStyle name="20% - Accent6 2 2 2 7 3 2" xfId="29412"/>
    <cellStyle name="20% - Accent6 2 2 2 7 3 2 2" xfId="49166"/>
    <cellStyle name="20% - Accent6 2 2 2 7 3 3" xfId="39522"/>
    <cellStyle name="20% - Accent6 2 2 2 7 4" xfId="24602"/>
    <cellStyle name="20% - Accent6 2 2 2 7 4 2" xfId="44357"/>
    <cellStyle name="20% - Accent6 2 2 2 7 5" xfId="34713"/>
    <cellStyle name="20% - Accent6 2 2 2 8" xfId="4408"/>
    <cellStyle name="20% - Accent6 2 2 2 8 2" xfId="19698"/>
    <cellStyle name="20% - Accent6 2 2 2 8 2 2" xfId="29414"/>
    <cellStyle name="20% - Accent6 2 2 2 8 2 2 2" xfId="49168"/>
    <cellStyle name="20% - Accent6 2 2 2 8 2 3" xfId="39524"/>
    <cellStyle name="20% - Accent6 2 2 2 8 3" xfId="24604"/>
    <cellStyle name="20% - Accent6 2 2 2 8 3 2" xfId="44359"/>
    <cellStyle name="20% - Accent6 2 2 2 8 4" xfId="34715"/>
    <cellStyle name="20% - Accent6 2 2 2 9" xfId="4409"/>
    <cellStyle name="20% - Accent6 2 2 2 9 2" xfId="19699"/>
    <cellStyle name="20% - Accent6 2 2 2 9 2 2" xfId="29415"/>
    <cellStyle name="20% - Accent6 2 2 2 9 2 2 2" xfId="49169"/>
    <cellStyle name="20% - Accent6 2 2 2 9 2 3" xfId="39525"/>
    <cellStyle name="20% - Accent6 2 2 2 9 3" xfId="24605"/>
    <cellStyle name="20% - Accent6 2 2 2 9 3 2" xfId="44360"/>
    <cellStyle name="20% - Accent6 2 2 2 9 4" xfId="34716"/>
    <cellStyle name="20% - Accent6 2 2 3" xfId="4410"/>
    <cellStyle name="20% - Accent6 2 2 3 10" xfId="34717"/>
    <cellStyle name="20% - Accent6 2 2 3 2" xfId="4411"/>
    <cellStyle name="20% - Accent6 2 2 3 2 2" xfId="4412"/>
    <cellStyle name="20% - Accent6 2 2 3 2 2 2" xfId="4413"/>
    <cellStyle name="20% - Accent6 2 2 3 2 2 2 2" xfId="4414"/>
    <cellStyle name="20% - Accent6 2 2 3 2 2 2 2 2" xfId="19704"/>
    <cellStyle name="20% - Accent6 2 2 3 2 2 2 2 2 2" xfId="29420"/>
    <cellStyle name="20% - Accent6 2 2 3 2 2 2 2 2 2 2" xfId="49174"/>
    <cellStyle name="20% - Accent6 2 2 3 2 2 2 2 2 3" xfId="39530"/>
    <cellStyle name="20% - Accent6 2 2 3 2 2 2 2 3" xfId="24610"/>
    <cellStyle name="20% - Accent6 2 2 3 2 2 2 2 3 2" xfId="44365"/>
    <cellStyle name="20% - Accent6 2 2 3 2 2 2 2 4" xfId="34721"/>
    <cellStyle name="20% - Accent6 2 2 3 2 2 2 3" xfId="19703"/>
    <cellStyle name="20% - Accent6 2 2 3 2 2 2 3 2" xfId="29419"/>
    <cellStyle name="20% - Accent6 2 2 3 2 2 2 3 2 2" xfId="49173"/>
    <cellStyle name="20% - Accent6 2 2 3 2 2 2 3 3" xfId="39529"/>
    <cellStyle name="20% - Accent6 2 2 3 2 2 2 4" xfId="24609"/>
    <cellStyle name="20% - Accent6 2 2 3 2 2 2 4 2" xfId="44364"/>
    <cellStyle name="20% - Accent6 2 2 3 2 2 2 5" xfId="34720"/>
    <cellStyle name="20% - Accent6 2 2 3 2 2 3" xfId="4415"/>
    <cellStyle name="20% - Accent6 2 2 3 2 2 3 2" xfId="19705"/>
    <cellStyle name="20% - Accent6 2 2 3 2 2 3 2 2" xfId="29421"/>
    <cellStyle name="20% - Accent6 2 2 3 2 2 3 2 2 2" xfId="49175"/>
    <cellStyle name="20% - Accent6 2 2 3 2 2 3 2 3" xfId="39531"/>
    <cellStyle name="20% - Accent6 2 2 3 2 2 3 3" xfId="24611"/>
    <cellStyle name="20% - Accent6 2 2 3 2 2 3 3 2" xfId="44366"/>
    <cellStyle name="20% - Accent6 2 2 3 2 2 3 4" xfId="34722"/>
    <cellStyle name="20% - Accent6 2 2 3 2 2 4" xfId="19702"/>
    <cellStyle name="20% - Accent6 2 2 3 2 2 4 2" xfId="29418"/>
    <cellStyle name="20% - Accent6 2 2 3 2 2 4 2 2" xfId="49172"/>
    <cellStyle name="20% - Accent6 2 2 3 2 2 4 3" xfId="39528"/>
    <cellStyle name="20% - Accent6 2 2 3 2 2 5" xfId="24608"/>
    <cellStyle name="20% - Accent6 2 2 3 2 2 5 2" xfId="44363"/>
    <cellStyle name="20% - Accent6 2 2 3 2 2 6" xfId="34719"/>
    <cellStyle name="20% - Accent6 2 2 3 2 3" xfId="4416"/>
    <cellStyle name="20% - Accent6 2 2 3 2 3 2" xfId="4417"/>
    <cellStyle name="20% - Accent6 2 2 3 2 3 2 2" xfId="19707"/>
    <cellStyle name="20% - Accent6 2 2 3 2 3 2 2 2" xfId="29423"/>
    <cellStyle name="20% - Accent6 2 2 3 2 3 2 2 2 2" xfId="49177"/>
    <cellStyle name="20% - Accent6 2 2 3 2 3 2 2 3" xfId="39533"/>
    <cellStyle name="20% - Accent6 2 2 3 2 3 2 3" xfId="24613"/>
    <cellStyle name="20% - Accent6 2 2 3 2 3 2 3 2" xfId="44368"/>
    <cellStyle name="20% - Accent6 2 2 3 2 3 2 4" xfId="34724"/>
    <cellStyle name="20% - Accent6 2 2 3 2 3 3" xfId="19706"/>
    <cellStyle name="20% - Accent6 2 2 3 2 3 3 2" xfId="29422"/>
    <cellStyle name="20% - Accent6 2 2 3 2 3 3 2 2" xfId="49176"/>
    <cellStyle name="20% - Accent6 2 2 3 2 3 3 3" xfId="39532"/>
    <cellStyle name="20% - Accent6 2 2 3 2 3 4" xfId="24612"/>
    <cellStyle name="20% - Accent6 2 2 3 2 3 4 2" xfId="44367"/>
    <cellStyle name="20% - Accent6 2 2 3 2 3 5" xfId="34723"/>
    <cellStyle name="20% - Accent6 2 2 3 2 4" xfId="4418"/>
    <cellStyle name="20% - Accent6 2 2 3 2 4 2" xfId="19708"/>
    <cellStyle name="20% - Accent6 2 2 3 2 4 2 2" xfId="29424"/>
    <cellStyle name="20% - Accent6 2 2 3 2 4 2 2 2" xfId="49178"/>
    <cellStyle name="20% - Accent6 2 2 3 2 4 2 3" xfId="39534"/>
    <cellStyle name="20% - Accent6 2 2 3 2 4 3" xfId="24614"/>
    <cellStyle name="20% - Accent6 2 2 3 2 4 3 2" xfId="44369"/>
    <cellStyle name="20% - Accent6 2 2 3 2 4 4" xfId="34725"/>
    <cellStyle name="20% - Accent6 2 2 3 2 5" xfId="19701"/>
    <cellStyle name="20% - Accent6 2 2 3 2 5 2" xfId="29417"/>
    <cellStyle name="20% - Accent6 2 2 3 2 5 2 2" xfId="49171"/>
    <cellStyle name="20% - Accent6 2 2 3 2 5 3" xfId="39527"/>
    <cellStyle name="20% - Accent6 2 2 3 2 6" xfId="24607"/>
    <cellStyle name="20% - Accent6 2 2 3 2 6 2" xfId="44362"/>
    <cellStyle name="20% - Accent6 2 2 3 2 7" xfId="34718"/>
    <cellStyle name="20% - Accent6 2 2 3 3" xfId="4419"/>
    <cellStyle name="20% - Accent6 2 2 3 3 2" xfId="4420"/>
    <cellStyle name="20% - Accent6 2 2 3 3 2 2" xfId="4421"/>
    <cellStyle name="20% - Accent6 2 2 3 3 2 2 2" xfId="19711"/>
    <cellStyle name="20% - Accent6 2 2 3 3 2 2 2 2" xfId="29427"/>
    <cellStyle name="20% - Accent6 2 2 3 3 2 2 2 2 2" xfId="49181"/>
    <cellStyle name="20% - Accent6 2 2 3 3 2 2 2 3" xfId="39537"/>
    <cellStyle name="20% - Accent6 2 2 3 3 2 2 3" xfId="24617"/>
    <cellStyle name="20% - Accent6 2 2 3 3 2 2 3 2" xfId="44372"/>
    <cellStyle name="20% - Accent6 2 2 3 3 2 2 4" xfId="34728"/>
    <cellStyle name="20% - Accent6 2 2 3 3 2 3" xfId="19710"/>
    <cellStyle name="20% - Accent6 2 2 3 3 2 3 2" xfId="29426"/>
    <cellStyle name="20% - Accent6 2 2 3 3 2 3 2 2" xfId="49180"/>
    <cellStyle name="20% - Accent6 2 2 3 3 2 3 3" xfId="39536"/>
    <cellStyle name="20% - Accent6 2 2 3 3 2 4" xfId="24616"/>
    <cellStyle name="20% - Accent6 2 2 3 3 2 4 2" xfId="44371"/>
    <cellStyle name="20% - Accent6 2 2 3 3 2 5" xfId="34727"/>
    <cellStyle name="20% - Accent6 2 2 3 3 3" xfId="4422"/>
    <cellStyle name="20% - Accent6 2 2 3 3 3 2" xfId="19712"/>
    <cellStyle name="20% - Accent6 2 2 3 3 3 2 2" xfId="29428"/>
    <cellStyle name="20% - Accent6 2 2 3 3 3 2 2 2" xfId="49182"/>
    <cellStyle name="20% - Accent6 2 2 3 3 3 2 3" xfId="39538"/>
    <cellStyle name="20% - Accent6 2 2 3 3 3 3" xfId="24618"/>
    <cellStyle name="20% - Accent6 2 2 3 3 3 3 2" xfId="44373"/>
    <cellStyle name="20% - Accent6 2 2 3 3 3 4" xfId="34729"/>
    <cellStyle name="20% - Accent6 2 2 3 3 4" xfId="19709"/>
    <cellStyle name="20% - Accent6 2 2 3 3 4 2" xfId="29425"/>
    <cellStyle name="20% - Accent6 2 2 3 3 4 2 2" xfId="49179"/>
    <cellStyle name="20% - Accent6 2 2 3 3 4 3" xfId="39535"/>
    <cellStyle name="20% - Accent6 2 2 3 3 5" xfId="24615"/>
    <cellStyle name="20% - Accent6 2 2 3 3 5 2" xfId="44370"/>
    <cellStyle name="20% - Accent6 2 2 3 3 6" xfId="34726"/>
    <cellStyle name="20% - Accent6 2 2 3 4" xfId="4423"/>
    <cellStyle name="20% - Accent6 2 2 3 4 2" xfId="4424"/>
    <cellStyle name="20% - Accent6 2 2 3 4 2 2" xfId="19714"/>
    <cellStyle name="20% - Accent6 2 2 3 4 2 2 2" xfId="29430"/>
    <cellStyle name="20% - Accent6 2 2 3 4 2 2 2 2" xfId="49184"/>
    <cellStyle name="20% - Accent6 2 2 3 4 2 2 3" xfId="39540"/>
    <cellStyle name="20% - Accent6 2 2 3 4 2 3" xfId="24620"/>
    <cellStyle name="20% - Accent6 2 2 3 4 2 3 2" xfId="44375"/>
    <cellStyle name="20% - Accent6 2 2 3 4 2 4" xfId="34731"/>
    <cellStyle name="20% - Accent6 2 2 3 4 3" xfId="19713"/>
    <cellStyle name="20% - Accent6 2 2 3 4 3 2" xfId="29429"/>
    <cellStyle name="20% - Accent6 2 2 3 4 3 2 2" xfId="49183"/>
    <cellStyle name="20% - Accent6 2 2 3 4 3 3" xfId="39539"/>
    <cellStyle name="20% - Accent6 2 2 3 4 4" xfId="24619"/>
    <cellStyle name="20% - Accent6 2 2 3 4 4 2" xfId="44374"/>
    <cellStyle name="20% - Accent6 2 2 3 4 5" xfId="34730"/>
    <cellStyle name="20% - Accent6 2 2 3 5" xfId="4425"/>
    <cellStyle name="20% - Accent6 2 2 3 5 2" xfId="19715"/>
    <cellStyle name="20% - Accent6 2 2 3 5 2 2" xfId="29431"/>
    <cellStyle name="20% - Accent6 2 2 3 5 2 2 2" xfId="49185"/>
    <cellStyle name="20% - Accent6 2 2 3 5 2 3" xfId="39541"/>
    <cellStyle name="20% - Accent6 2 2 3 5 3" xfId="24621"/>
    <cellStyle name="20% - Accent6 2 2 3 5 3 2" xfId="44376"/>
    <cellStyle name="20% - Accent6 2 2 3 5 4" xfId="34732"/>
    <cellStyle name="20% - Accent6 2 2 3 6" xfId="4426"/>
    <cellStyle name="20% - Accent6 2 2 3 6 2" xfId="19716"/>
    <cellStyle name="20% - Accent6 2 2 3 6 2 2" xfId="29432"/>
    <cellStyle name="20% - Accent6 2 2 3 6 2 2 2" xfId="49186"/>
    <cellStyle name="20% - Accent6 2 2 3 6 2 3" xfId="39542"/>
    <cellStyle name="20% - Accent6 2 2 3 6 3" xfId="24622"/>
    <cellStyle name="20% - Accent6 2 2 3 6 3 2" xfId="44377"/>
    <cellStyle name="20% - Accent6 2 2 3 6 4" xfId="34733"/>
    <cellStyle name="20% - Accent6 2 2 3 7" xfId="4427"/>
    <cellStyle name="20% - Accent6 2 2 3 7 2" xfId="19717"/>
    <cellStyle name="20% - Accent6 2 2 3 7 2 2" xfId="29433"/>
    <cellStyle name="20% - Accent6 2 2 3 7 2 2 2" xfId="49187"/>
    <cellStyle name="20% - Accent6 2 2 3 7 2 3" xfId="39543"/>
    <cellStyle name="20% - Accent6 2 2 3 7 3" xfId="24623"/>
    <cellStyle name="20% - Accent6 2 2 3 7 3 2" xfId="44378"/>
    <cellStyle name="20% - Accent6 2 2 3 7 4" xfId="34734"/>
    <cellStyle name="20% - Accent6 2 2 3 8" xfId="19700"/>
    <cellStyle name="20% - Accent6 2 2 3 8 2" xfId="29416"/>
    <cellStyle name="20% - Accent6 2 2 3 8 2 2" xfId="49170"/>
    <cellStyle name="20% - Accent6 2 2 3 8 3" xfId="39526"/>
    <cellStyle name="20% - Accent6 2 2 3 9" xfId="24606"/>
    <cellStyle name="20% - Accent6 2 2 3 9 2" xfId="44361"/>
    <cellStyle name="20% - Accent6 2 2 4" xfId="4428"/>
    <cellStyle name="20% - Accent6 2 2 4 2" xfId="4429"/>
    <cellStyle name="20% - Accent6 2 2 4 2 2" xfId="4430"/>
    <cellStyle name="20% - Accent6 2 2 4 2 2 2" xfId="4431"/>
    <cellStyle name="20% - Accent6 2 2 4 2 2 2 2" xfId="19721"/>
    <cellStyle name="20% - Accent6 2 2 4 2 2 2 2 2" xfId="29437"/>
    <cellStyle name="20% - Accent6 2 2 4 2 2 2 2 2 2" xfId="49191"/>
    <cellStyle name="20% - Accent6 2 2 4 2 2 2 2 3" xfId="39547"/>
    <cellStyle name="20% - Accent6 2 2 4 2 2 2 3" xfId="24627"/>
    <cellStyle name="20% - Accent6 2 2 4 2 2 2 3 2" xfId="44382"/>
    <cellStyle name="20% - Accent6 2 2 4 2 2 2 4" xfId="34738"/>
    <cellStyle name="20% - Accent6 2 2 4 2 2 3" xfId="19720"/>
    <cellStyle name="20% - Accent6 2 2 4 2 2 3 2" xfId="29436"/>
    <cellStyle name="20% - Accent6 2 2 4 2 2 3 2 2" xfId="49190"/>
    <cellStyle name="20% - Accent6 2 2 4 2 2 3 3" xfId="39546"/>
    <cellStyle name="20% - Accent6 2 2 4 2 2 4" xfId="24626"/>
    <cellStyle name="20% - Accent6 2 2 4 2 2 4 2" xfId="44381"/>
    <cellStyle name="20% - Accent6 2 2 4 2 2 5" xfId="34737"/>
    <cellStyle name="20% - Accent6 2 2 4 2 3" xfId="4432"/>
    <cellStyle name="20% - Accent6 2 2 4 2 3 2" xfId="19722"/>
    <cellStyle name="20% - Accent6 2 2 4 2 3 2 2" xfId="29438"/>
    <cellStyle name="20% - Accent6 2 2 4 2 3 2 2 2" xfId="49192"/>
    <cellStyle name="20% - Accent6 2 2 4 2 3 2 3" xfId="39548"/>
    <cellStyle name="20% - Accent6 2 2 4 2 3 3" xfId="24628"/>
    <cellStyle name="20% - Accent6 2 2 4 2 3 3 2" xfId="44383"/>
    <cellStyle name="20% - Accent6 2 2 4 2 3 4" xfId="34739"/>
    <cellStyle name="20% - Accent6 2 2 4 2 4" xfId="19719"/>
    <cellStyle name="20% - Accent6 2 2 4 2 4 2" xfId="29435"/>
    <cellStyle name="20% - Accent6 2 2 4 2 4 2 2" xfId="49189"/>
    <cellStyle name="20% - Accent6 2 2 4 2 4 3" xfId="39545"/>
    <cellStyle name="20% - Accent6 2 2 4 2 5" xfId="24625"/>
    <cellStyle name="20% - Accent6 2 2 4 2 5 2" xfId="44380"/>
    <cellStyle name="20% - Accent6 2 2 4 2 6" xfId="34736"/>
    <cellStyle name="20% - Accent6 2 2 4 3" xfId="4433"/>
    <cellStyle name="20% - Accent6 2 2 4 3 2" xfId="4434"/>
    <cellStyle name="20% - Accent6 2 2 4 3 2 2" xfId="19724"/>
    <cellStyle name="20% - Accent6 2 2 4 3 2 2 2" xfId="29440"/>
    <cellStyle name="20% - Accent6 2 2 4 3 2 2 2 2" xfId="49194"/>
    <cellStyle name="20% - Accent6 2 2 4 3 2 2 3" xfId="39550"/>
    <cellStyle name="20% - Accent6 2 2 4 3 2 3" xfId="24630"/>
    <cellStyle name="20% - Accent6 2 2 4 3 2 3 2" xfId="44385"/>
    <cellStyle name="20% - Accent6 2 2 4 3 2 4" xfId="34741"/>
    <cellStyle name="20% - Accent6 2 2 4 3 3" xfId="19723"/>
    <cellStyle name="20% - Accent6 2 2 4 3 3 2" xfId="29439"/>
    <cellStyle name="20% - Accent6 2 2 4 3 3 2 2" xfId="49193"/>
    <cellStyle name="20% - Accent6 2 2 4 3 3 3" xfId="39549"/>
    <cellStyle name="20% - Accent6 2 2 4 3 4" xfId="24629"/>
    <cellStyle name="20% - Accent6 2 2 4 3 4 2" xfId="44384"/>
    <cellStyle name="20% - Accent6 2 2 4 3 5" xfId="34740"/>
    <cellStyle name="20% - Accent6 2 2 4 4" xfId="4435"/>
    <cellStyle name="20% - Accent6 2 2 4 4 2" xfId="19725"/>
    <cellStyle name="20% - Accent6 2 2 4 4 2 2" xfId="29441"/>
    <cellStyle name="20% - Accent6 2 2 4 4 2 2 2" xfId="49195"/>
    <cellStyle name="20% - Accent6 2 2 4 4 2 3" xfId="39551"/>
    <cellStyle name="20% - Accent6 2 2 4 4 3" xfId="24631"/>
    <cellStyle name="20% - Accent6 2 2 4 4 3 2" xfId="44386"/>
    <cellStyle name="20% - Accent6 2 2 4 4 4" xfId="34742"/>
    <cellStyle name="20% - Accent6 2 2 4 5" xfId="19718"/>
    <cellStyle name="20% - Accent6 2 2 4 5 2" xfId="29434"/>
    <cellStyle name="20% - Accent6 2 2 4 5 2 2" xfId="49188"/>
    <cellStyle name="20% - Accent6 2 2 4 5 3" xfId="39544"/>
    <cellStyle name="20% - Accent6 2 2 4 6" xfId="24624"/>
    <cellStyle name="20% - Accent6 2 2 4 6 2" xfId="44379"/>
    <cellStyle name="20% - Accent6 2 2 4 7" xfId="34735"/>
    <cellStyle name="20% - Accent6 2 2 5" xfId="4436"/>
    <cellStyle name="20% - Accent6 2 2 5 2" xfId="4437"/>
    <cellStyle name="20% - Accent6 2 2 5 2 2" xfId="4438"/>
    <cellStyle name="20% - Accent6 2 2 5 2 2 2" xfId="4439"/>
    <cellStyle name="20% - Accent6 2 2 5 2 2 2 2" xfId="19729"/>
    <cellStyle name="20% - Accent6 2 2 5 2 2 2 2 2" xfId="29445"/>
    <cellStyle name="20% - Accent6 2 2 5 2 2 2 2 2 2" xfId="49199"/>
    <cellStyle name="20% - Accent6 2 2 5 2 2 2 2 3" xfId="39555"/>
    <cellStyle name="20% - Accent6 2 2 5 2 2 2 3" xfId="24635"/>
    <cellStyle name="20% - Accent6 2 2 5 2 2 2 3 2" xfId="44390"/>
    <cellStyle name="20% - Accent6 2 2 5 2 2 2 4" xfId="34746"/>
    <cellStyle name="20% - Accent6 2 2 5 2 2 3" xfId="19728"/>
    <cellStyle name="20% - Accent6 2 2 5 2 2 3 2" xfId="29444"/>
    <cellStyle name="20% - Accent6 2 2 5 2 2 3 2 2" xfId="49198"/>
    <cellStyle name="20% - Accent6 2 2 5 2 2 3 3" xfId="39554"/>
    <cellStyle name="20% - Accent6 2 2 5 2 2 4" xfId="24634"/>
    <cellStyle name="20% - Accent6 2 2 5 2 2 4 2" xfId="44389"/>
    <cellStyle name="20% - Accent6 2 2 5 2 2 5" xfId="34745"/>
    <cellStyle name="20% - Accent6 2 2 5 2 3" xfId="4440"/>
    <cellStyle name="20% - Accent6 2 2 5 2 3 2" xfId="19730"/>
    <cellStyle name="20% - Accent6 2 2 5 2 3 2 2" xfId="29446"/>
    <cellStyle name="20% - Accent6 2 2 5 2 3 2 2 2" xfId="49200"/>
    <cellStyle name="20% - Accent6 2 2 5 2 3 2 3" xfId="39556"/>
    <cellStyle name="20% - Accent6 2 2 5 2 3 3" xfId="24636"/>
    <cellStyle name="20% - Accent6 2 2 5 2 3 3 2" xfId="44391"/>
    <cellStyle name="20% - Accent6 2 2 5 2 3 4" xfId="34747"/>
    <cellStyle name="20% - Accent6 2 2 5 2 4" xfId="19727"/>
    <cellStyle name="20% - Accent6 2 2 5 2 4 2" xfId="29443"/>
    <cellStyle name="20% - Accent6 2 2 5 2 4 2 2" xfId="49197"/>
    <cellStyle name="20% - Accent6 2 2 5 2 4 3" xfId="39553"/>
    <cellStyle name="20% - Accent6 2 2 5 2 5" xfId="24633"/>
    <cellStyle name="20% - Accent6 2 2 5 2 5 2" xfId="44388"/>
    <cellStyle name="20% - Accent6 2 2 5 2 6" xfId="34744"/>
    <cellStyle name="20% - Accent6 2 2 5 3" xfId="4441"/>
    <cellStyle name="20% - Accent6 2 2 5 3 2" xfId="4442"/>
    <cellStyle name="20% - Accent6 2 2 5 3 2 2" xfId="19732"/>
    <cellStyle name="20% - Accent6 2 2 5 3 2 2 2" xfId="29448"/>
    <cellStyle name="20% - Accent6 2 2 5 3 2 2 2 2" xfId="49202"/>
    <cellStyle name="20% - Accent6 2 2 5 3 2 2 3" xfId="39558"/>
    <cellStyle name="20% - Accent6 2 2 5 3 2 3" xfId="24638"/>
    <cellStyle name="20% - Accent6 2 2 5 3 2 3 2" xfId="44393"/>
    <cellStyle name="20% - Accent6 2 2 5 3 2 4" xfId="34749"/>
    <cellStyle name="20% - Accent6 2 2 5 3 3" xfId="19731"/>
    <cellStyle name="20% - Accent6 2 2 5 3 3 2" xfId="29447"/>
    <cellStyle name="20% - Accent6 2 2 5 3 3 2 2" xfId="49201"/>
    <cellStyle name="20% - Accent6 2 2 5 3 3 3" xfId="39557"/>
    <cellStyle name="20% - Accent6 2 2 5 3 4" xfId="24637"/>
    <cellStyle name="20% - Accent6 2 2 5 3 4 2" xfId="44392"/>
    <cellStyle name="20% - Accent6 2 2 5 3 5" xfId="34748"/>
    <cellStyle name="20% - Accent6 2 2 5 4" xfId="4443"/>
    <cellStyle name="20% - Accent6 2 2 5 4 2" xfId="19733"/>
    <cellStyle name="20% - Accent6 2 2 5 4 2 2" xfId="29449"/>
    <cellStyle name="20% - Accent6 2 2 5 4 2 2 2" xfId="49203"/>
    <cellStyle name="20% - Accent6 2 2 5 4 2 3" xfId="39559"/>
    <cellStyle name="20% - Accent6 2 2 5 4 3" xfId="24639"/>
    <cellStyle name="20% - Accent6 2 2 5 4 3 2" xfId="44394"/>
    <cellStyle name="20% - Accent6 2 2 5 4 4" xfId="34750"/>
    <cellStyle name="20% - Accent6 2 2 5 5" xfId="19726"/>
    <cellStyle name="20% - Accent6 2 2 5 5 2" xfId="29442"/>
    <cellStyle name="20% - Accent6 2 2 5 5 2 2" xfId="49196"/>
    <cellStyle name="20% - Accent6 2 2 5 5 3" xfId="39552"/>
    <cellStyle name="20% - Accent6 2 2 5 6" xfId="24632"/>
    <cellStyle name="20% - Accent6 2 2 5 6 2" xfId="44387"/>
    <cellStyle name="20% - Accent6 2 2 5 7" xfId="34743"/>
    <cellStyle name="20% - Accent6 2 2 6" xfId="4444"/>
    <cellStyle name="20% - Accent6 2 2 7" xfId="4445"/>
    <cellStyle name="20% - Accent6 2 2 7 2" xfId="4446"/>
    <cellStyle name="20% - Accent6 2 2 7 2 2" xfId="4447"/>
    <cellStyle name="20% - Accent6 2 2 7 2 2 2" xfId="19736"/>
    <cellStyle name="20% - Accent6 2 2 7 2 2 2 2" xfId="29452"/>
    <cellStyle name="20% - Accent6 2 2 7 2 2 2 2 2" xfId="49206"/>
    <cellStyle name="20% - Accent6 2 2 7 2 2 2 3" xfId="39562"/>
    <cellStyle name="20% - Accent6 2 2 7 2 2 3" xfId="24642"/>
    <cellStyle name="20% - Accent6 2 2 7 2 2 3 2" xfId="44397"/>
    <cellStyle name="20% - Accent6 2 2 7 2 2 4" xfId="34753"/>
    <cellStyle name="20% - Accent6 2 2 7 2 3" xfId="19735"/>
    <cellStyle name="20% - Accent6 2 2 7 2 3 2" xfId="29451"/>
    <cellStyle name="20% - Accent6 2 2 7 2 3 2 2" xfId="49205"/>
    <cellStyle name="20% - Accent6 2 2 7 2 3 3" xfId="39561"/>
    <cellStyle name="20% - Accent6 2 2 7 2 4" xfId="24641"/>
    <cellStyle name="20% - Accent6 2 2 7 2 4 2" xfId="44396"/>
    <cellStyle name="20% - Accent6 2 2 7 2 5" xfId="34752"/>
    <cellStyle name="20% - Accent6 2 2 7 3" xfId="4448"/>
    <cellStyle name="20% - Accent6 2 2 7 3 2" xfId="19737"/>
    <cellStyle name="20% - Accent6 2 2 7 3 2 2" xfId="29453"/>
    <cellStyle name="20% - Accent6 2 2 7 3 2 2 2" xfId="49207"/>
    <cellStyle name="20% - Accent6 2 2 7 3 2 3" xfId="39563"/>
    <cellStyle name="20% - Accent6 2 2 7 3 3" xfId="24643"/>
    <cellStyle name="20% - Accent6 2 2 7 3 3 2" xfId="44398"/>
    <cellStyle name="20% - Accent6 2 2 7 3 4" xfId="34754"/>
    <cellStyle name="20% - Accent6 2 2 7 4" xfId="19734"/>
    <cellStyle name="20% - Accent6 2 2 7 4 2" xfId="29450"/>
    <cellStyle name="20% - Accent6 2 2 7 4 2 2" xfId="49204"/>
    <cellStyle name="20% - Accent6 2 2 7 4 3" xfId="39560"/>
    <cellStyle name="20% - Accent6 2 2 7 5" xfId="24640"/>
    <cellStyle name="20% - Accent6 2 2 7 5 2" xfId="44395"/>
    <cellStyle name="20% - Accent6 2 2 7 6" xfId="34751"/>
    <cellStyle name="20% - Accent6 2 2 8" xfId="4449"/>
    <cellStyle name="20% - Accent6 2 2 8 2" xfId="4450"/>
    <cellStyle name="20% - Accent6 2 2 8 2 2" xfId="19739"/>
    <cellStyle name="20% - Accent6 2 2 8 2 2 2" xfId="29455"/>
    <cellStyle name="20% - Accent6 2 2 8 2 2 2 2" xfId="49209"/>
    <cellStyle name="20% - Accent6 2 2 8 2 2 3" xfId="39565"/>
    <cellStyle name="20% - Accent6 2 2 8 2 3" xfId="24645"/>
    <cellStyle name="20% - Accent6 2 2 8 2 3 2" xfId="44400"/>
    <cellStyle name="20% - Accent6 2 2 8 2 4" xfId="34756"/>
    <cellStyle name="20% - Accent6 2 2 8 3" xfId="19738"/>
    <cellStyle name="20% - Accent6 2 2 8 3 2" xfId="29454"/>
    <cellStyle name="20% - Accent6 2 2 8 3 2 2" xfId="49208"/>
    <cellStyle name="20% - Accent6 2 2 8 3 3" xfId="39564"/>
    <cellStyle name="20% - Accent6 2 2 8 4" xfId="24644"/>
    <cellStyle name="20% - Accent6 2 2 8 4 2" xfId="44399"/>
    <cellStyle name="20% - Accent6 2 2 8 5" xfId="34755"/>
    <cellStyle name="20% - Accent6 2 2 9" xfId="4451"/>
    <cellStyle name="20% - Accent6 2 2 9 2" xfId="4452"/>
    <cellStyle name="20% - Accent6 2 2 9 2 2" xfId="19741"/>
    <cellStyle name="20% - Accent6 2 2 9 2 2 2" xfId="29457"/>
    <cellStyle name="20% - Accent6 2 2 9 2 2 2 2" xfId="49211"/>
    <cellStyle name="20% - Accent6 2 2 9 2 2 3" xfId="39567"/>
    <cellStyle name="20% - Accent6 2 2 9 2 3" xfId="24647"/>
    <cellStyle name="20% - Accent6 2 2 9 2 3 2" xfId="44402"/>
    <cellStyle name="20% - Accent6 2 2 9 2 4" xfId="34758"/>
    <cellStyle name="20% - Accent6 2 2 9 3" xfId="19740"/>
    <cellStyle name="20% - Accent6 2 2 9 3 2" xfId="29456"/>
    <cellStyle name="20% - Accent6 2 2 9 3 2 2" xfId="49210"/>
    <cellStyle name="20% - Accent6 2 2 9 3 3" xfId="39566"/>
    <cellStyle name="20% - Accent6 2 2 9 4" xfId="24646"/>
    <cellStyle name="20% - Accent6 2 2 9 4 2" xfId="44401"/>
    <cellStyle name="20% - Accent6 2 2 9 5" xfId="34757"/>
    <cellStyle name="20% - Accent6 2 3" xfId="104"/>
    <cellStyle name="20% - Accent6 2 3 10" xfId="4453"/>
    <cellStyle name="20% - Accent6 2 3 10 2" xfId="19742"/>
    <cellStyle name="20% - Accent6 2 3 10 2 2" xfId="29458"/>
    <cellStyle name="20% - Accent6 2 3 10 2 2 2" xfId="49212"/>
    <cellStyle name="20% - Accent6 2 3 10 2 3" xfId="39568"/>
    <cellStyle name="20% - Accent6 2 3 10 3" xfId="24648"/>
    <cellStyle name="20% - Accent6 2 3 10 3 2" xfId="44403"/>
    <cellStyle name="20% - Accent6 2 3 10 4" xfId="34759"/>
    <cellStyle name="20% - Accent6 2 3 11" xfId="15490"/>
    <cellStyle name="20% - Accent6 2 3 11 2" xfId="20362"/>
    <cellStyle name="20% - Accent6 2 3 11 2 2" xfId="30076"/>
    <cellStyle name="20% - Accent6 2 3 11 2 2 2" xfId="49829"/>
    <cellStyle name="20% - Accent6 2 3 11 2 3" xfId="40185"/>
    <cellStyle name="20% - Accent6 2 3 11 3" xfId="25264"/>
    <cellStyle name="20% - Accent6 2 3 11 3 2" xfId="45018"/>
    <cellStyle name="20% - Accent6 2 3 11 4" xfId="35374"/>
    <cellStyle name="20% - Accent6 2 3 12" xfId="15892"/>
    <cellStyle name="20% - Accent6 2 3 12 2" xfId="25608"/>
    <cellStyle name="20% - Accent6 2 3 12 2 2" xfId="45362"/>
    <cellStyle name="20% - Accent6 2 3 12 3" xfId="35718"/>
    <cellStyle name="20% - Accent6 2 3 13" xfId="20768"/>
    <cellStyle name="20% - Accent6 2 3 13 2" xfId="40548"/>
    <cellStyle name="20% - Accent6 2 3 14" xfId="30503"/>
    <cellStyle name="20% - Accent6 2 3 14 2" xfId="50251"/>
    <cellStyle name="20% - Accent6 2 3 15" xfId="30879"/>
    <cellStyle name="20% - Accent6 2 3 2" xfId="841"/>
    <cellStyle name="20% - Accent6 2 3 2 10" xfId="31205"/>
    <cellStyle name="20% - Accent6 2 3 2 2" xfId="4454"/>
    <cellStyle name="20% - Accent6 2 3 2 2 2" xfId="4455"/>
    <cellStyle name="20% - Accent6 2 3 2 2 2 2" xfId="4456"/>
    <cellStyle name="20% - Accent6 2 3 2 2 2 2 2" xfId="4457"/>
    <cellStyle name="20% - Accent6 2 3 2 2 2 2 2 2" xfId="19746"/>
    <cellStyle name="20% - Accent6 2 3 2 2 2 2 2 2 2" xfId="29462"/>
    <cellStyle name="20% - Accent6 2 3 2 2 2 2 2 2 2 2" xfId="49216"/>
    <cellStyle name="20% - Accent6 2 3 2 2 2 2 2 2 3" xfId="39572"/>
    <cellStyle name="20% - Accent6 2 3 2 2 2 2 2 3" xfId="24652"/>
    <cellStyle name="20% - Accent6 2 3 2 2 2 2 2 3 2" xfId="44407"/>
    <cellStyle name="20% - Accent6 2 3 2 2 2 2 2 4" xfId="34763"/>
    <cellStyle name="20% - Accent6 2 3 2 2 2 2 3" xfId="19745"/>
    <cellStyle name="20% - Accent6 2 3 2 2 2 2 3 2" xfId="29461"/>
    <cellStyle name="20% - Accent6 2 3 2 2 2 2 3 2 2" xfId="49215"/>
    <cellStyle name="20% - Accent6 2 3 2 2 2 2 3 3" xfId="39571"/>
    <cellStyle name="20% - Accent6 2 3 2 2 2 2 4" xfId="24651"/>
    <cellStyle name="20% - Accent6 2 3 2 2 2 2 4 2" xfId="44406"/>
    <cellStyle name="20% - Accent6 2 3 2 2 2 2 5" xfId="34762"/>
    <cellStyle name="20% - Accent6 2 3 2 2 2 3" xfId="4458"/>
    <cellStyle name="20% - Accent6 2 3 2 2 2 3 2" xfId="19747"/>
    <cellStyle name="20% - Accent6 2 3 2 2 2 3 2 2" xfId="29463"/>
    <cellStyle name="20% - Accent6 2 3 2 2 2 3 2 2 2" xfId="49217"/>
    <cellStyle name="20% - Accent6 2 3 2 2 2 3 2 3" xfId="39573"/>
    <cellStyle name="20% - Accent6 2 3 2 2 2 3 3" xfId="24653"/>
    <cellStyle name="20% - Accent6 2 3 2 2 2 3 3 2" xfId="44408"/>
    <cellStyle name="20% - Accent6 2 3 2 2 2 3 4" xfId="34764"/>
    <cellStyle name="20% - Accent6 2 3 2 2 2 4" xfId="19744"/>
    <cellStyle name="20% - Accent6 2 3 2 2 2 4 2" xfId="29460"/>
    <cellStyle name="20% - Accent6 2 3 2 2 2 4 2 2" xfId="49214"/>
    <cellStyle name="20% - Accent6 2 3 2 2 2 4 3" xfId="39570"/>
    <cellStyle name="20% - Accent6 2 3 2 2 2 5" xfId="24650"/>
    <cellStyle name="20% - Accent6 2 3 2 2 2 5 2" xfId="44405"/>
    <cellStyle name="20% - Accent6 2 3 2 2 2 6" xfId="34761"/>
    <cellStyle name="20% - Accent6 2 3 2 2 3" xfId="4459"/>
    <cellStyle name="20% - Accent6 2 3 2 2 3 2" xfId="4460"/>
    <cellStyle name="20% - Accent6 2 3 2 2 3 2 2" xfId="19749"/>
    <cellStyle name="20% - Accent6 2 3 2 2 3 2 2 2" xfId="29465"/>
    <cellStyle name="20% - Accent6 2 3 2 2 3 2 2 2 2" xfId="49219"/>
    <cellStyle name="20% - Accent6 2 3 2 2 3 2 2 3" xfId="39575"/>
    <cellStyle name="20% - Accent6 2 3 2 2 3 2 3" xfId="24655"/>
    <cellStyle name="20% - Accent6 2 3 2 2 3 2 3 2" xfId="44410"/>
    <cellStyle name="20% - Accent6 2 3 2 2 3 2 4" xfId="34766"/>
    <cellStyle name="20% - Accent6 2 3 2 2 3 3" xfId="19748"/>
    <cellStyle name="20% - Accent6 2 3 2 2 3 3 2" xfId="29464"/>
    <cellStyle name="20% - Accent6 2 3 2 2 3 3 2 2" xfId="49218"/>
    <cellStyle name="20% - Accent6 2 3 2 2 3 3 3" xfId="39574"/>
    <cellStyle name="20% - Accent6 2 3 2 2 3 4" xfId="24654"/>
    <cellStyle name="20% - Accent6 2 3 2 2 3 4 2" xfId="44409"/>
    <cellStyle name="20% - Accent6 2 3 2 2 3 5" xfId="34765"/>
    <cellStyle name="20% - Accent6 2 3 2 2 4" xfId="4461"/>
    <cellStyle name="20% - Accent6 2 3 2 2 4 2" xfId="19750"/>
    <cellStyle name="20% - Accent6 2 3 2 2 4 2 2" xfId="29466"/>
    <cellStyle name="20% - Accent6 2 3 2 2 4 2 2 2" xfId="49220"/>
    <cellStyle name="20% - Accent6 2 3 2 2 4 2 3" xfId="39576"/>
    <cellStyle name="20% - Accent6 2 3 2 2 4 3" xfId="24656"/>
    <cellStyle name="20% - Accent6 2 3 2 2 4 3 2" xfId="44411"/>
    <cellStyle name="20% - Accent6 2 3 2 2 4 4" xfId="34767"/>
    <cellStyle name="20% - Accent6 2 3 2 2 5" xfId="19743"/>
    <cellStyle name="20% - Accent6 2 3 2 2 5 2" xfId="29459"/>
    <cellStyle name="20% - Accent6 2 3 2 2 5 2 2" xfId="49213"/>
    <cellStyle name="20% - Accent6 2 3 2 2 5 3" xfId="39569"/>
    <cellStyle name="20% - Accent6 2 3 2 2 6" xfId="24649"/>
    <cellStyle name="20% - Accent6 2 3 2 2 6 2" xfId="44404"/>
    <cellStyle name="20% - Accent6 2 3 2 2 7" xfId="34760"/>
    <cellStyle name="20% - Accent6 2 3 2 3" xfId="4462"/>
    <cellStyle name="20% - Accent6 2 3 2 3 2" xfId="4463"/>
    <cellStyle name="20% - Accent6 2 3 2 3 2 2" xfId="4464"/>
    <cellStyle name="20% - Accent6 2 3 2 3 2 2 2" xfId="19753"/>
    <cellStyle name="20% - Accent6 2 3 2 3 2 2 2 2" xfId="29469"/>
    <cellStyle name="20% - Accent6 2 3 2 3 2 2 2 2 2" xfId="49223"/>
    <cellStyle name="20% - Accent6 2 3 2 3 2 2 2 3" xfId="39579"/>
    <cellStyle name="20% - Accent6 2 3 2 3 2 2 3" xfId="24659"/>
    <cellStyle name="20% - Accent6 2 3 2 3 2 2 3 2" xfId="44414"/>
    <cellStyle name="20% - Accent6 2 3 2 3 2 2 4" xfId="34770"/>
    <cellStyle name="20% - Accent6 2 3 2 3 2 3" xfId="19752"/>
    <cellStyle name="20% - Accent6 2 3 2 3 2 3 2" xfId="29468"/>
    <cellStyle name="20% - Accent6 2 3 2 3 2 3 2 2" xfId="49222"/>
    <cellStyle name="20% - Accent6 2 3 2 3 2 3 3" xfId="39578"/>
    <cellStyle name="20% - Accent6 2 3 2 3 2 4" xfId="24658"/>
    <cellStyle name="20% - Accent6 2 3 2 3 2 4 2" xfId="44413"/>
    <cellStyle name="20% - Accent6 2 3 2 3 2 5" xfId="34769"/>
    <cellStyle name="20% - Accent6 2 3 2 3 3" xfId="4465"/>
    <cellStyle name="20% - Accent6 2 3 2 3 3 2" xfId="19754"/>
    <cellStyle name="20% - Accent6 2 3 2 3 3 2 2" xfId="29470"/>
    <cellStyle name="20% - Accent6 2 3 2 3 3 2 2 2" xfId="49224"/>
    <cellStyle name="20% - Accent6 2 3 2 3 3 2 3" xfId="39580"/>
    <cellStyle name="20% - Accent6 2 3 2 3 3 3" xfId="24660"/>
    <cellStyle name="20% - Accent6 2 3 2 3 3 3 2" xfId="44415"/>
    <cellStyle name="20% - Accent6 2 3 2 3 3 4" xfId="34771"/>
    <cellStyle name="20% - Accent6 2 3 2 3 4" xfId="19751"/>
    <cellStyle name="20% - Accent6 2 3 2 3 4 2" xfId="29467"/>
    <cellStyle name="20% - Accent6 2 3 2 3 4 2 2" xfId="49221"/>
    <cellStyle name="20% - Accent6 2 3 2 3 4 3" xfId="39577"/>
    <cellStyle name="20% - Accent6 2 3 2 3 5" xfId="24657"/>
    <cellStyle name="20% - Accent6 2 3 2 3 5 2" xfId="44412"/>
    <cellStyle name="20% - Accent6 2 3 2 3 6" xfId="34768"/>
    <cellStyle name="20% - Accent6 2 3 2 4" xfId="4466"/>
    <cellStyle name="20% - Accent6 2 3 2 4 2" xfId="4467"/>
    <cellStyle name="20% - Accent6 2 3 2 4 2 2" xfId="19756"/>
    <cellStyle name="20% - Accent6 2 3 2 4 2 2 2" xfId="29472"/>
    <cellStyle name="20% - Accent6 2 3 2 4 2 2 2 2" xfId="49226"/>
    <cellStyle name="20% - Accent6 2 3 2 4 2 2 3" xfId="39582"/>
    <cellStyle name="20% - Accent6 2 3 2 4 2 3" xfId="24662"/>
    <cellStyle name="20% - Accent6 2 3 2 4 2 3 2" xfId="44417"/>
    <cellStyle name="20% - Accent6 2 3 2 4 2 4" xfId="34773"/>
    <cellStyle name="20% - Accent6 2 3 2 4 3" xfId="19755"/>
    <cellStyle name="20% - Accent6 2 3 2 4 3 2" xfId="29471"/>
    <cellStyle name="20% - Accent6 2 3 2 4 3 2 2" xfId="49225"/>
    <cellStyle name="20% - Accent6 2 3 2 4 3 3" xfId="39581"/>
    <cellStyle name="20% - Accent6 2 3 2 4 4" xfId="24661"/>
    <cellStyle name="20% - Accent6 2 3 2 4 4 2" xfId="44416"/>
    <cellStyle name="20% - Accent6 2 3 2 4 5" xfId="34772"/>
    <cellStyle name="20% - Accent6 2 3 2 5" xfId="4468"/>
    <cellStyle name="20% - Accent6 2 3 2 5 2" xfId="19757"/>
    <cellStyle name="20% - Accent6 2 3 2 5 2 2" xfId="29473"/>
    <cellStyle name="20% - Accent6 2 3 2 5 2 2 2" xfId="49227"/>
    <cellStyle name="20% - Accent6 2 3 2 5 2 3" xfId="39583"/>
    <cellStyle name="20% - Accent6 2 3 2 5 3" xfId="24663"/>
    <cellStyle name="20% - Accent6 2 3 2 5 3 2" xfId="44418"/>
    <cellStyle name="20% - Accent6 2 3 2 5 4" xfId="34774"/>
    <cellStyle name="20% - Accent6 2 3 2 6" xfId="4469"/>
    <cellStyle name="20% - Accent6 2 3 2 6 2" xfId="19758"/>
    <cellStyle name="20% - Accent6 2 3 2 6 2 2" xfId="29474"/>
    <cellStyle name="20% - Accent6 2 3 2 6 2 2 2" xfId="49228"/>
    <cellStyle name="20% - Accent6 2 3 2 6 2 3" xfId="39584"/>
    <cellStyle name="20% - Accent6 2 3 2 6 3" xfId="24664"/>
    <cellStyle name="20% - Accent6 2 3 2 6 3 2" xfId="44419"/>
    <cellStyle name="20% - Accent6 2 3 2 6 4" xfId="34775"/>
    <cellStyle name="20% - Accent6 2 3 2 7" xfId="4470"/>
    <cellStyle name="20% - Accent6 2 3 2 7 2" xfId="19759"/>
    <cellStyle name="20% - Accent6 2 3 2 7 2 2" xfId="29475"/>
    <cellStyle name="20% - Accent6 2 3 2 7 2 2 2" xfId="49229"/>
    <cellStyle name="20% - Accent6 2 3 2 7 2 3" xfId="39585"/>
    <cellStyle name="20% - Accent6 2 3 2 7 3" xfId="24665"/>
    <cellStyle name="20% - Accent6 2 3 2 7 3 2" xfId="44420"/>
    <cellStyle name="20% - Accent6 2 3 2 7 4" xfId="34776"/>
    <cellStyle name="20% - Accent6 2 3 2 8" xfId="16188"/>
    <cellStyle name="20% - Accent6 2 3 2 8 2" xfId="25904"/>
    <cellStyle name="20% - Accent6 2 3 2 8 2 2" xfId="45658"/>
    <cellStyle name="20% - Accent6 2 3 2 8 3" xfId="36014"/>
    <cellStyle name="20% - Accent6 2 3 2 9" xfId="21094"/>
    <cellStyle name="20% - Accent6 2 3 2 9 2" xfId="40849"/>
    <cellStyle name="20% - Accent6 2 3 3" xfId="4471"/>
    <cellStyle name="20% - Accent6 2 3 3 2" xfId="4472"/>
    <cellStyle name="20% - Accent6 2 3 3 2 2" xfId="4473"/>
    <cellStyle name="20% - Accent6 2 3 3 2 2 2" xfId="4474"/>
    <cellStyle name="20% - Accent6 2 3 3 2 2 2 2" xfId="19763"/>
    <cellStyle name="20% - Accent6 2 3 3 2 2 2 2 2" xfId="29479"/>
    <cellStyle name="20% - Accent6 2 3 3 2 2 2 2 2 2" xfId="49233"/>
    <cellStyle name="20% - Accent6 2 3 3 2 2 2 2 3" xfId="39589"/>
    <cellStyle name="20% - Accent6 2 3 3 2 2 2 3" xfId="24669"/>
    <cellStyle name="20% - Accent6 2 3 3 2 2 2 3 2" xfId="44424"/>
    <cellStyle name="20% - Accent6 2 3 3 2 2 2 4" xfId="34780"/>
    <cellStyle name="20% - Accent6 2 3 3 2 2 3" xfId="19762"/>
    <cellStyle name="20% - Accent6 2 3 3 2 2 3 2" xfId="29478"/>
    <cellStyle name="20% - Accent6 2 3 3 2 2 3 2 2" xfId="49232"/>
    <cellStyle name="20% - Accent6 2 3 3 2 2 3 3" xfId="39588"/>
    <cellStyle name="20% - Accent6 2 3 3 2 2 4" xfId="24668"/>
    <cellStyle name="20% - Accent6 2 3 3 2 2 4 2" xfId="44423"/>
    <cellStyle name="20% - Accent6 2 3 3 2 2 5" xfId="34779"/>
    <cellStyle name="20% - Accent6 2 3 3 2 3" xfId="4475"/>
    <cellStyle name="20% - Accent6 2 3 3 2 3 2" xfId="19764"/>
    <cellStyle name="20% - Accent6 2 3 3 2 3 2 2" xfId="29480"/>
    <cellStyle name="20% - Accent6 2 3 3 2 3 2 2 2" xfId="49234"/>
    <cellStyle name="20% - Accent6 2 3 3 2 3 2 3" xfId="39590"/>
    <cellStyle name="20% - Accent6 2 3 3 2 3 3" xfId="24670"/>
    <cellStyle name="20% - Accent6 2 3 3 2 3 3 2" xfId="44425"/>
    <cellStyle name="20% - Accent6 2 3 3 2 3 4" xfId="34781"/>
    <cellStyle name="20% - Accent6 2 3 3 2 4" xfId="19761"/>
    <cellStyle name="20% - Accent6 2 3 3 2 4 2" xfId="29477"/>
    <cellStyle name="20% - Accent6 2 3 3 2 4 2 2" xfId="49231"/>
    <cellStyle name="20% - Accent6 2 3 3 2 4 3" xfId="39587"/>
    <cellStyle name="20% - Accent6 2 3 3 2 5" xfId="24667"/>
    <cellStyle name="20% - Accent6 2 3 3 2 5 2" xfId="44422"/>
    <cellStyle name="20% - Accent6 2 3 3 2 6" xfId="34778"/>
    <cellStyle name="20% - Accent6 2 3 3 3" xfId="4476"/>
    <cellStyle name="20% - Accent6 2 3 3 3 2" xfId="4477"/>
    <cellStyle name="20% - Accent6 2 3 3 3 2 2" xfId="19766"/>
    <cellStyle name="20% - Accent6 2 3 3 3 2 2 2" xfId="29482"/>
    <cellStyle name="20% - Accent6 2 3 3 3 2 2 2 2" xfId="49236"/>
    <cellStyle name="20% - Accent6 2 3 3 3 2 2 3" xfId="39592"/>
    <cellStyle name="20% - Accent6 2 3 3 3 2 3" xfId="24672"/>
    <cellStyle name="20% - Accent6 2 3 3 3 2 3 2" xfId="44427"/>
    <cellStyle name="20% - Accent6 2 3 3 3 2 4" xfId="34783"/>
    <cellStyle name="20% - Accent6 2 3 3 3 3" xfId="19765"/>
    <cellStyle name="20% - Accent6 2 3 3 3 3 2" xfId="29481"/>
    <cellStyle name="20% - Accent6 2 3 3 3 3 2 2" xfId="49235"/>
    <cellStyle name="20% - Accent6 2 3 3 3 3 3" xfId="39591"/>
    <cellStyle name="20% - Accent6 2 3 3 3 4" xfId="24671"/>
    <cellStyle name="20% - Accent6 2 3 3 3 4 2" xfId="44426"/>
    <cellStyle name="20% - Accent6 2 3 3 3 5" xfId="34782"/>
    <cellStyle name="20% - Accent6 2 3 3 4" xfId="4478"/>
    <cellStyle name="20% - Accent6 2 3 3 4 2" xfId="19767"/>
    <cellStyle name="20% - Accent6 2 3 3 4 2 2" xfId="29483"/>
    <cellStyle name="20% - Accent6 2 3 3 4 2 2 2" xfId="49237"/>
    <cellStyle name="20% - Accent6 2 3 3 4 2 3" xfId="39593"/>
    <cellStyle name="20% - Accent6 2 3 3 4 3" xfId="24673"/>
    <cellStyle name="20% - Accent6 2 3 3 4 3 2" xfId="44428"/>
    <cellStyle name="20% - Accent6 2 3 3 4 4" xfId="34784"/>
    <cellStyle name="20% - Accent6 2 3 3 5" xfId="19760"/>
    <cellStyle name="20% - Accent6 2 3 3 5 2" xfId="29476"/>
    <cellStyle name="20% - Accent6 2 3 3 5 2 2" xfId="49230"/>
    <cellStyle name="20% - Accent6 2 3 3 5 3" xfId="39586"/>
    <cellStyle name="20% - Accent6 2 3 3 6" xfId="24666"/>
    <cellStyle name="20% - Accent6 2 3 3 6 2" xfId="44421"/>
    <cellStyle name="20% - Accent6 2 3 3 7" xfId="34777"/>
    <cellStyle name="20% - Accent6 2 3 4" xfId="4479"/>
    <cellStyle name="20% - Accent6 2 3 4 2" xfId="4480"/>
    <cellStyle name="20% - Accent6 2 3 4 2 2" xfId="4481"/>
    <cellStyle name="20% - Accent6 2 3 4 2 2 2" xfId="4482"/>
    <cellStyle name="20% - Accent6 2 3 4 2 2 2 2" xfId="19771"/>
    <cellStyle name="20% - Accent6 2 3 4 2 2 2 2 2" xfId="29487"/>
    <cellStyle name="20% - Accent6 2 3 4 2 2 2 2 2 2" xfId="49241"/>
    <cellStyle name="20% - Accent6 2 3 4 2 2 2 2 3" xfId="39597"/>
    <cellStyle name="20% - Accent6 2 3 4 2 2 2 3" xfId="24677"/>
    <cellStyle name="20% - Accent6 2 3 4 2 2 2 3 2" xfId="44432"/>
    <cellStyle name="20% - Accent6 2 3 4 2 2 2 4" xfId="34788"/>
    <cellStyle name="20% - Accent6 2 3 4 2 2 3" xfId="19770"/>
    <cellStyle name="20% - Accent6 2 3 4 2 2 3 2" xfId="29486"/>
    <cellStyle name="20% - Accent6 2 3 4 2 2 3 2 2" xfId="49240"/>
    <cellStyle name="20% - Accent6 2 3 4 2 2 3 3" xfId="39596"/>
    <cellStyle name="20% - Accent6 2 3 4 2 2 4" xfId="24676"/>
    <cellStyle name="20% - Accent6 2 3 4 2 2 4 2" xfId="44431"/>
    <cellStyle name="20% - Accent6 2 3 4 2 2 5" xfId="34787"/>
    <cellStyle name="20% - Accent6 2 3 4 2 3" xfId="4483"/>
    <cellStyle name="20% - Accent6 2 3 4 2 3 2" xfId="19772"/>
    <cellStyle name="20% - Accent6 2 3 4 2 3 2 2" xfId="29488"/>
    <cellStyle name="20% - Accent6 2 3 4 2 3 2 2 2" xfId="49242"/>
    <cellStyle name="20% - Accent6 2 3 4 2 3 2 3" xfId="39598"/>
    <cellStyle name="20% - Accent6 2 3 4 2 3 3" xfId="24678"/>
    <cellStyle name="20% - Accent6 2 3 4 2 3 3 2" xfId="44433"/>
    <cellStyle name="20% - Accent6 2 3 4 2 3 4" xfId="34789"/>
    <cellStyle name="20% - Accent6 2 3 4 2 4" xfId="19769"/>
    <cellStyle name="20% - Accent6 2 3 4 2 4 2" xfId="29485"/>
    <cellStyle name="20% - Accent6 2 3 4 2 4 2 2" xfId="49239"/>
    <cellStyle name="20% - Accent6 2 3 4 2 4 3" xfId="39595"/>
    <cellStyle name="20% - Accent6 2 3 4 2 5" xfId="24675"/>
    <cellStyle name="20% - Accent6 2 3 4 2 5 2" xfId="44430"/>
    <cellStyle name="20% - Accent6 2 3 4 2 6" xfId="34786"/>
    <cellStyle name="20% - Accent6 2 3 4 3" xfId="4484"/>
    <cellStyle name="20% - Accent6 2 3 4 3 2" xfId="4485"/>
    <cellStyle name="20% - Accent6 2 3 4 3 2 2" xfId="19774"/>
    <cellStyle name="20% - Accent6 2 3 4 3 2 2 2" xfId="29490"/>
    <cellStyle name="20% - Accent6 2 3 4 3 2 2 2 2" xfId="49244"/>
    <cellStyle name="20% - Accent6 2 3 4 3 2 2 3" xfId="39600"/>
    <cellStyle name="20% - Accent6 2 3 4 3 2 3" xfId="24680"/>
    <cellStyle name="20% - Accent6 2 3 4 3 2 3 2" xfId="44435"/>
    <cellStyle name="20% - Accent6 2 3 4 3 2 4" xfId="34791"/>
    <cellStyle name="20% - Accent6 2 3 4 3 3" xfId="19773"/>
    <cellStyle name="20% - Accent6 2 3 4 3 3 2" xfId="29489"/>
    <cellStyle name="20% - Accent6 2 3 4 3 3 2 2" xfId="49243"/>
    <cellStyle name="20% - Accent6 2 3 4 3 3 3" xfId="39599"/>
    <cellStyle name="20% - Accent6 2 3 4 3 4" xfId="24679"/>
    <cellStyle name="20% - Accent6 2 3 4 3 4 2" xfId="44434"/>
    <cellStyle name="20% - Accent6 2 3 4 3 5" xfId="34790"/>
    <cellStyle name="20% - Accent6 2 3 4 4" xfId="4486"/>
    <cellStyle name="20% - Accent6 2 3 4 4 2" xfId="19775"/>
    <cellStyle name="20% - Accent6 2 3 4 4 2 2" xfId="29491"/>
    <cellStyle name="20% - Accent6 2 3 4 4 2 2 2" xfId="49245"/>
    <cellStyle name="20% - Accent6 2 3 4 4 2 3" xfId="39601"/>
    <cellStyle name="20% - Accent6 2 3 4 4 3" xfId="24681"/>
    <cellStyle name="20% - Accent6 2 3 4 4 3 2" xfId="44436"/>
    <cellStyle name="20% - Accent6 2 3 4 4 4" xfId="34792"/>
    <cellStyle name="20% - Accent6 2 3 4 5" xfId="19768"/>
    <cellStyle name="20% - Accent6 2 3 4 5 2" xfId="29484"/>
    <cellStyle name="20% - Accent6 2 3 4 5 2 2" xfId="49238"/>
    <cellStyle name="20% - Accent6 2 3 4 5 3" xfId="39594"/>
    <cellStyle name="20% - Accent6 2 3 4 6" xfId="24674"/>
    <cellStyle name="20% - Accent6 2 3 4 6 2" xfId="44429"/>
    <cellStyle name="20% - Accent6 2 3 4 7" xfId="34785"/>
    <cellStyle name="20% - Accent6 2 3 5" xfId="4487"/>
    <cellStyle name="20% - Accent6 2 3 5 2" xfId="4488"/>
    <cellStyle name="20% - Accent6 2 3 5 2 2" xfId="4489"/>
    <cellStyle name="20% - Accent6 2 3 5 2 2 2" xfId="19778"/>
    <cellStyle name="20% - Accent6 2 3 5 2 2 2 2" xfId="29494"/>
    <cellStyle name="20% - Accent6 2 3 5 2 2 2 2 2" xfId="49248"/>
    <cellStyle name="20% - Accent6 2 3 5 2 2 2 3" xfId="39604"/>
    <cellStyle name="20% - Accent6 2 3 5 2 2 3" xfId="24684"/>
    <cellStyle name="20% - Accent6 2 3 5 2 2 3 2" xfId="44439"/>
    <cellStyle name="20% - Accent6 2 3 5 2 2 4" xfId="34795"/>
    <cellStyle name="20% - Accent6 2 3 5 2 3" xfId="19777"/>
    <cellStyle name="20% - Accent6 2 3 5 2 3 2" xfId="29493"/>
    <cellStyle name="20% - Accent6 2 3 5 2 3 2 2" xfId="49247"/>
    <cellStyle name="20% - Accent6 2 3 5 2 3 3" xfId="39603"/>
    <cellStyle name="20% - Accent6 2 3 5 2 4" xfId="24683"/>
    <cellStyle name="20% - Accent6 2 3 5 2 4 2" xfId="44438"/>
    <cellStyle name="20% - Accent6 2 3 5 2 5" xfId="34794"/>
    <cellStyle name="20% - Accent6 2 3 5 3" xfId="4490"/>
    <cellStyle name="20% - Accent6 2 3 5 3 2" xfId="19779"/>
    <cellStyle name="20% - Accent6 2 3 5 3 2 2" xfId="29495"/>
    <cellStyle name="20% - Accent6 2 3 5 3 2 2 2" xfId="49249"/>
    <cellStyle name="20% - Accent6 2 3 5 3 2 3" xfId="39605"/>
    <cellStyle name="20% - Accent6 2 3 5 3 3" xfId="24685"/>
    <cellStyle name="20% - Accent6 2 3 5 3 3 2" xfId="44440"/>
    <cellStyle name="20% - Accent6 2 3 5 3 4" xfId="34796"/>
    <cellStyle name="20% - Accent6 2 3 5 4" xfId="19776"/>
    <cellStyle name="20% - Accent6 2 3 5 4 2" xfId="29492"/>
    <cellStyle name="20% - Accent6 2 3 5 4 2 2" xfId="49246"/>
    <cellStyle name="20% - Accent6 2 3 5 4 3" xfId="39602"/>
    <cellStyle name="20% - Accent6 2 3 5 5" xfId="24682"/>
    <cellStyle name="20% - Accent6 2 3 5 5 2" xfId="44437"/>
    <cellStyle name="20% - Accent6 2 3 5 6" xfId="34793"/>
    <cellStyle name="20% - Accent6 2 3 6" xfId="4491"/>
    <cellStyle name="20% - Accent6 2 3 6 2" xfId="4492"/>
    <cellStyle name="20% - Accent6 2 3 6 2 2" xfId="19781"/>
    <cellStyle name="20% - Accent6 2 3 6 2 2 2" xfId="29497"/>
    <cellStyle name="20% - Accent6 2 3 6 2 2 2 2" xfId="49251"/>
    <cellStyle name="20% - Accent6 2 3 6 2 2 3" xfId="39607"/>
    <cellStyle name="20% - Accent6 2 3 6 2 3" xfId="24687"/>
    <cellStyle name="20% - Accent6 2 3 6 2 3 2" xfId="44442"/>
    <cellStyle name="20% - Accent6 2 3 6 2 4" xfId="34798"/>
    <cellStyle name="20% - Accent6 2 3 6 3" xfId="19780"/>
    <cellStyle name="20% - Accent6 2 3 6 3 2" xfId="29496"/>
    <cellStyle name="20% - Accent6 2 3 6 3 2 2" xfId="49250"/>
    <cellStyle name="20% - Accent6 2 3 6 3 3" xfId="39606"/>
    <cellStyle name="20% - Accent6 2 3 6 4" xfId="24686"/>
    <cellStyle name="20% - Accent6 2 3 6 4 2" xfId="44441"/>
    <cellStyle name="20% - Accent6 2 3 6 5" xfId="34797"/>
    <cellStyle name="20% - Accent6 2 3 7" xfId="4493"/>
    <cellStyle name="20% - Accent6 2 3 7 2" xfId="4494"/>
    <cellStyle name="20% - Accent6 2 3 7 2 2" xfId="19783"/>
    <cellStyle name="20% - Accent6 2 3 7 2 2 2" xfId="29499"/>
    <cellStyle name="20% - Accent6 2 3 7 2 2 2 2" xfId="49253"/>
    <cellStyle name="20% - Accent6 2 3 7 2 2 3" xfId="39609"/>
    <cellStyle name="20% - Accent6 2 3 7 2 3" xfId="24689"/>
    <cellStyle name="20% - Accent6 2 3 7 2 3 2" xfId="44444"/>
    <cellStyle name="20% - Accent6 2 3 7 2 4" xfId="34800"/>
    <cellStyle name="20% - Accent6 2 3 7 3" xfId="19782"/>
    <cellStyle name="20% - Accent6 2 3 7 3 2" xfId="29498"/>
    <cellStyle name="20% - Accent6 2 3 7 3 2 2" xfId="49252"/>
    <cellStyle name="20% - Accent6 2 3 7 3 3" xfId="39608"/>
    <cellStyle name="20% - Accent6 2 3 7 4" xfId="24688"/>
    <cellStyle name="20% - Accent6 2 3 7 4 2" xfId="44443"/>
    <cellStyle name="20% - Accent6 2 3 7 5" xfId="34799"/>
    <cellStyle name="20% - Accent6 2 3 8" xfId="4495"/>
    <cellStyle name="20% - Accent6 2 3 8 2" xfId="19784"/>
    <cellStyle name="20% - Accent6 2 3 8 2 2" xfId="29500"/>
    <cellStyle name="20% - Accent6 2 3 8 2 2 2" xfId="49254"/>
    <cellStyle name="20% - Accent6 2 3 8 2 3" xfId="39610"/>
    <cellStyle name="20% - Accent6 2 3 8 3" xfId="24690"/>
    <cellStyle name="20% - Accent6 2 3 8 3 2" xfId="44445"/>
    <cellStyle name="20% - Accent6 2 3 8 4" xfId="34801"/>
    <cellStyle name="20% - Accent6 2 3 9" xfId="4496"/>
    <cellStyle name="20% - Accent6 2 3 9 2" xfId="19785"/>
    <cellStyle name="20% - Accent6 2 3 9 2 2" xfId="29501"/>
    <cellStyle name="20% - Accent6 2 3 9 2 2 2" xfId="49255"/>
    <cellStyle name="20% - Accent6 2 3 9 2 3" xfId="39611"/>
    <cellStyle name="20% - Accent6 2 3 9 3" xfId="24691"/>
    <cellStyle name="20% - Accent6 2 3 9 3 2" xfId="44446"/>
    <cellStyle name="20% - Accent6 2 3 9 4" xfId="34802"/>
    <cellStyle name="20% - Accent6 2 4" xfId="4497"/>
    <cellStyle name="20% - Accent6 2 4 10" xfId="34803"/>
    <cellStyle name="20% - Accent6 2 4 2" xfId="4498"/>
    <cellStyle name="20% - Accent6 2 4 2 2" xfId="4499"/>
    <cellStyle name="20% - Accent6 2 4 2 2 2" xfId="4500"/>
    <cellStyle name="20% - Accent6 2 4 2 2 2 2" xfId="4501"/>
    <cellStyle name="20% - Accent6 2 4 2 2 2 2 2" xfId="19790"/>
    <cellStyle name="20% - Accent6 2 4 2 2 2 2 2 2" xfId="29506"/>
    <cellStyle name="20% - Accent6 2 4 2 2 2 2 2 2 2" xfId="49260"/>
    <cellStyle name="20% - Accent6 2 4 2 2 2 2 2 3" xfId="39616"/>
    <cellStyle name="20% - Accent6 2 4 2 2 2 2 3" xfId="24696"/>
    <cellStyle name="20% - Accent6 2 4 2 2 2 2 3 2" xfId="44451"/>
    <cellStyle name="20% - Accent6 2 4 2 2 2 2 4" xfId="34807"/>
    <cellStyle name="20% - Accent6 2 4 2 2 2 3" xfId="19789"/>
    <cellStyle name="20% - Accent6 2 4 2 2 2 3 2" xfId="29505"/>
    <cellStyle name="20% - Accent6 2 4 2 2 2 3 2 2" xfId="49259"/>
    <cellStyle name="20% - Accent6 2 4 2 2 2 3 3" xfId="39615"/>
    <cellStyle name="20% - Accent6 2 4 2 2 2 4" xfId="24695"/>
    <cellStyle name="20% - Accent6 2 4 2 2 2 4 2" xfId="44450"/>
    <cellStyle name="20% - Accent6 2 4 2 2 2 5" xfId="34806"/>
    <cellStyle name="20% - Accent6 2 4 2 2 3" xfId="4502"/>
    <cellStyle name="20% - Accent6 2 4 2 2 3 2" xfId="19791"/>
    <cellStyle name="20% - Accent6 2 4 2 2 3 2 2" xfId="29507"/>
    <cellStyle name="20% - Accent6 2 4 2 2 3 2 2 2" xfId="49261"/>
    <cellStyle name="20% - Accent6 2 4 2 2 3 2 3" xfId="39617"/>
    <cellStyle name="20% - Accent6 2 4 2 2 3 3" xfId="24697"/>
    <cellStyle name="20% - Accent6 2 4 2 2 3 3 2" xfId="44452"/>
    <cellStyle name="20% - Accent6 2 4 2 2 3 4" xfId="34808"/>
    <cellStyle name="20% - Accent6 2 4 2 2 4" xfId="19788"/>
    <cellStyle name="20% - Accent6 2 4 2 2 4 2" xfId="29504"/>
    <cellStyle name="20% - Accent6 2 4 2 2 4 2 2" xfId="49258"/>
    <cellStyle name="20% - Accent6 2 4 2 2 4 3" xfId="39614"/>
    <cellStyle name="20% - Accent6 2 4 2 2 5" xfId="24694"/>
    <cellStyle name="20% - Accent6 2 4 2 2 5 2" xfId="44449"/>
    <cellStyle name="20% - Accent6 2 4 2 2 6" xfId="34805"/>
    <cellStyle name="20% - Accent6 2 4 2 3" xfId="4503"/>
    <cellStyle name="20% - Accent6 2 4 2 3 2" xfId="4504"/>
    <cellStyle name="20% - Accent6 2 4 2 3 2 2" xfId="19793"/>
    <cellStyle name="20% - Accent6 2 4 2 3 2 2 2" xfId="29509"/>
    <cellStyle name="20% - Accent6 2 4 2 3 2 2 2 2" xfId="49263"/>
    <cellStyle name="20% - Accent6 2 4 2 3 2 2 3" xfId="39619"/>
    <cellStyle name="20% - Accent6 2 4 2 3 2 3" xfId="24699"/>
    <cellStyle name="20% - Accent6 2 4 2 3 2 3 2" xfId="44454"/>
    <cellStyle name="20% - Accent6 2 4 2 3 2 4" xfId="34810"/>
    <cellStyle name="20% - Accent6 2 4 2 3 3" xfId="19792"/>
    <cellStyle name="20% - Accent6 2 4 2 3 3 2" xfId="29508"/>
    <cellStyle name="20% - Accent6 2 4 2 3 3 2 2" xfId="49262"/>
    <cellStyle name="20% - Accent6 2 4 2 3 3 3" xfId="39618"/>
    <cellStyle name="20% - Accent6 2 4 2 3 4" xfId="24698"/>
    <cellStyle name="20% - Accent6 2 4 2 3 4 2" xfId="44453"/>
    <cellStyle name="20% - Accent6 2 4 2 3 5" xfId="34809"/>
    <cellStyle name="20% - Accent6 2 4 2 4" xfId="4505"/>
    <cellStyle name="20% - Accent6 2 4 2 4 2" xfId="19794"/>
    <cellStyle name="20% - Accent6 2 4 2 4 2 2" xfId="29510"/>
    <cellStyle name="20% - Accent6 2 4 2 4 2 2 2" xfId="49264"/>
    <cellStyle name="20% - Accent6 2 4 2 4 2 3" xfId="39620"/>
    <cellStyle name="20% - Accent6 2 4 2 4 3" xfId="24700"/>
    <cellStyle name="20% - Accent6 2 4 2 4 3 2" xfId="44455"/>
    <cellStyle name="20% - Accent6 2 4 2 4 4" xfId="34811"/>
    <cellStyle name="20% - Accent6 2 4 2 5" xfId="19787"/>
    <cellStyle name="20% - Accent6 2 4 2 5 2" xfId="29503"/>
    <cellStyle name="20% - Accent6 2 4 2 5 2 2" xfId="49257"/>
    <cellStyle name="20% - Accent6 2 4 2 5 3" xfId="39613"/>
    <cellStyle name="20% - Accent6 2 4 2 6" xfId="24693"/>
    <cellStyle name="20% - Accent6 2 4 2 6 2" xfId="44448"/>
    <cellStyle name="20% - Accent6 2 4 2 7" xfId="34804"/>
    <cellStyle name="20% - Accent6 2 4 3" xfId="4506"/>
    <cellStyle name="20% - Accent6 2 4 3 2" xfId="4507"/>
    <cellStyle name="20% - Accent6 2 4 3 2 2" xfId="4508"/>
    <cellStyle name="20% - Accent6 2 4 3 2 2 2" xfId="19797"/>
    <cellStyle name="20% - Accent6 2 4 3 2 2 2 2" xfId="29513"/>
    <cellStyle name="20% - Accent6 2 4 3 2 2 2 2 2" xfId="49267"/>
    <cellStyle name="20% - Accent6 2 4 3 2 2 2 3" xfId="39623"/>
    <cellStyle name="20% - Accent6 2 4 3 2 2 3" xfId="24703"/>
    <cellStyle name="20% - Accent6 2 4 3 2 2 3 2" xfId="44458"/>
    <cellStyle name="20% - Accent6 2 4 3 2 2 4" xfId="34814"/>
    <cellStyle name="20% - Accent6 2 4 3 2 3" xfId="19796"/>
    <cellStyle name="20% - Accent6 2 4 3 2 3 2" xfId="29512"/>
    <cellStyle name="20% - Accent6 2 4 3 2 3 2 2" xfId="49266"/>
    <cellStyle name="20% - Accent6 2 4 3 2 3 3" xfId="39622"/>
    <cellStyle name="20% - Accent6 2 4 3 2 4" xfId="24702"/>
    <cellStyle name="20% - Accent6 2 4 3 2 4 2" xfId="44457"/>
    <cellStyle name="20% - Accent6 2 4 3 2 5" xfId="34813"/>
    <cellStyle name="20% - Accent6 2 4 3 3" xfId="4509"/>
    <cellStyle name="20% - Accent6 2 4 3 3 2" xfId="19798"/>
    <cellStyle name="20% - Accent6 2 4 3 3 2 2" xfId="29514"/>
    <cellStyle name="20% - Accent6 2 4 3 3 2 2 2" xfId="49268"/>
    <cellStyle name="20% - Accent6 2 4 3 3 2 3" xfId="39624"/>
    <cellStyle name="20% - Accent6 2 4 3 3 3" xfId="24704"/>
    <cellStyle name="20% - Accent6 2 4 3 3 3 2" xfId="44459"/>
    <cellStyle name="20% - Accent6 2 4 3 3 4" xfId="34815"/>
    <cellStyle name="20% - Accent6 2 4 3 4" xfId="19795"/>
    <cellStyle name="20% - Accent6 2 4 3 4 2" xfId="29511"/>
    <cellStyle name="20% - Accent6 2 4 3 4 2 2" xfId="49265"/>
    <cellStyle name="20% - Accent6 2 4 3 4 3" xfId="39621"/>
    <cellStyle name="20% - Accent6 2 4 3 5" xfId="24701"/>
    <cellStyle name="20% - Accent6 2 4 3 5 2" xfId="44456"/>
    <cellStyle name="20% - Accent6 2 4 3 6" xfId="34812"/>
    <cellStyle name="20% - Accent6 2 4 4" xfId="4510"/>
    <cellStyle name="20% - Accent6 2 4 4 2" xfId="4511"/>
    <cellStyle name="20% - Accent6 2 4 4 2 2" xfId="19800"/>
    <cellStyle name="20% - Accent6 2 4 4 2 2 2" xfId="29516"/>
    <cellStyle name="20% - Accent6 2 4 4 2 2 2 2" xfId="49270"/>
    <cellStyle name="20% - Accent6 2 4 4 2 2 3" xfId="39626"/>
    <cellStyle name="20% - Accent6 2 4 4 2 3" xfId="24706"/>
    <cellStyle name="20% - Accent6 2 4 4 2 3 2" xfId="44461"/>
    <cellStyle name="20% - Accent6 2 4 4 2 4" xfId="34817"/>
    <cellStyle name="20% - Accent6 2 4 4 3" xfId="19799"/>
    <cellStyle name="20% - Accent6 2 4 4 3 2" xfId="29515"/>
    <cellStyle name="20% - Accent6 2 4 4 3 2 2" xfId="49269"/>
    <cellStyle name="20% - Accent6 2 4 4 3 3" xfId="39625"/>
    <cellStyle name="20% - Accent6 2 4 4 4" xfId="24705"/>
    <cellStyle name="20% - Accent6 2 4 4 4 2" xfId="44460"/>
    <cellStyle name="20% - Accent6 2 4 4 5" xfId="34816"/>
    <cellStyle name="20% - Accent6 2 4 5" xfId="4512"/>
    <cellStyle name="20% - Accent6 2 4 5 2" xfId="19801"/>
    <cellStyle name="20% - Accent6 2 4 5 2 2" xfId="29517"/>
    <cellStyle name="20% - Accent6 2 4 5 2 2 2" xfId="49271"/>
    <cellStyle name="20% - Accent6 2 4 5 2 3" xfId="39627"/>
    <cellStyle name="20% - Accent6 2 4 5 3" xfId="24707"/>
    <cellStyle name="20% - Accent6 2 4 5 3 2" xfId="44462"/>
    <cellStyle name="20% - Accent6 2 4 5 4" xfId="34818"/>
    <cellStyle name="20% - Accent6 2 4 6" xfId="4513"/>
    <cellStyle name="20% - Accent6 2 4 6 2" xfId="19802"/>
    <cellStyle name="20% - Accent6 2 4 6 2 2" xfId="29518"/>
    <cellStyle name="20% - Accent6 2 4 6 2 2 2" xfId="49272"/>
    <cellStyle name="20% - Accent6 2 4 6 2 3" xfId="39628"/>
    <cellStyle name="20% - Accent6 2 4 6 3" xfId="24708"/>
    <cellStyle name="20% - Accent6 2 4 6 3 2" xfId="44463"/>
    <cellStyle name="20% - Accent6 2 4 6 4" xfId="34819"/>
    <cellStyle name="20% - Accent6 2 4 7" xfId="4514"/>
    <cellStyle name="20% - Accent6 2 4 7 2" xfId="19803"/>
    <cellStyle name="20% - Accent6 2 4 7 2 2" xfId="29519"/>
    <cellStyle name="20% - Accent6 2 4 7 2 2 2" xfId="49273"/>
    <cellStyle name="20% - Accent6 2 4 7 2 3" xfId="39629"/>
    <cellStyle name="20% - Accent6 2 4 7 3" xfId="24709"/>
    <cellStyle name="20% - Accent6 2 4 7 3 2" xfId="44464"/>
    <cellStyle name="20% - Accent6 2 4 7 4" xfId="34820"/>
    <cellStyle name="20% - Accent6 2 4 8" xfId="19786"/>
    <cellStyle name="20% - Accent6 2 4 8 2" xfId="29502"/>
    <cellStyle name="20% - Accent6 2 4 8 2 2" xfId="49256"/>
    <cellStyle name="20% - Accent6 2 4 8 3" xfId="39612"/>
    <cellStyle name="20% - Accent6 2 4 9" xfId="24692"/>
    <cellStyle name="20% - Accent6 2 4 9 2" xfId="44447"/>
    <cellStyle name="20% - Accent6 2 5" xfId="4515"/>
    <cellStyle name="20% - Accent6 2 5 2" xfId="4516"/>
    <cellStyle name="20% - Accent6 2 5 2 2" xfId="4517"/>
    <cellStyle name="20% - Accent6 2 5 2 2 2" xfId="4518"/>
    <cellStyle name="20% - Accent6 2 5 2 2 2 2" xfId="19807"/>
    <cellStyle name="20% - Accent6 2 5 2 2 2 2 2" xfId="29523"/>
    <cellStyle name="20% - Accent6 2 5 2 2 2 2 2 2" xfId="49277"/>
    <cellStyle name="20% - Accent6 2 5 2 2 2 2 3" xfId="39633"/>
    <cellStyle name="20% - Accent6 2 5 2 2 2 3" xfId="24713"/>
    <cellStyle name="20% - Accent6 2 5 2 2 2 3 2" xfId="44468"/>
    <cellStyle name="20% - Accent6 2 5 2 2 2 4" xfId="34824"/>
    <cellStyle name="20% - Accent6 2 5 2 2 3" xfId="19806"/>
    <cellStyle name="20% - Accent6 2 5 2 2 3 2" xfId="29522"/>
    <cellStyle name="20% - Accent6 2 5 2 2 3 2 2" xfId="49276"/>
    <cellStyle name="20% - Accent6 2 5 2 2 3 3" xfId="39632"/>
    <cellStyle name="20% - Accent6 2 5 2 2 4" xfId="24712"/>
    <cellStyle name="20% - Accent6 2 5 2 2 4 2" xfId="44467"/>
    <cellStyle name="20% - Accent6 2 5 2 2 5" xfId="34823"/>
    <cellStyle name="20% - Accent6 2 5 2 3" xfId="4519"/>
    <cellStyle name="20% - Accent6 2 5 2 3 2" xfId="19808"/>
    <cellStyle name="20% - Accent6 2 5 2 3 2 2" xfId="29524"/>
    <cellStyle name="20% - Accent6 2 5 2 3 2 2 2" xfId="49278"/>
    <cellStyle name="20% - Accent6 2 5 2 3 2 3" xfId="39634"/>
    <cellStyle name="20% - Accent6 2 5 2 3 3" xfId="24714"/>
    <cellStyle name="20% - Accent6 2 5 2 3 3 2" xfId="44469"/>
    <cellStyle name="20% - Accent6 2 5 2 3 4" xfId="34825"/>
    <cellStyle name="20% - Accent6 2 5 2 4" xfId="19805"/>
    <cellStyle name="20% - Accent6 2 5 2 4 2" xfId="29521"/>
    <cellStyle name="20% - Accent6 2 5 2 4 2 2" xfId="49275"/>
    <cellStyle name="20% - Accent6 2 5 2 4 3" xfId="39631"/>
    <cellStyle name="20% - Accent6 2 5 2 5" xfId="24711"/>
    <cellStyle name="20% - Accent6 2 5 2 5 2" xfId="44466"/>
    <cellStyle name="20% - Accent6 2 5 2 6" xfId="34822"/>
    <cellStyle name="20% - Accent6 2 5 3" xfId="4520"/>
    <cellStyle name="20% - Accent6 2 5 3 2" xfId="4521"/>
    <cellStyle name="20% - Accent6 2 5 3 2 2" xfId="19810"/>
    <cellStyle name="20% - Accent6 2 5 3 2 2 2" xfId="29526"/>
    <cellStyle name="20% - Accent6 2 5 3 2 2 2 2" xfId="49280"/>
    <cellStyle name="20% - Accent6 2 5 3 2 2 3" xfId="39636"/>
    <cellStyle name="20% - Accent6 2 5 3 2 3" xfId="24716"/>
    <cellStyle name="20% - Accent6 2 5 3 2 3 2" xfId="44471"/>
    <cellStyle name="20% - Accent6 2 5 3 2 4" xfId="34827"/>
    <cellStyle name="20% - Accent6 2 5 3 3" xfId="19809"/>
    <cellStyle name="20% - Accent6 2 5 3 3 2" xfId="29525"/>
    <cellStyle name="20% - Accent6 2 5 3 3 2 2" xfId="49279"/>
    <cellStyle name="20% - Accent6 2 5 3 3 3" xfId="39635"/>
    <cellStyle name="20% - Accent6 2 5 3 4" xfId="24715"/>
    <cellStyle name="20% - Accent6 2 5 3 4 2" xfId="44470"/>
    <cellStyle name="20% - Accent6 2 5 3 5" xfId="34826"/>
    <cellStyle name="20% - Accent6 2 5 4" xfId="4522"/>
    <cellStyle name="20% - Accent6 2 5 4 2" xfId="19811"/>
    <cellStyle name="20% - Accent6 2 5 4 2 2" xfId="29527"/>
    <cellStyle name="20% - Accent6 2 5 4 2 2 2" xfId="49281"/>
    <cellStyle name="20% - Accent6 2 5 4 2 3" xfId="39637"/>
    <cellStyle name="20% - Accent6 2 5 4 3" xfId="24717"/>
    <cellStyle name="20% - Accent6 2 5 4 3 2" xfId="44472"/>
    <cellStyle name="20% - Accent6 2 5 4 4" xfId="34828"/>
    <cellStyle name="20% - Accent6 2 5 5" xfId="19804"/>
    <cellStyle name="20% - Accent6 2 5 5 2" xfId="29520"/>
    <cellStyle name="20% - Accent6 2 5 5 2 2" xfId="49274"/>
    <cellStyle name="20% - Accent6 2 5 5 3" xfId="39630"/>
    <cellStyle name="20% - Accent6 2 5 6" xfId="24710"/>
    <cellStyle name="20% - Accent6 2 5 6 2" xfId="44465"/>
    <cellStyle name="20% - Accent6 2 5 7" xfId="34821"/>
    <cellStyle name="20% - Accent6 2 6" xfId="4523"/>
    <cellStyle name="20% - Accent6 2 6 2" xfId="4524"/>
    <cellStyle name="20% - Accent6 2 6 2 2" xfId="4525"/>
    <cellStyle name="20% - Accent6 2 6 2 2 2" xfId="4526"/>
    <cellStyle name="20% - Accent6 2 6 2 2 2 2" xfId="19815"/>
    <cellStyle name="20% - Accent6 2 6 2 2 2 2 2" xfId="29531"/>
    <cellStyle name="20% - Accent6 2 6 2 2 2 2 2 2" xfId="49285"/>
    <cellStyle name="20% - Accent6 2 6 2 2 2 2 3" xfId="39641"/>
    <cellStyle name="20% - Accent6 2 6 2 2 2 3" xfId="24721"/>
    <cellStyle name="20% - Accent6 2 6 2 2 2 3 2" xfId="44476"/>
    <cellStyle name="20% - Accent6 2 6 2 2 2 4" xfId="34832"/>
    <cellStyle name="20% - Accent6 2 6 2 2 3" xfId="19814"/>
    <cellStyle name="20% - Accent6 2 6 2 2 3 2" xfId="29530"/>
    <cellStyle name="20% - Accent6 2 6 2 2 3 2 2" xfId="49284"/>
    <cellStyle name="20% - Accent6 2 6 2 2 3 3" xfId="39640"/>
    <cellStyle name="20% - Accent6 2 6 2 2 4" xfId="24720"/>
    <cellStyle name="20% - Accent6 2 6 2 2 4 2" xfId="44475"/>
    <cellStyle name="20% - Accent6 2 6 2 2 5" xfId="34831"/>
    <cellStyle name="20% - Accent6 2 6 2 3" xfId="4527"/>
    <cellStyle name="20% - Accent6 2 6 2 3 2" xfId="19816"/>
    <cellStyle name="20% - Accent6 2 6 2 3 2 2" xfId="29532"/>
    <cellStyle name="20% - Accent6 2 6 2 3 2 2 2" xfId="49286"/>
    <cellStyle name="20% - Accent6 2 6 2 3 2 3" xfId="39642"/>
    <cellStyle name="20% - Accent6 2 6 2 3 3" xfId="24722"/>
    <cellStyle name="20% - Accent6 2 6 2 3 3 2" xfId="44477"/>
    <cellStyle name="20% - Accent6 2 6 2 3 4" xfId="34833"/>
    <cellStyle name="20% - Accent6 2 6 2 4" xfId="19813"/>
    <cellStyle name="20% - Accent6 2 6 2 4 2" xfId="29529"/>
    <cellStyle name="20% - Accent6 2 6 2 4 2 2" xfId="49283"/>
    <cellStyle name="20% - Accent6 2 6 2 4 3" xfId="39639"/>
    <cellStyle name="20% - Accent6 2 6 2 5" xfId="24719"/>
    <cellStyle name="20% - Accent6 2 6 2 5 2" xfId="44474"/>
    <cellStyle name="20% - Accent6 2 6 2 6" xfId="34830"/>
    <cellStyle name="20% - Accent6 2 6 3" xfId="4528"/>
    <cellStyle name="20% - Accent6 2 6 3 2" xfId="4529"/>
    <cellStyle name="20% - Accent6 2 6 3 2 2" xfId="19818"/>
    <cellStyle name="20% - Accent6 2 6 3 2 2 2" xfId="29534"/>
    <cellStyle name="20% - Accent6 2 6 3 2 2 2 2" xfId="49288"/>
    <cellStyle name="20% - Accent6 2 6 3 2 2 3" xfId="39644"/>
    <cellStyle name="20% - Accent6 2 6 3 2 3" xfId="24724"/>
    <cellStyle name="20% - Accent6 2 6 3 2 3 2" xfId="44479"/>
    <cellStyle name="20% - Accent6 2 6 3 2 4" xfId="34835"/>
    <cellStyle name="20% - Accent6 2 6 3 3" xfId="19817"/>
    <cellStyle name="20% - Accent6 2 6 3 3 2" xfId="29533"/>
    <cellStyle name="20% - Accent6 2 6 3 3 2 2" xfId="49287"/>
    <cellStyle name="20% - Accent6 2 6 3 3 3" xfId="39643"/>
    <cellStyle name="20% - Accent6 2 6 3 4" xfId="24723"/>
    <cellStyle name="20% - Accent6 2 6 3 4 2" xfId="44478"/>
    <cellStyle name="20% - Accent6 2 6 3 5" xfId="34834"/>
    <cellStyle name="20% - Accent6 2 6 4" xfId="4530"/>
    <cellStyle name="20% - Accent6 2 6 4 2" xfId="19819"/>
    <cellStyle name="20% - Accent6 2 6 4 2 2" xfId="29535"/>
    <cellStyle name="20% - Accent6 2 6 4 2 2 2" xfId="49289"/>
    <cellStyle name="20% - Accent6 2 6 4 2 3" xfId="39645"/>
    <cellStyle name="20% - Accent6 2 6 4 3" xfId="24725"/>
    <cellStyle name="20% - Accent6 2 6 4 3 2" xfId="44480"/>
    <cellStyle name="20% - Accent6 2 6 4 4" xfId="34836"/>
    <cellStyle name="20% - Accent6 2 6 5" xfId="19812"/>
    <cellStyle name="20% - Accent6 2 6 5 2" xfId="29528"/>
    <cellStyle name="20% - Accent6 2 6 5 2 2" xfId="49282"/>
    <cellStyle name="20% - Accent6 2 6 5 3" xfId="39638"/>
    <cellStyle name="20% - Accent6 2 6 6" xfId="24718"/>
    <cellStyle name="20% - Accent6 2 6 6 2" xfId="44473"/>
    <cellStyle name="20% - Accent6 2 6 7" xfId="34829"/>
    <cellStyle name="20% - Accent6 2 7" xfId="4531"/>
    <cellStyle name="20% - Accent6 2 8" xfId="4532"/>
    <cellStyle name="20% - Accent6 2 8 2" xfId="4533"/>
    <cellStyle name="20% - Accent6 2 8 2 2" xfId="4534"/>
    <cellStyle name="20% - Accent6 2 8 2 2 2" xfId="19822"/>
    <cellStyle name="20% - Accent6 2 8 2 2 2 2" xfId="29538"/>
    <cellStyle name="20% - Accent6 2 8 2 2 2 2 2" xfId="49292"/>
    <cellStyle name="20% - Accent6 2 8 2 2 2 3" xfId="39648"/>
    <cellStyle name="20% - Accent6 2 8 2 2 3" xfId="24728"/>
    <cellStyle name="20% - Accent6 2 8 2 2 3 2" xfId="44483"/>
    <cellStyle name="20% - Accent6 2 8 2 2 4" xfId="34839"/>
    <cellStyle name="20% - Accent6 2 8 2 3" xfId="19821"/>
    <cellStyle name="20% - Accent6 2 8 2 3 2" xfId="29537"/>
    <cellStyle name="20% - Accent6 2 8 2 3 2 2" xfId="49291"/>
    <cellStyle name="20% - Accent6 2 8 2 3 3" xfId="39647"/>
    <cellStyle name="20% - Accent6 2 8 2 4" xfId="24727"/>
    <cellStyle name="20% - Accent6 2 8 2 4 2" xfId="44482"/>
    <cellStyle name="20% - Accent6 2 8 2 5" xfId="34838"/>
    <cellStyle name="20% - Accent6 2 8 3" xfId="4535"/>
    <cellStyle name="20% - Accent6 2 8 3 2" xfId="19823"/>
    <cellStyle name="20% - Accent6 2 8 3 2 2" xfId="29539"/>
    <cellStyle name="20% - Accent6 2 8 3 2 2 2" xfId="49293"/>
    <cellStyle name="20% - Accent6 2 8 3 2 3" xfId="39649"/>
    <cellStyle name="20% - Accent6 2 8 3 3" xfId="24729"/>
    <cellStyle name="20% - Accent6 2 8 3 3 2" xfId="44484"/>
    <cellStyle name="20% - Accent6 2 8 3 4" xfId="34840"/>
    <cellStyle name="20% - Accent6 2 8 4" xfId="19820"/>
    <cellStyle name="20% - Accent6 2 8 4 2" xfId="29536"/>
    <cellStyle name="20% - Accent6 2 8 4 2 2" xfId="49290"/>
    <cellStyle name="20% - Accent6 2 8 4 3" xfId="39646"/>
    <cellStyle name="20% - Accent6 2 8 5" xfId="24726"/>
    <cellStyle name="20% - Accent6 2 8 5 2" xfId="44481"/>
    <cellStyle name="20% - Accent6 2 8 6" xfId="34837"/>
    <cellStyle name="20% - Accent6 2 9" xfId="4536"/>
    <cellStyle name="20% - Accent6 2 9 2" xfId="4537"/>
    <cellStyle name="20% - Accent6 2 9 2 2" xfId="19825"/>
    <cellStyle name="20% - Accent6 2 9 2 2 2" xfId="29541"/>
    <cellStyle name="20% - Accent6 2 9 2 2 2 2" xfId="49295"/>
    <cellStyle name="20% - Accent6 2 9 2 2 3" xfId="39651"/>
    <cellStyle name="20% - Accent6 2 9 2 3" xfId="24731"/>
    <cellStyle name="20% - Accent6 2 9 2 3 2" xfId="44486"/>
    <cellStyle name="20% - Accent6 2 9 2 4" xfId="34842"/>
    <cellStyle name="20% - Accent6 2 9 3" xfId="19824"/>
    <cellStyle name="20% - Accent6 2 9 3 2" xfId="29540"/>
    <cellStyle name="20% - Accent6 2 9 3 2 2" xfId="49294"/>
    <cellStyle name="20% - Accent6 2 9 3 3" xfId="39650"/>
    <cellStyle name="20% - Accent6 2 9 4" xfId="24730"/>
    <cellStyle name="20% - Accent6 2 9 4 2" xfId="44485"/>
    <cellStyle name="20% - Accent6 2 9 5" xfId="34841"/>
    <cellStyle name="20% - Accent6 20" xfId="20765"/>
    <cellStyle name="20% - Accent6 20 2" xfId="40545"/>
    <cellStyle name="20% - Accent6 21" xfId="30367"/>
    <cellStyle name="20% - Accent6 21 2" xfId="50116"/>
    <cellStyle name="20% - Accent6 22" xfId="30777"/>
    <cellStyle name="20% - Accent6 22 2" xfId="50516"/>
    <cellStyle name="20% - Accent6 23" xfId="30876"/>
    <cellStyle name="20% - Accent6 24" xfId="30791"/>
    <cellStyle name="20% - Accent6 25" xfId="50532"/>
    <cellStyle name="20% - Accent6 3" xfId="105"/>
    <cellStyle name="20% - Accent6 3 10" xfId="4538"/>
    <cellStyle name="20% - Accent6 3 10 2" xfId="4539"/>
    <cellStyle name="20% - Accent6 3 10 2 2" xfId="19827"/>
    <cellStyle name="20% - Accent6 3 10 2 2 2" xfId="29543"/>
    <cellStyle name="20% - Accent6 3 10 2 2 2 2" xfId="49297"/>
    <cellStyle name="20% - Accent6 3 10 2 2 3" xfId="39653"/>
    <cellStyle name="20% - Accent6 3 10 2 3" xfId="24733"/>
    <cellStyle name="20% - Accent6 3 10 2 3 2" xfId="44488"/>
    <cellStyle name="20% - Accent6 3 10 2 4" xfId="34844"/>
    <cellStyle name="20% - Accent6 3 10 3" xfId="19826"/>
    <cellStyle name="20% - Accent6 3 10 3 2" xfId="29542"/>
    <cellStyle name="20% - Accent6 3 10 3 2 2" xfId="49296"/>
    <cellStyle name="20% - Accent6 3 10 3 3" xfId="39652"/>
    <cellStyle name="20% - Accent6 3 10 4" xfId="24732"/>
    <cellStyle name="20% - Accent6 3 10 4 2" xfId="44487"/>
    <cellStyle name="20% - Accent6 3 10 5" xfId="34843"/>
    <cellStyle name="20% - Accent6 3 11" xfId="4540"/>
    <cellStyle name="20% - Accent6 3 11 2" xfId="19828"/>
    <cellStyle name="20% - Accent6 3 11 2 2" xfId="29544"/>
    <cellStyle name="20% - Accent6 3 11 2 2 2" xfId="49298"/>
    <cellStyle name="20% - Accent6 3 11 2 3" xfId="39654"/>
    <cellStyle name="20% - Accent6 3 11 3" xfId="24734"/>
    <cellStyle name="20% - Accent6 3 11 3 2" xfId="44489"/>
    <cellStyle name="20% - Accent6 3 11 4" xfId="34845"/>
    <cellStyle name="20% - Accent6 3 12" xfId="4541"/>
    <cellStyle name="20% - Accent6 3 12 2" xfId="19829"/>
    <cellStyle name="20% - Accent6 3 12 2 2" xfId="29545"/>
    <cellStyle name="20% - Accent6 3 12 2 2 2" xfId="49299"/>
    <cellStyle name="20% - Accent6 3 12 2 3" xfId="39655"/>
    <cellStyle name="20% - Accent6 3 12 3" xfId="24735"/>
    <cellStyle name="20% - Accent6 3 12 3 2" xfId="44490"/>
    <cellStyle name="20% - Accent6 3 12 4" xfId="34846"/>
    <cellStyle name="20% - Accent6 3 13" xfId="4542"/>
    <cellStyle name="20% - Accent6 3 13 2" xfId="19830"/>
    <cellStyle name="20% - Accent6 3 13 2 2" xfId="29546"/>
    <cellStyle name="20% - Accent6 3 13 2 2 2" xfId="49300"/>
    <cellStyle name="20% - Accent6 3 13 2 3" xfId="39656"/>
    <cellStyle name="20% - Accent6 3 13 3" xfId="24736"/>
    <cellStyle name="20% - Accent6 3 13 3 2" xfId="44491"/>
    <cellStyle name="20% - Accent6 3 13 4" xfId="34847"/>
    <cellStyle name="20% - Accent6 3 2" xfId="4543"/>
    <cellStyle name="20% - Accent6 3 2 10" xfId="4544"/>
    <cellStyle name="20% - Accent6 3 2 10 2" xfId="19832"/>
    <cellStyle name="20% - Accent6 3 2 10 2 2" xfId="29548"/>
    <cellStyle name="20% - Accent6 3 2 10 2 2 2" xfId="49302"/>
    <cellStyle name="20% - Accent6 3 2 10 2 3" xfId="39658"/>
    <cellStyle name="20% - Accent6 3 2 10 3" xfId="24738"/>
    <cellStyle name="20% - Accent6 3 2 10 3 2" xfId="44493"/>
    <cellStyle name="20% - Accent6 3 2 10 4" xfId="34849"/>
    <cellStyle name="20% - Accent6 3 2 11" xfId="4545"/>
    <cellStyle name="20% - Accent6 3 2 11 2" xfId="19833"/>
    <cellStyle name="20% - Accent6 3 2 11 2 2" xfId="29549"/>
    <cellStyle name="20% - Accent6 3 2 11 2 2 2" xfId="49303"/>
    <cellStyle name="20% - Accent6 3 2 11 2 3" xfId="39659"/>
    <cellStyle name="20% - Accent6 3 2 11 3" xfId="24739"/>
    <cellStyle name="20% - Accent6 3 2 11 3 2" xfId="44494"/>
    <cellStyle name="20% - Accent6 3 2 11 4" xfId="34850"/>
    <cellStyle name="20% - Accent6 3 2 12" xfId="19831"/>
    <cellStyle name="20% - Accent6 3 2 12 2" xfId="29547"/>
    <cellStyle name="20% - Accent6 3 2 12 2 2" xfId="49301"/>
    <cellStyle name="20% - Accent6 3 2 12 3" xfId="39657"/>
    <cellStyle name="20% - Accent6 3 2 13" xfId="24737"/>
    <cellStyle name="20% - Accent6 3 2 13 2" xfId="44492"/>
    <cellStyle name="20% - Accent6 3 2 14" xfId="34848"/>
    <cellStyle name="20% - Accent6 3 2 2" xfId="4546"/>
    <cellStyle name="20% - Accent6 3 2 2 10" xfId="4547"/>
    <cellStyle name="20% - Accent6 3 2 2 10 2" xfId="19835"/>
    <cellStyle name="20% - Accent6 3 2 2 10 2 2" xfId="29551"/>
    <cellStyle name="20% - Accent6 3 2 2 10 2 2 2" xfId="49305"/>
    <cellStyle name="20% - Accent6 3 2 2 10 2 3" xfId="39661"/>
    <cellStyle name="20% - Accent6 3 2 2 10 3" xfId="24741"/>
    <cellStyle name="20% - Accent6 3 2 2 10 3 2" xfId="44496"/>
    <cellStyle name="20% - Accent6 3 2 2 10 4" xfId="34852"/>
    <cellStyle name="20% - Accent6 3 2 2 11" xfId="19834"/>
    <cellStyle name="20% - Accent6 3 2 2 11 2" xfId="29550"/>
    <cellStyle name="20% - Accent6 3 2 2 11 2 2" xfId="49304"/>
    <cellStyle name="20% - Accent6 3 2 2 11 3" xfId="39660"/>
    <cellStyle name="20% - Accent6 3 2 2 12" xfId="24740"/>
    <cellStyle name="20% - Accent6 3 2 2 12 2" xfId="44495"/>
    <cellStyle name="20% - Accent6 3 2 2 13" xfId="34851"/>
    <cellStyle name="20% - Accent6 3 2 2 2" xfId="4548"/>
    <cellStyle name="20% - Accent6 3 2 2 2 10" xfId="34853"/>
    <cellStyle name="20% - Accent6 3 2 2 2 2" xfId="4549"/>
    <cellStyle name="20% - Accent6 3 2 2 2 2 2" xfId="4550"/>
    <cellStyle name="20% - Accent6 3 2 2 2 2 2 2" xfId="4551"/>
    <cellStyle name="20% - Accent6 3 2 2 2 2 2 2 2" xfId="4552"/>
    <cellStyle name="20% - Accent6 3 2 2 2 2 2 2 2 2" xfId="19840"/>
    <cellStyle name="20% - Accent6 3 2 2 2 2 2 2 2 2 2" xfId="29556"/>
    <cellStyle name="20% - Accent6 3 2 2 2 2 2 2 2 2 2 2" xfId="49310"/>
    <cellStyle name="20% - Accent6 3 2 2 2 2 2 2 2 2 3" xfId="39666"/>
    <cellStyle name="20% - Accent6 3 2 2 2 2 2 2 2 3" xfId="24746"/>
    <cellStyle name="20% - Accent6 3 2 2 2 2 2 2 2 3 2" xfId="44501"/>
    <cellStyle name="20% - Accent6 3 2 2 2 2 2 2 2 4" xfId="34857"/>
    <cellStyle name="20% - Accent6 3 2 2 2 2 2 2 3" xfId="19839"/>
    <cellStyle name="20% - Accent6 3 2 2 2 2 2 2 3 2" xfId="29555"/>
    <cellStyle name="20% - Accent6 3 2 2 2 2 2 2 3 2 2" xfId="49309"/>
    <cellStyle name="20% - Accent6 3 2 2 2 2 2 2 3 3" xfId="39665"/>
    <cellStyle name="20% - Accent6 3 2 2 2 2 2 2 4" xfId="24745"/>
    <cellStyle name="20% - Accent6 3 2 2 2 2 2 2 4 2" xfId="44500"/>
    <cellStyle name="20% - Accent6 3 2 2 2 2 2 2 5" xfId="34856"/>
    <cellStyle name="20% - Accent6 3 2 2 2 2 2 3" xfId="4553"/>
    <cellStyle name="20% - Accent6 3 2 2 2 2 2 3 2" xfId="19841"/>
    <cellStyle name="20% - Accent6 3 2 2 2 2 2 3 2 2" xfId="29557"/>
    <cellStyle name="20% - Accent6 3 2 2 2 2 2 3 2 2 2" xfId="49311"/>
    <cellStyle name="20% - Accent6 3 2 2 2 2 2 3 2 3" xfId="39667"/>
    <cellStyle name="20% - Accent6 3 2 2 2 2 2 3 3" xfId="24747"/>
    <cellStyle name="20% - Accent6 3 2 2 2 2 2 3 3 2" xfId="44502"/>
    <cellStyle name="20% - Accent6 3 2 2 2 2 2 3 4" xfId="34858"/>
    <cellStyle name="20% - Accent6 3 2 2 2 2 2 4" xfId="19838"/>
    <cellStyle name="20% - Accent6 3 2 2 2 2 2 4 2" xfId="29554"/>
    <cellStyle name="20% - Accent6 3 2 2 2 2 2 4 2 2" xfId="49308"/>
    <cellStyle name="20% - Accent6 3 2 2 2 2 2 4 3" xfId="39664"/>
    <cellStyle name="20% - Accent6 3 2 2 2 2 2 5" xfId="24744"/>
    <cellStyle name="20% - Accent6 3 2 2 2 2 2 5 2" xfId="44499"/>
    <cellStyle name="20% - Accent6 3 2 2 2 2 2 6" xfId="34855"/>
    <cellStyle name="20% - Accent6 3 2 2 2 2 3" xfId="4554"/>
    <cellStyle name="20% - Accent6 3 2 2 2 2 3 2" xfId="4555"/>
    <cellStyle name="20% - Accent6 3 2 2 2 2 3 2 2" xfId="19843"/>
    <cellStyle name="20% - Accent6 3 2 2 2 2 3 2 2 2" xfId="29559"/>
    <cellStyle name="20% - Accent6 3 2 2 2 2 3 2 2 2 2" xfId="49313"/>
    <cellStyle name="20% - Accent6 3 2 2 2 2 3 2 2 3" xfId="39669"/>
    <cellStyle name="20% - Accent6 3 2 2 2 2 3 2 3" xfId="24749"/>
    <cellStyle name="20% - Accent6 3 2 2 2 2 3 2 3 2" xfId="44504"/>
    <cellStyle name="20% - Accent6 3 2 2 2 2 3 2 4" xfId="34860"/>
    <cellStyle name="20% - Accent6 3 2 2 2 2 3 3" xfId="19842"/>
    <cellStyle name="20% - Accent6 3 2 2 2 2 3 3 2" xfId="29558"/>
    <cellStyle name="20% - Accent6 3 2 2 2 2 3 3 2 2" xfId="49312"/>
    <cellStyle name="20% - Accent6 3 2 2 2 2 3 3 3" xfId="39668"/>
    <cellStyle name="20% - Accent6 3 2 2 2 2 3 4" xfId="24748"/>
    <cellStyle name="20% - Accent6 3 2 2 2 2 3 4 2" xfId="44503"/>
    <cellStyle name="20% - Accent6 3 2 2 2 2 3 5" xfId="34859"/>
    <cellStyle name="20% - Accent6 3 2 2 2 2 4" xfId="4556"/>
    <cellStyle name="20% - Accent6 3 2 2 2 2 4 2" xfId="19844"/>
    <cellStyle name="20% - Accent6 3 2 2 2 2 4 2 2" xfId="29560"/>
    <cellStyle name="20% - Accent6 3 2 2 2 2 4 2 2 2" xfId="49314"/>
    <cellStyle name="20% - Accent6 3 2 2 2 2 4 2 3" xfId="39670"/>
    <cellStyle name="20% - Accent6 3 2 2 2 2 4 3" xfId="24750"/>
    <cellStyle name="20% - Accent6 3 2 2 2 2 4 3 2" xfId="44505"/>
    <cellStyle name="20% - Accent6 3 2 2 2 2 4 4" xfId="34861"/>
    <cellStyle name="20% - Accent6 3 2 2 2 2 5" xfId="19837"/>
    <cellStyle name="20% - Accent6 3 2 2 2 2 5 2" xfId="29553"/>
    <cellStyle name="20% - Accent6 3 2 2 2 2 5 2 2" xfId="49307"/>
    <cellStyle name="20% - Accent6 3 2 2 2 2 5 3" xfId="39663"/>
    <cellStyle name="20% - Accent6 3 2 2 2 2 6" xfId="24743"/>
    <cellStyle name="20% - Accent6 3 2 2 2 2 6 2" xfId="44498"/>
    <cellStyle name="20% - Accent6 3 2 2 2 2 7" xfId="34854"/>
    <cellStyle name="20% - Accent6 3 2 2 2 3" xfId="4557"/>
    <cellStyle name="20% - Accent6 3 2 2 2 3 2" xfId="4558"/>
    <cellStyle name="20% - Accent6 3 2 2 2 3 2 2" xfId="4559"/>
    <cellStyle name="20% - Accent6 3 2 2 2 3 2 2 2" xfId="19847"/>
    <cellStyle name="20% - Accent6 3 2 2 2 3 2 2 2 2" xfId="29563"/>
    <cellStyle name="20% - Accent6 3 2 2 2 3 2 2 2 2 2" xfId="49317"/>
    <cellStyle name="20% - Accent6 3 2 2 2 3 2 2 2 3" xfId="39673"/>
    <cellStyle name="20% - Accent6 3 2 2 2 3 2 2 3" xfId="24753"/>
    <cellStyle name="20% - Accent6 3 2 2 2 3 2 2 3 2" xfId="44508"/>
    <cellStyle name="20% - Accent6 3 2 2 2 3 2 2 4" xfId="34864"/>
    <cellStyle name="20% - Accent6 3 2 2 2 3 2 3" xfId="19846"/>
    <cellStyle name="20% - Accent6 3 2 2 2 3 2 3 2" xfId="29562"/>
    <cellStyle name="20% - Accent6 3 2 2 2 3 2 3 2 2" xfId="49316"/>
    <cellStyle name="20% - Accent6 3 2 2 2 3 2 3 3" xfId="39672"/>
    <cellStyle name="20% - Accent6 3 2 2 2 3 2 4" xfId="24752"/>
    <cellStyle name="20% - Accent6 3 2 2 2 3 2 4 2" xfId="44507"/>
    <cellStyle name="20% - Accent6 3 2 2 2 3 2 5" xfId="34863"/>
    <cellStyle name="20% - Accent6 3 2 2 2 3 3" xfId="4560"/>
    <cellStyle name="20% - Accent6 3 2 2 2 3 3 2" xfId="19848"/>
    <cellStyle name="20% - Accent6 3 2 2 2 3 3 2 2" xfId="29564"/>
    <cellStyle name="20% - Accent6 3 2 2 2 3 3 2 2 2" xfId="49318"/>
    <cellStyle name="20% - Accent6 3 2 2 2 3 3 2 3" xfId="39674"/>
    <cellStyle name="20% - Accent6 3 2 2 2 3 3 3" xfId="24754"/>
    <cellStyle name="20% - Accent6 3 2 2 2 3 3 3 2" xfId="44509"/>
    <cellStyle name="20% - Accent6 3 2 2 2 3 3 4" xfId="34865"/>
    <cellStyle name="20% - Accent6 3 2 2 2 3 4" xfId="19845"/>
    <cellStyle name="20% - Accent6 3 2 2 2 3 4 2" xfId="29561"/>
    <cellStyle name="20% - Accent6 3 2 2 2 3 4 2 2" xfId="49315"/>
    <cellStyle name="20% - Accent6 3 2 2 2 3 4 3" xfId="39671"/>
    <cellStyle name="20% - Accent6 3 2 2 2 3 5" xfId="24751"/>
    <cellStyle name="20% - Accent6 3 2 2 2 3 5 2" xfId="44506"/>
    <cellStyle name="20% - Accent6 3 2 2 2 3 6" xfId="34862"/>
    <cellStyle name="20% - Accent6 3 2 2 2 4" xfId="4561"/>
    <cellStyle name="20% - Accent6 3 2 2 2 4 2" xfId="4562"/>
    <cellStyle name="20% - Accent6 3 2 2 2 4 2 2" xfId="19850"/>
    <cellStyle name="20% - Accent6 3 2 2 2 4 2 2 2" xfId="29566"/>
    <cellStyle name="20% - Accent6 3 2 2 2 4 2 2 2 2" xfId="49320"/>
    <cellStyle name="20% - Accent6 3 2 2 2 4 2 2 3" xfId="39676"/>
    <cellStyle name="20% - Accent6 3 2 2 2 4 2 3" xfId="24756"/>
    <cellStyle name="20% - Accent6 3 2 2 2 4 2 3 2" xfId="44511"/>
    <cellStyle name="20% - Accent6 3 2 2 2 4 2 4" xfId="34867"/>
    <cellStyle name="20% - Accent6 3 2 2 2 4 3" xfId="19849"/>
    <cellStyle name="20% - Accent6 3 2 2 2 4 3 2" xfId="29565"/>
    <cellStyle name="20% - Accent6 3 2 2 2 4 3 2 2" xfId="49319"/>
    <cellStyle name="20% - Accent6 3 2 2 2 4 3 3" xfId="39675"/>
    <cellStyle name="20% - Accent6 3 2 2 2 4 4" xfId="24755"/>
    <cellStyle name="20% - Accent6 3 2 2 2 4 4 2" xfId="44510"/>
    <cellStyle name="20% - Accent6 3 2 2 2 4 5" xfId="34866"/>
    <cellStyle name="20% - Accent6 3 2 2 2 5" xfId="4563"/>
    <cellStyle name="20% - Accent6 3 2 2 2 5 2" xfId="19851"/>
    <cellStyle name="20% - Accent6 3 2 2 2 5 2 2" xfId="29567"/>
    <cellStyle name="20% - Accent6 3 2 2 2 5 2 2 2" xfId="49321"/>
    <cellStyle name="20% - Accent6 3 2 2 2 5 2 3" xfId="39677"/>
    <cellStyle name="20% - Accent6 3 2 2 2 5 3" xfId="24757"/>
    <cellStyle name="20% - Accent6 3 2 2 2 5 3 2" xfId="44512"/>
    <cellStyle name="20% - Accent6 3 2 2 2 5 4" xfId="34868"/>
    <cellStyle name="20% - Accent6 3 2 2 2 6" xfId="4564"/>
    <cellStyle name="20% - Accent6 3 2 2 2 6 2" xfId="19852"/>
    <cellStyle name="20% - Accent6 3 2 2 2 6 2 2" xfId="29568"/>
    <cellStyle name="20% - Accent6 3 2 2 2 6 2 2 2" xfId="49322"/>
    <cellStyle name="20% - Accent6 3 2 2 2 6 2 3" xfId="39678"/>
    <cellStyle name="20% - Accent6 3 2 2 2 6 3" xfId="24758"/>
    <cellStyle name="20% - Accent6 3 2 2 2 6 3 2" xfId="44513"/>
    <cellStyle name="20% - Accent6 3 2 2 2 6 4" xfId="34869"/>
    <cellStyle name="20% - Accent6 3 2 2 2 7" xfId="4565"/>
    <cellStyle name="20% - Accent6 3 2 2 2 7 2" xfId="19853"/>
    <cellStyle name="20% - Accent6 3 2 2 2 7 2 2" xfId="29569"/>
    <cellStyle name="20% - Accent6 3 2 2 2 7 2 2 2" xfId="49323"/>
    <cellStyle name="20% - Accent6 3 2 2 2 7 2 3" xfId="39679"/>
    <cellStyle name="20% - Accent6 3 2 2 2 7 3" xfId="24759"/>
    <cellStyle name="20% - Accent6 3 2 2 2 7 3 2" xfId="44514"/>
    <cellStyle name="20% - Accent6 3 2 2 2 7 4" xfId="34870"/>
    <cellStyle name="20% - Accent6 3 2 2 2 8" xfId="19836"/>
    <cellStyle name="20% - Accent6 3 2 2 2 8 2" xfId="29552"/>
    <cellStyle name="20% - Accent6 3 2 2 2 8 2 2" xfId="49306"/>
    <cellStyle name="20% - Accent6 3 2 2 2 8 3" xfId="39662"/>
    <cellStyle name="20% - Accent6 3 2 2 2 9" xfId="24742"/>
    <cellStyle name="20% - Accent6 3 2 2 2 9 2" xfId="44497"/>
    <cellStyle name="20% - Accent6 3 2 2 3" xfId="4566"/>
    <cellStyle name="20% - Accent6 3 2 2 3 2" xfId="4567"/>
    <cellStyle name="20% - Accent6 3 2 2 3 2 2" xfId="4568"/>
    <cellStyle name="20% - Accent6 3 2 2 3 2 2 2" xfId="4569"/>
    <cellStyle name="20% - Accent6 3 2 2 3 2 2 2 2" xfId="19857"/>
    <cellStyle name="20% - Accent6 3 2 2 3 2 2 2 2 2" xfId="29573"/>
    <cellStyle name="20% - Accent6 3 2 2 3 2 2 2 2 2 2" xfId="49327"/>
    <cellStyle name="20% - Accent6 3 2 2 3 2 2 2 2 3" xfId="39683"/>
    <cellStyle name="20% - Accent6 3 2 2 3 2 2 2 3" xfId="24763"/>
    <cellStyle name="20% - Accent6 3 2 2 3 2 2 2 3 2" xfId="44518"/>
    <cellStyle name="20% - Accent6 3 2 2 3 2 2 2 4" xfId="34874"/>
    <cellStyle name="20% - Accent6 3 2 2 3 2 2 3" xfId="19856"/>
    <cellStyle name="20% - Accent6 3 2 2 3 2 2 3 2" xfId="29572"/>
    <cellStyle name="20% - Accent6 3 2 2 3 2 2 3 2 2" xfId="49326"/>
    <cellStyle name="20% - Accent6 3 2 2 3 2 2 3 3" xfId="39682"/>
    <cellStyle name="20% - Accent6 3 2 2 3 2 2 4" xfId="24762"/>
    <cellStyle name="20% - Accent6 3 2 2 3 2 2 4 2" xfId="44517"/>
    <cellStyle name="20% - Accent6 3 2 2 3 2 2 5" xfId="34873"/>
    <cellStyle name="20% - Accent6 3 2 2 3 2 3" xfId="4570"/>
    <cellStyle name="20% - Accent6 3 2 2 3 2 3 2" xfId="19858"/>
    <cellStyle name="20% - Accent6 3 2 2 3 2 3 2 2" xfId="29574"/>
    <cellStyle name="20% - Accent6 3 2 2 3 2 3 2 2 2" xfId="49328"/>
    <cellStyle name="20% - Accent6 3 2 2 3 2 3 2 3" xfId="39684"/>
    <cellStyle name="20% - Accent6 3 2 2 3 2 3 3" xfId="24764"/>
    <cellStyle name="20% - Accent6 3 2 2 3 2 3 3 2" xfId="44519"/>
    <cellStyle name="20% - Accent6 3 2 2 3 2 3 4" xfId="34875"/>
    <cellStyle name="20% - Accent6 3 2 2 3 2 4" xfId="19855"/>
    <cellStyle name="20% - Accent6 3 2 2 3 2 4 2" xfId="29571"/>
    <cellStyle name="20% - Accent6 3 2 2 3 2 4 2 2" xfId="49325"/>
    <cellStyle name="20% - Accent6 3 2 2 3 2 4 3" xfId="39681"/>
    <cellStyle name="20% - Accent6 3 2 2 3 2 5" xfId="24761"/>
    <cellStyle name="20% - Accent6 3 2 2 3 2 5 2" xfId="44516"/>
    <cellStyle name="20% - Accent6 3 2 2 3 2 6" xfId="34872"/>
    <cellStyle name="20% - Accent6 3 2 2 3 3" xfId="4571"/>
    <cellStyle name="20% - Accent6 3 2 2 3 3 2" xfId="4572"/>
    <cellStyle name="20% - Accent6 3 2 2 3 3 2 2" xfId="19860"/>
    <cellStyle name="20% - Accent6 3 2 2 3 3 2 2 2" xfId="29576"/>
    <cellStyle name="20% - Accent6 3 2 2 3 3 2 2 2 2" xfId="49330"/>
    <cellStyle name="20% - Accent6 3 2 2 3 3 2 2 3" xfId="39686"/>
    <cellStyle name="20% - Accent6 3 2 2 3 3 2 3" xfId="24766"/>
    <cellStyle name="20% - Accent6 3 2 2 3 3 2 3 2" xfId="44521"/>
    <cellStyle name="20% - Accent6 3 2 2 3 3 2 4" xfId="34877"/>
    <cellStyle name="20% - Accent6 3 2 2 3 3 3" xfId="19859"/>
    <cellStyle name="20% - Accent6 3 2 2 3 3 3 2" xfId="29575"/>
    <cellStyle name="20% - Accent6 3 2 2 3 3 3 2 2" xfId="49329"/>
    <cellStyle name="20% - Accent6 3 2 2 3 3 3 3" xfId="39685"/>
    <cellStyle name="20% - Accent6 3 2 2 3 3 4" xfId="24765"/>
    <cellStyle name="20% - Accent6 3 2 2 3 3 4 2" xfId="44520"/>
    <cellStyle name="20% - Accent6 3 2 2 3 3 5" xfId="34876"/>
    <cellStyle name="20% - Accent6 3 2 2 3 4" xfId="4573"/>
    <cellStyle name="20% - Accent6 3 2 2 3 4 2" xfId="19861"/>
    <cellStyle name="20% - Accent6 3 2 2 3 4 2 2" xfId="29577"/>
    <cellStyle name="20% - Accent6 3 2 2 3 4 2 2 2" xfId="49331"/>
    <cellStyle name="20% - Accent6 3 2 2 3 4 2 3" xfId="39687"/>
    <cellStyle name="20% - Accent6 3 2 2 3 4 3" xfId="24767"/>
    <cellStyle name="20% - Accent6 3 2 2 3 4 3 2" xfId="44522"/>
    <cellStyle name="20% - Accent6 3 2 2 3 4 4" xfId="34878"/>
    <cellStyle name="20% - Accent6 3 2 2 3 5" xfId="19854"/>
    <cellStyle name="20% - Accent6 3 2 2 3 5 2" xfId="29570"/>
    <cellStyle name="20% - Accent6 3 2 2 3 5 2 2" xfId="49324"/>
    <cellStyle name="20% - Accent6 3 2 2 3 5 3" xfId="39680"/>
    <cellStyle name="20% - Accent6 3 2 2 3 6" xfId="24760"/>
    <cellStyle name="20% - Accent6 3 2 2 3 6 2" xfId="44515"/>
    <cellStyle name="20% - Accent6 3 2 2 3 7" xfId="34871"/>
    <cellStyle name="20% - Accent6 3 2 2 4" xfId="4574"/>
    <cellStyle name="20% - Accent6 3 2 2 4 2" xfId="4575"/>
    <cellStyle name="20% - Accent6 3 2 2 4 2 2" xfId="4576"/>
    <cellStyle name="20% - Accent6 3 2 2 4 2 2 2" xfId="4577"/>
    <cellStyle name="20% - Accent6 3 2 2 4 2 2 2 2" xfId="19865"/>
    <cellStyle name="20% - Accent6 3 2 2 4 2 2 2 2 2" xfId="29581"/>
    <cellStyle name="20% - Accent6 3 2 2 4 2 2 2 2 2 2" xfId="49335"/>
    <cellStyle name="20% - Accent6 3 2 2 4 2 2 2 2 3" xfId="39691"/>
    <cellStyle name="20% - Accent6 3 2 2 4 2 2 2 3" xfId="24771"/>
    <cellStyle name="20% - Accent6 3 2 2 4 2 2 2 3 2" xfId="44526"/>
    <cellStyle name="20% - Accent6 3 2 2 4 2 2 2 4" xfId="34882"/>
    <cellStyle name="20% - Accent6 3 2 2 4 2 2 3" xfId="19864"/>
    <cellStyle name="20% - Accent6 3 2 2 4 2 2 3 2" xfId="29580"/>
    <cellStyle name="20% - Accent6 3 2 2 4 2 2 3 2 2" xfId="49334"/>
    <cellStyle name="20% - Accent6 3 2 2 4 2 2 3 3" xfId="39690"/>
    <cellStyle name="20% - Accent6 3 2 2 4 2 2 4" xfId="24770"/>
    <cellStyle name="20% - Accent6 3 2 2 4 2 2 4 2" xfId="44525"/>
    <cellStyle name="20% - Accent6 3 2 2 4 2 2 5" xfId="34881"/>
    <cellStyle name="20% - Accent6 3 2 2 4 2 3" xfId="4578"/>
    <cellStyle name="20% - Accent6 3 2 2 4 2 3 2" xfId="19866"/>
    <cellStyle name="20% - Accent6 3 2 2 4 2 3 2 2" xfId="29582"/>
    <cellStyle name="20% - Accent6 3 2 2 4 2 3 2 2 2" xfId="49336"/>
    <cellStyle name="20% - Accent6 3 2 2 4 2 3 2 3" xfId="39692"/>
    <cellStyle name="20% - Accent6 3 2 2 4 2 3 3" xfId="24772"/>
    <cellStyle name="20% - Accent6 3 2 2 4 2 3 3 2" xfId="44527"/>
    <cellStyle name="20% - Accent6 3 2 2 4 2 3 4" xfId="34883"/>
    <cellStyle name="20% - Accent6 3 2 2 4 2 4" xfId="19863"/>
    <cellStyle name="20% - Accent6 3 2 2 4 2 4 2" xfId="29579"/>
    <cellStyle name="20% - Accent6 3 2 2 4 2 4 2 2" xfId="49333"/>
    <cellStyle name="20% - Accent6 3 2 2 4 2 4 3" xfId="39689"/>
    <cellStyle name="20% - Accent6 3 2 2 4 2 5" xfId="24769"/>
    <cellStyle name="20% - Accent6 3 2 2 4 2 5 2" xfId="44524"/>
    <cellStyle name="20% - Accent6 3 2 2 4 2 6" xfId="34880"/>
    <cellStyle name="20% - Accent6 3 2 2 4 3" xfId="4579"/>
    <cellStyle name="20% - Accent6 3 2 2 4 3 2" xfId="4580"/>
    <cellStyle name="20% - Accent6 3 2 2 4 3 2 2" xfId="19868"/>
    <cellStyle name="20% - Accent6 3 2 2 4 3 2 2 2" xfId="29584"/>
    <cellStyle name="20% - Accent6 3 2 2 4 3 2 2 2 2" xfId="49338"/>
    <cellStyle name="20% - Accent6 3 2 2 4 3 2 2 3" xfId="39694"/>
    <cellStyle name="20% - Accent6 3 2 2 4 3 2 3" xfId="24774"/>
    <cellStyle name="20% - Accent6 3 2 2 4 3 2 3 2" xfId="44529"/>
    <cellStyle name="20% - Accent6 3 2 2 4 3 2 4" xfId="34885"/>
    <cellStyle name="20% - Accent6 3 2 2 4 3 3" xfId="19867"/>
    <cellStyle name="20% - Accent6 3 2 2 4 3 3 2" xfId="29583"/>
    <cellStyle name="20% - Accent6 3 2 2 4 3 3 2 2" xfId="49337"/>
    <cellStyle name="20% - Accent6 3 2 2 4 3 3 3" xfId="39693"/>
    <cellStyle name="20% - Accent6 3 2 2 4 3 4" xfId="24773"/>
    <cellStyle name="20% - Accent6 3 2 2 4 3 4 2" xfId="44528"/>
    <cellStyle name="20% - Accent6 3 2 2 4 3 5" xfId="34884"/>
    <cellStyle name="20% - Accent6 3 2 2 4 4" xfId="4581"/>
    <cellStyle name="20% - Accent6 3 2 2 4 4 2" xfId="19869"/>
    <cellStyle name="20% - Accent6 3 2 2 4 4 2 2" xfId="29585"/>
    <cellStyle name="20% - Accent6 3 2 2 4 4 2 2 2" xfId="49339"/>
    <cellStyle name="20% - Accent6 3 2 2 4 4 2 3" xfId="39695"/>
    <cellStyle name="20% - Accent6 3 2 2 4 4 3" xfId="24775"/>
    <cellStyle name="20% - Accent6 3 2 2 4 4 3 2" xfId="44530"/>
    <cellStyle name="20% - Accent6 3 2 2 4 4 4" xfId="34886"/>
    <cellStyle name="20% - Accent6 3 2 2 4 5" xfId="19862"/>
    <cellStyle name="20% - Accent6 3 2 2 4 5 2" xfId="29578"/>
    <cellStyle name="20% - Accent6 3 2 2 4 5 2 2" xfId="49332"/>
    <cellStyle name="20% - Accent6 3 2 2 4 5 3" xfId="39688"/>
    <cellStyle name="20% - Accent6 3 2 2 4 6" xfId="24768"/>
    <cellStyle name="20% - Accent6 3 2 2 4 6 2" xfId="44523"/>
    <cellStyle name="20% - Accent6 3 2 2 4 7" xfId="34879"/>
    <cellStyle name="20% - Accent6 3 2 2 5" xfId="4582"/>
    <cellStyle name="20% - Accent6 3 2 2 5 2" xfId="4583"/>
    <cellStyle name="20% - Accent6 3 2 2 5 2 2" xfId="4584"/>
    <cellStyle name="20% - Accent6 3 2 2 5 2 2 2" xfId="19872"/>
    <cellStyle name="20% - Accent6 3 2 2 5 2 2 2 2" xfId="29588"/>
    <cellStyle name="20% - Accent6 3 2 2 5 2 2 2 2 2" xfId="49342"/>
    <cellStyle name="20% - Accent6 3 2 2 5 2 2 2 3" xfId="39698"/>
    <cellStyle name="20% - Accent6 3 2 2 5 2 2 3" xfId="24778"/>
    <cellStyle name="20% - Accent6 3 2 2 5 2 2 3 2" xfId="44533"/>
    <cellStyle name="20% - Accent6 3 2 2 5 2 2 4" xfId="34889"/>
    <cellStyle name="20% - Accent6 3 2 2 5 2 3" xfId="19871"/>
    <cellStyle name="20% - Accent6 3 2 2 5 2 3 2" xfId="29587"/>
    <cellStyle name="20% - Accent6 3 2 2 5 2 3 2 2" xfId="49341"/>
    <cellStyle name="20% - Accent6 3 2 2 5 2 3 3" xfId="39697"/>
    <cellStyle name="20% - Accent6 3 2 2 5 2 4" xfId="24777"/>
    <cellStyle name="20% - Accent6 3 2 2 5 2 4 2" xfId="44532"/>
    <cellStyle name="20% - Accent6 3 2 2 5 2 5" xfId="34888"/>
    <cellStyle name="20% - Accent6 3 2 2 5 3" xfId="4585"/>
    <cellStyle name="20% - Accent6 3 2 2 5 3 2" xfId="19873"/>
    <cellStyle name="20% - Accent6 3 2 2 5 3 2 2" xfId="29589"/>
    <cellStyle name="20% - Accent6 3 2 2 5 3 2 2 2" xfId="49343"/>
    <cellStyle name="20% - Accent6 3 2 2 5 3 2 3" xfId="39699"/>
    <cellStyle name="20% - Accent6 3 2 2 5 3 3" xfId="24779"/>
    <cellStyle name="20% - Accent6 3 2 2 5 3 3 2" xfId="44534"/>
    <cellStyle name="20% - Accent6 3 2 2 5 3 4" xfId="34890"/>
    <cellStyle name="20% - Accent6 3 2 2 5 4" xfId="19870"/>
    <cellStyle name="20% - Accent6 3 2 2 5 4 2" xfId="29586"/>
    <cellStyle name="20% - Accent6 3 2 2 5 4 2 2" xfId="49340"/>
    <cellStyle name="20% - Accent6 3 2 2 5 4 3" xfId="39696"/>
    <cellStyle name="20% - Accent6 3 2 2 5 5" xfId="24776"/>
    <cellStyle name="20% - Accent6 3 2 2 5 5 2" xfId="44531"/>
    <cellStyle name="20% - Accent6 3 2 2 5 6" xfId="34887"/>
    <cellStyle name="20% - Accent6 3 2 2 6" xfId="4586"/>
    <cellStyle name="20% - Accent6 3 2 2 6 2" xfId="4587"/>
    <cellStyle name="20% - Accent6 3 2 2 6 2 2" xfId="19875"/>
    <cellStyle name="20% - Accent6 3 2 2 6 2 2 2" xfId="29591"/>
    <cellStyle name="20% - Accent6 3 2 2 6 2 2 2 2" xfId="49345"/>
    <cellStyle name="20% - Accent6 3 2 2 6 2 2 3" xfId="39701"/>
    <cellStyle name="20% - Accent6 3 2 2 6 2 3" xfId="24781"/>
    <cellStyle name="20% - Accent6 3 2 2 6 2 3 2" xfId="44536"/>
    <cellStyle name="20% - Accent6 3 2 2 6 2 4" xfId="34892"/>
    <cellStyle name="20% - Accent6 3 2 2 6 3" xfId="19874"/>
    <cellStyle name="20% - Accent6 3 2 2 6 3 2" xfId="29590"/>
    <cellStyle name="20% - Accent6 3 2 2 6 3 2 2" xfId="49344"/>
    <cellStyle name="20% - Accent6 3 2 2 6 3 3" xfId="39700"/>
    <cellStyle name="20% - Accent6 3 2 2 6 4" xfId="24780"/>
    <cellStyle name="20% - Accent6 3 2 2 6 4 2" xfId="44535"/>
    <cellStyle name="20% - Accent6 3 2 2 6 5" xfId="34891"/>
    <cellStyle name="20% - Accent6 3 2 2 7" xfId="4588"/>
    <cellStyle name="20% - Accent6 3 2 2 7 2" xfId="4589"/>
    <cellStyle name="20% - Accent6 3 2 2 7 2 2" xfId="19877"/>
    <cellStyle name="20% - Accent6 3 2 2 7 2 2 2" xfId="29593"/>
    <cellStyle name="20% - Accent6 3 2 2 7 2 2 2 2" xfId="49347"/>
    <cellStyle name="20% - Accent6 3 2 2 7 2 2 3" xfId="39703"/>
    <cellStyle name="20% - Accent6 3 2 2 7 2 3" xfId="24783"/>
    <cellStyle name="20% - Accent6 3 2 2 7 2 3 2" xfId="44538"/>
    <cellStyle name="20% - Accent6 3 2 2 7 2 4" xfId="34894"/>
    <cellStyle name="20% - Accent6 3 2 2 7 3" xfId="19876"/>
    <cellStyle name="20% - Accent6 3 2 2 7 3 2" xfId="29592"/>
    <cellStyle name="20% - Accent6 3 2 2 7 3 2 2" xfId="49346"/>
    <cellStyle name="20% - Accent6 3 2 2 7 3 3" xfId="39702"/>
    <cellStyle name="20% - Accent6 3 2 2 7 4" xfId="24782"/>
    <cellStyle name="20% - Accent6 3 2 2 7 4 2" xfId="44537"/>
    <cellStyle name="20% - Accent6 3 2 2 7 5" xfId="34893"/>
    <cellStyle name="20% - Accent6 3 2 2 8" xfId="4590"/>
    <cellStyle name="20% - Accent6 3 2 2 8 2" xfId="19878"/>
    <cellStyle name="20% - Accent6 3 2 2 8 2 2" xfId="29594"/>
    <cellStyle name="20% - Accent6 3 2 2 8 2 2 2" xfId="49348"/>
    <cellStyle name="20% - Accent6 3 2 2 8 2 3" xfId="39704"/>
    <cellStyle name="20% - Accent6 3 2 2 8 3" xfId="24784"/>
    <cellStyle name="20% - Accent6 3 2 2 8 3 2" xfId="44539"/>
    <cellStyle name="20% - Accent6 3 2 2 8 4" xfId="34895"/>
    <cellStyle name="20% - Accent6 3 2 2 9" xfId="4591"/>
    <cellStyle name="20% - Accent6 3 2 2 9 2" xfId="19879"/>
    <cellStyle name="20% - Accent6 3 2 2 9 2 2" xfId="29595"/>
    <cellStyle name="20% - Accent6 3 2 2 9 2 2 2" xfId="49349"/>
    <cellStyle name="20% - Accent6 3 2 2 9 2 3" xfId="39705"/>
    <cellStyle name="20% - Accent6 3 2 2 9 3" xfId="24785"/>
    <cellStyle name="20% - Accent6 3 2 2 9 3 2" xfId="44540"/>
    <cellStyle name="20% - Accent6 3 2 2 9 4" xfId="34896"/>
    <cellStyle name="20% - Accent6 3 2 3" xfId="4592"/>
    <cellStyle name="20% - Accent6 3 2 3 10" xfId="34897"/>
    <cellStyle name="20% - Accent6 3 2 3 2" xfId="4593"/>
    <cellStyle name="20% - Accent6 3 2 3 2 2" xfId="4594"/>
    <cellStyle name="20% - Accent6 3 2 3 2 2 2" xfId="4595"/>
    <cellStyle name="20% - Accent6 3 2 3 2 2 2 2" xfId="4596"/>
    <cellStyle name="20% - Accent6 3 2 3 2 2 2 2 2" xfId="19884"/>
    <cellStyle name="20% - Accent6 3 2 3 2 2 2 2 2 2" xfId="29600"/>
    <cellStyle name="20% - Accent6 3 2 3 2 2 2 2 2 2 2" xfId="49354"/>
    <cellStyle name="20% - Accent6 3 2 3 2 2 2 2 2 3" xfId="39710"/>
    <cellStyle name="20% - Accent6 3 2 3 2 2 2 2 3" xfId="24790"/>
    <cellStyle name="20% - Accent6 3 2 3 2 2 2 2 3 2" xfId="44545"/>
    <cellStyle name="20% - Accent6 3 2 3 2 2 2 2 4" xfId="34901"/>
    <cellStyle name="20% - Accent6 3 2 3 2 2 2 3" xfId="19883"/>
    <cellStyle name="20% - Accent6 3 2 3 2 2 2 3 2" xfId="29599"/>
    <cellStyle name="20% - Accent6 3 2 3 2 2 2 3 2 2" xfId="49353"/>
    <cellStyle name="20% - Accent6 3 2 3 2 2 2 3 3" xfId="39709"/>
    <cellStyle name="20% - Accent6 3 2 3 2 2 2 4" xfId="24789"/>
    <cellStyle name="20% - Accent6 3 2 3 2 2 2 4 2" xfId="44544"/>
    <cellStyle name="20% - Accent6 3 2 3 2 2 2 5" xfId="34900"/>
    <cellStyle name="20% - Accent6 3 2 3 2 2 3" xfId="4597"/>
    <cellStyle name="20% - Accent6 3 2 3 2 2 3 2" xfId="19885"/>
    <cellStyle name="20% - Accent6 3 2 3 2 2 3 2 2" xfId="29601"/>
    <cellStyle name="20% - Accent6 3 2 3 2 2 3 2 2 2" xfId="49355"/>
    <cellStyle name="20% - Accent6 3 2 3 2 2 3 2 3" xfId="39711"/>
    <cellStyle name="20% - Accent6 3 2 3 2 2 3 3" xfId="24791"/>
    <cellStyle name="20% - Accent6 3 2 3 2 2 3 3 2" xfId="44546"/>
    <cellStyle name="20% - Accent6 3 2 3 2 2 3 4" xfId="34902"/>
    <cellStyle name="20% - Accent6 3 2 3 2 2 4" xfId="19882"/>
    <cellStyle name="20% - Accent6 3 2 3 2 2 4 2" xfId="29598"/>
    <cellStyle name="20% - Accent6 3 2 3 2 2 4 2 2" xfId="49352"/>
    <cellStyle name="20% - Accent6 3 2 3 2 2 4 3" xfId="39708"/>
    <cellStyle name="20% - Accent6 3 2 3 2 2 5" xfId="24788"/>
    <cellStyle name="20% - Accent6 3 2 3 2 2 5 2" xfId="44543"/>
    <cellStyle name="20% - Accent6 3 2 3 2 2 6" xfId="34899"/>
    <cellStyle name="20% - Accent6 3 2 3 2 3" xfId="4598"/>
    <cellStyle name="20% - Accent6 3 2 3 2 3 2" xfId="4599"/>
    <cellStyle name="20% - Accent6 3 2 3 2 3 2 2" xfId="19887"/>
    <cellStyle name="20% - Accent6 3 2 3 2 3 2 2 2" xfId="29603"/>
    <cellStyle name="20% - Accent6 3 2 3 2 3 2 2 2 2" xfId="49357"/>
    <cellStyle name="20% - Accent6 3 2 3 2 3 2 2 3" xfId="39713"/>
    <cellStyle name="20% - Accent6 3 2 3 2 3 2 3" xfId="24793"/>
    <cellStyle name="20% - Accent6 3 2 3 2 3 2 3 2" xfId="44548"/>
    <cellStyle name="20% - Accent6 3 2 3 2 3 2 4" xfId="34904"/>
    <cellStyle name="20% - Accent6 3 2 3 2 3 3" xfId="19886"/>
    <cellStyle name="20% - Accent6 3 2 3 2 3 3 2" xfId="29602"/>
    <cellStyle name="20% - Accent6 3 2 3 2 3 3 2 2" xfId="49356"/>
    <cellStyle name="20% - Accent6 3 2 3 2 3 3 3" xfId="39712"/>
    <cellStyle name="20% - Accent6 3 2 3 2 3 4" xfId="24792"/>
    <cellStyle name="20% - Accent6 3 2 3 2 3 4 2" xfId="44547"/>
    <cellStyle name="20% - Accent6 3 2 3 2 3 5" xfId="34903"/>
    <cellStyle name="20% - Accent6 3 2 3 2 4" xfId="4600"/>
    <cellStyle name="20% - Accent6 3 2 3 2 4 2" xfId="19888"/>
    <cellStyle name="20% - Accent6 3 2 3 2 4 2 2" xfId="29604"/>
    <cellStyle name="20% - Accent6 3 2 3 2 4 2 2 2" xfId="49358"/>
    <cellStyle name="20% - Accent6 3 2 3 2 4 2 3" xfId="39714"/>
    <cellStyle name="20% - Accent6 3 2 3 2 4 3" xfId="24794"/>
    <cellStyle name="20% - Accent6 3 2 3 2 4 3 2" xfId="44549"/>
    <cellStyle name="20% - Accent6 3 2 3 2 4 4" xfId="34905"/>
    <cellStyle name="20% - Accent6 3 2 3 2 5" xfId="19881"/>
    <cellStyle name="20% - Accent6 3 2 3 2 5 2" xfId="29597"/>
    <cellStyle name="20% - Accent6 3 2 3 2 5 2 2" xfId="49351"/>
    <cellStyle name="20% - Accent6 3 2 3 2 5 3" xfId="39707"/>
    <cellStyle name="20% - Accent6 3 2 3 2 6" xfId="24787"/>
    <cellStyle name="20% - Accent6 3 2 3 2 6 2" xfId="44542"/>
    <cellStyle name="20% - Accent6 3 2 3 2 7" xfId="34898"/>
    <cellStyle name="20% - Accent6 3 2 3 3" xfId="4601"/>
    <cellStyle name="20% - Accent6 3 2 3 3 2" xfId="4602"/>
    <cellStyle name="20% - Accent6 3 2 3 3 2 2" xfId="4603"/>
    <cellStyle name="20% - Accent6 3 2 3 3 2 2 2" xfId="19891"/>
    <cellStyle name="20% - Accent6 3 2 3 3 2 2 2 2" xfId="29607"/>
    <cellStyle name="20% - Accent6 3 2 3 3 2 2 2 2 2" xfId="49361"/>
    <cellStyle name="20% - Accent6 3 2 3 3 2 2 2 3" xfId="39717"/>
    <cellStyle name="20% - Accent6 3 2 3 3 2 2 3" xfId="24797"/>
    <cellStyle name="20% - Accent6 3 2 3 3 2 2 3 2" xfId="44552"/>
    <cellStyle name="20% - Accent6 3 2 3 3 2 2 4" xfId="34908"/>
    <cellStyle name="20% - Accent6 3 2 3 3 2 3" xfId="19890"/>
    <cellStyle name="20% - Accent6 3 2 3 3 2 3 2" xfId="29606"/>
    <cellStyle name="20% - Accent6 3 2 3 3 2 3 2 2" xfId="49360"/>
    <cellStyle name="20% - Accent6 3 2 3 3 2 3 3" xfId="39716"/>
    <cellStyle name="20% - Accent6 3 2 3 3 2 4" xfId="24796"/>
    <cellStyle name="20% - Accent6 3 2 3 3 2 4 2" xfId="44551"/>
    <cellStyle name="20% - Accent6 3 2 3 3 2 5" xfId="34907"/>
    <cellStyle name="20% - Accent6 3 2 3 3 3" xfId="4604"/>
    <cellStyle name="20% - Accent6 3 2 3 3 3 2" xfId="19892"/>
    <cellStyle name="20% - Accent6 3 2 3 3 3 2 2" xfId="29608"/>
    <cellStyle name="20% - Accent6 3 2 3 3 3 2 2 2" xfId="49362"/>
    <cellStyle name="20% - Accent6 3 2 3 3 3 2 3" xfId="39718"/>
    <cellStyle name="20% - Accent6 3 2 3 3 3 3" xfId="24798"/>
    <cellStyle name="20% - Accent6 3 2 3 3 3 3 2" xfId="44553"/>
    <cellStyle name="20% - Accent6 3 2 3 3 3 4" xfId="34909"/>
    <cellStyle name="20% - Accent6 3 2 3 3 4" xfId="19889"/>
    <cellStyle name="20% - Accent6 3 2 3 3 4 2" xfId="29605"/>
    <cellStyle name="20% - Accent6 3 2 3 3 4 2 2" xfId="49359"/>
    <cellStyle name="20% - Accent6 3 2 3 3 4 3" xfId="39715"/>
    <cellStyle name="20% - Accent6 3 2 3 3 5" xfId="24795"/>
    <cellStyle name="20% - Accent6 3 2 3 3 5 2" xfId="44550"/>
    <cellStyle name="20% - Accent6 3 2 3 3 6" xfId="34906"/>
    <cellStyle name="20% - Accent6 3 2 3 4" xfId="4605"/>
    <cellStyle name="20% - Accent6 3 2 3 4 2" xfId="4606"/>
    <cellStyle name="20% - Accent6 3 2 3 4 2 2" xfId="19894"/>
    <cellStyle name="20% - Accent6 3 2 3 4 2 2 2" xfId="29610"/>
    <cellStyle name="20% - Accent6 3 2 3 4 2 2 2 2" xfId="49364"/>
    <cellStyle name="20% - Accent6 3 2 3 4 2 2 3" xfId="39720"/>
    <cellStyle name="20% - Accent6 3 2 3 4 2 3" xfId="24800"/>
    <cellStyle name="20% - Accent6 3 2 3 4 2 3 2" xfId="44555"/>
    <cellStyle name="20% - Accent6 3 2 3 4 2 4" xfId="34911"/>
    <cellStyle name="20% - Accent6 3 2 3 4 3" xfId="19893"/>
    <cellStyle name="20% - Accent6 3 2 3 4 3 2" xfId="29609"/>
    <cellStyle name="20% - Accent6 3 2 3 4 3 2 2" xfId="49363"/>
    <cellStyle name="20% - Accent6 3 2 3 4 3 3" xfId="39719"/>
    <cellStyle name="20% - Accent6 3 2 3 4 4" xfId="24799"/>
    <cellStyle name="20% - Accent6 3 2 3 4 4 2" xfId="44554"/>
    <cellStyle name="20% - Accent6 3 2 3 4 5" xfId="34910"/>
    <cellStyle name="20% - Accent6 3 2 3 5" xfId="4607"/>
    <cellStyle name="20% - Accent6 3 2 3 5 2" xfId="19895"/>
    <cellStyle name="20% - Accent6 3 2 3 5 2 2" xfId="29611"/>
    <cellStyle name="20% - Accent6 3 2 3 5 2 2 2" xfId="49365"/>
    <cellStyle name="20% - Accent6 3 2 3 5 2 3" xfId="39721"/>
    <cellStyle name="20% - Accent6 3 2 3 5 3" xfId="24801"/>
    <cellStyle name="20% - Accent6 3 2 3 5 3 2" xfId="44556"/>
    <cellStyle name="20% - Accent6 3 2 3 5 4" xfId="34912"/>
    <cellStyle name="20% - Accent6 3 2 3 6" xfId="4608"/>
    <cellStyle name="20% - Accent6 3 2 3 6 2" xfId="19896"/>
    <cellStyle name="20% - Accent6 3 2 3 6 2 2" xfId="29612"/>
    <cellStyle name="20% - Accent6 3 2 3 6 2 2 2" xfId="49366"/>
    <cellStyle name="20% - Accent6 3 2 3 6 2 3" xfId="39722"/>
    <cellStyle name="20% - Accent6 3 2 3 6 3" xfId="24802"/>
    <cellStyle name="20% - Accent6 3 2 3 6 3 2" xfId="44557"/>
    <cellStyle name="20% - Accent6 3 2 3 6 4" xfId="34913"/>
    <cellStyle name="20% - Accent6 3 2 3 7" xfId="4609"/>
    <cellStyle name="20% - Accent6 3 2 3 7 2" xfId="19897"/>
    <cellStyle name="20% - Accent6 3 2 3 7 2 2" xfId="29613"/>
    <cellStyle name="20% - Accent6 3 2 3 7 2 2 2" xfId="49367"/>
    <cellStyle name="20% - Accent6 3 2 3 7 2 3" xfId="39723"/>
    <cellStyle name="20% - Accent6 3 2 3 7 3" xfId="24803"/>
    <cellStyle name="20% - Accent6 3 2 3 7 3 2" xfId="44558"/>
    <cellStyle name="20% - Accent6 3 2 3 7 4" xfId="34914"/>
    <cellStyle name="20% - Accent6 3 2 3 8" xfId="19880"/>
    <cellStyle name="20% - Accent6 3 2 3 8 2" xfId="29596"/>
    <cellStyle name="20% - Accent6 3 2 3 8 2 2" xfId="49350"/>
    <cellStyle name="20% - Accent6 3 2 3 8 3" xfId="39706"/>
    <cellStyle name="20% - Accent6 3 2 3 9" xfId="24786"/>
    <cellStyle name="20% - Accent6 3 2 3 9 2" xfId="44541"/>
    <cellStyle name="20% - Accent6 3 2 4" xfId="4610"/>
    <cellStyle name="20% - Accent6 3 2 4 2" xfId="4611"/>
    <cellStyle name="20% - Accent6 3 2 4 2 2" xfId="4612"/>
    <cellStyle name="20% - Accent6 3 2 4 2 2 2" xfId="4613"/>
    <cellStyle name="20% - Accent6 3 2 4 2 2 2 2" xfId="19901"/>
    <cellStyle name="20% - Accent6 3 2 4 2 2 2 2 2" xfId="29617"/>
    <cellStyle name="20% - Accent6 3 2 4 2 2 2 2 2 2" xfId="49371"/>
    <cellStyle name="20% - Accent6 3 2 4 2 2 2 2 3" xfId="39727"/>
    <cellStyle name="20% - Accent6 3 2 4 2 2 2 3" xfId="24807"/>
    <cellStyle name="20% - Accent6 3 2 4 2 2 2 3 2" xfId="44562"/>
    <cellStyle name="20% - Accent6 3 2 4 2 2 2 4" xfId="34918"/>
    <cellStyle name="20% - Accent6 3 2 4 2 2 3" xfId="19900"/>
    <cellStyle name="20% - Accent6 3 2 4 2 2 3 2" xfId="29616"/>
    <cellStyle name="20% - Accent6 3 2 4 2 2 3 2 2" xfId="49370"/>
    <cellStyle name="20% - Accent6 3 2 4 2 2 3 3" xfId="39726"/>
    <cellStyle name="20% - Accent6 3 2 4 2 2 4" xfId="24806"/>
    <cellStyle name="20% - Accent6 3 2 4 2 2 4 2" xfId="44561"/>
    <cellStyle name="20% - Accent6 3 2 4 2 2 5" xfId="34917"/>
    <cellStyle name="20% - Accent6 3 2 4 2 3" xfId="4614"/>
    <cellStyle name="20% - Accent6 3 2 4 2 3 2" xfId="19902"/>
    <cellStyle name="20% - Accent6 3 2 4 2 3 2 2" xfId="29618"/>
    <cellStyle name="20% - Accent6 3 2 4 2 3 2 2 2" xfId="49372"/>
    <cellStyle name="20% - Accent6 3 2 4 2 3 2 3" xfId="39728"/>
    <cellStyle name="20% - Accent6 3 2 4 2 3 3" xfId="24808"/>
    <cellStyle name="20% - Accent6 3 2 4 2 3 3 2" xfId="44563"/>
    <cellStyle name="20% - Accent6 3 2 4 2 3 4" xfId="34919"/>
    <cellStyle name="20% - Accent6 3 2 4 2 4" xfId="19899"/>
    <cellStyle name="20% - Accent6 3 2 4 2 4 2" xfId="29615"/>
    <cellStyle name="20% - Accent6 3 2 4 2 4 2 2" xfId="49369"/>
    <cellStyle name="20% - Accent6 3 2 4 2 4 3" xfId="39725"/>
    <cellStyle name="20% - Accent6 3 2 4 2 5" xfId="24805"/>
    <cellStyle name="20% - Accent6 3 2 4 2 5 2" xfId="44560"/>
    <cellStyle name="20% - Accent6 3 2 4 2 6" xfId="34916"/>
    <cellStyle name="20% - Accent6 3 2 4 3" xfId="4615"/>
    <cellStyle name="20% - Accent6 3 2 4 3 2" xfId="4616"/>
    <cellStyle name="20% - Accent6 3 2 4 3 2 2" xfId="19904"/>
    <cellStyle name="20% - Accent6 3 2 4 3 2 2 2" xfId="29620"/>
    <cellStyle name="20% - Accent6 3 2 4 3 2 2 2 2" xfId="49374"/>
    <cellStyle name="20% - Accent6 3 2 4 3 2 2 3" xfId="39730"/>
    <cellStyle name="20% - Accent6 3 2 4 3 2 3" xfId="24810"/>
    <cellStyle name="20% - Accent6 3 2 4 3 2 3 2" xfId="44565"/>
    <cellStyle name="20% - Accent6 3 2 4 3 2 4" xfId="34921"/>
    <cellStyle name="20% - Accent6 3 2 4 3 3" xfId="19903"/>
    <cellStyle name="20% - Accent6 3 2 4 3 3 2" xfId="29619"/>
    <cellStyle name="20% - Accent6 3 2 4 3 3 2 2" xfId="49373"/>
    <cellStyle name="20% - Accent6 3 2 4 3 3 3" xfId="39729"/>
    <cellStyle name="20% - Accent6 3 2 4 3 4" xfId="24809"/>
    <cellStyle name="20% - Accent6 3 2 4 3 4 2" xfId="44564"/>
    <cellStyle name="20% - Accent6 3 2 4 3 5" xfId="34920"/>
    <cellStyle name="20% - Accent6 3 2 4 4" xfId="4617"/>
    <cellStyle name="20% - Accent6 3 2 4 4 2" xfId="19905"/>
    <cellStyle name="20% - Accent6 3 2 4 4 2 2" xfId="29621"/>
    <cellStyle name="20% - Accent6 3 2 4 4 2 2 2" xfId="49375"/>
    <cellStyle name="20% - Accent6 3 2 4 4 2 3" xfId="39731"/>
    <cellStyle name="20% - Accent6 3 2 4 4 3" xfId="24811"/>
    <cellStyle name="20% - Accent6 3 2 4 4 3 2" xfId="44566"/>
    <cellStyle name="20% - Accent6 3 2 4 4 4" xfId="34922"/>
    <cellStyle name="20% - Accent6 3 2 4 5" xfId="19898"/>
    <cellStyle name="20% - Accent6 3 2 4 5 2" xfId="29614"/>
    <cellStyle name="20% - Accent6 3 2 4 5 2 2" xfId="49368"/>
    <cellStyle name="20% - Accent6 3 2 4 5 3" xfId="39724"/>
    <cellStyle name="20% - Accent6 3 2 4 6" xfId="24804"/>
    <cellStyle name="20% - Accent6 3 2 4 6 2" xfId="44559"/>
    <cellStyle name="20% - Accent6 3 2 4 7" xfId="34915"/>
    <cellStyle name="20% - Accent6 3 2 5" xfId="4618"/>
    <cellStyle name="20% - Accent6 3 2 5 2" xfId="4619"/>
    <cellStyle name="20% - Accent6 3 2 5 2 2" xfId="4620"/>
    <cellStyle name="20% - Accent6 3 2 5 2 2 2" xfId="4621"/>
    <cellStyle name="20% - Accent6 3 2 5 2 2 2 2" xfId="19909"/>
    <cellStyle name="20% - Accent6 3 2 5 2 2 2 2 2" xfId="29625"/>
    <cellStyle name="20% - Accent6 3 2 5 2 2 2 2 2 2" xfId="49379"/>
    <cellStyle name="20% - Accent6 3 2 5 2 2 2 2 3" xfId="39735"/>
    <cellStyle name="20% - Accent6 3 2 5 2 2 2 3" xfId="24815"/>
    <cellStyle name="20% - Accent6 3 2 5 2 2 2 3 2" xfId="44570"/>
    <cellStyle name="20% - Accent6 3 2 5 2 2 2 4" xfId="34926"/>
    <cellStyle name="20% - Accent6 3 2 5 2 2 3" xfId="19908"/>
    <cellStyle name="20% - Accent6 3 2 5 2 2 3 2" xfId="29624"/>
    <cellStyle name="20% - Accent6 3 2 5 2 2 3 2 2" xfId="49378"/>
    <cellStyle name="20% - Accent6 3 2 5 2 2 3 3" xfId="39734"/>
    <cellStyle name="20% - Accent6 3 2 5 2 2 4" xfId="24814"/>
    <cellStyle name="20% - Accent6 3 2 5 2 2 4 2" xfId="44569"/>
    <cellStyle name="20% - Accent6 3 2 5 2 2 5" xfId="34925"/>
    <cellStyle name="20% - Accent6 3 2 5 2 3" xfId="4622"/>
    <cellStyle name="20% - Accent6 3 2 5 2 3 2" xfId="19910"/>
    <cellStyle name="20% - Accent6 3 2 5 2 3 2 2" xfId="29626"/>
    <cellStyle name="20% - Accent6 3 2 5 2 3 2 2 2" xfId="49380"/>
    <cellStyle name="20% - Accent6 3 2 5 2 3 2 3" xfId="39736"/>
    <cellStyle name="20% - Accent6 3 2 5 2 3 3" xfId="24816"/>
    <cellStyle name="20% - Accent6 3 2 5 2 3 3 2" xfId="44571"/>
    <cellStyle name="20% - Accent6 3 2 5 2 3 4" xfId="34927"/>
    <cellStyle name="20% - Accent6 3 2 5 2 4" xfId="19907"/>
    <cellStyle name="20% - Accent6 3 2 5 2 4 2" xfId="29623"/>
    <cellStyle name="20% - Accent6 3 2 5 2 4 2 2" xfId="49377"/>
    <cellStyle name="20% - Accent6 3 2 5 2 4 3" xfId="39733"/>
    <cellStyle name="20% - Accent6 3 2 5 2 5" xfId="24813"/>
    <cellStyle name="20% - Accent6 3 2 5 2 5 2" xfId="44568"/>
    <cellStyle name="20% - Accent6 3 2 5 2 6" xfId="34924"/>
    <cellStyle name="20% - Accent6 3 2 5 3" xfId="4623"/>
    <cellStyle name="20% - Accent6 3 2 5 3 2" xfId="4624"/>
    <cellStyle name="20% - Accent6 3 2 5 3 2 2" xfId="19912"/>
    <cellStyle name="20% - Accent6 3 2 5 3 2 2 2" xfId="29628"/>
    <cellStyle name="20% - Accent6 3 2 5 3 2 2 2 2" xfId="49382"/>
    <cellStyle name="20% - Accent6 3 2 5 3 2 2 3" xfId="39738"/>
    <cellStyle name="20% - Accent6 3 2 5 3 2 3" xfId="24818"/>
    <cellStyle name="20% - Accent6 3 2 5 3 2 3 2" xfId="44573"/>
    <cellStyle name="20% - Accent6 3 2 5 3 2 4" xfId="34929"/>
    <cellStyle name="20% - Accent6 3 2 5 3 3" xfId="19911"/>
    <cellStyle name="20% - Accent6 3 2 5 3 3 2" xfId="29627"/>
    <cellStyle name="20% - Accent6 3 2 5 3 3 2 2" xfId="49381"/>
    <cellStyle name="20% - Accent6 3 2 5 3 3 3" xfId="39737"/>
    <cellStyle name="20% - Accent6 3 2 5 3 4" xfId="24817"/>
    <cellStyle name="20% - Accent6 3 2 5 3 4 2" xfId="44572"/>
    <cellStyle name="20% - Accent6 3 2 5 3 5" xfId="34928"/>
    <cellStyle name="20% - Accent6 3 2 5 4" xfId="4625"/>
    <cellStyle name="20% - Accent6 3 2 5 4 2" xfId="19913"/>
    <cellStyle name="20% - Accent6 3 2 5 4 2 2" xfId="29629"/>
    <cellStyle name="20% - Accent6 3 2 5 4 2 2 2" xfId="49383"/>
    <cellStyle name="20% - Accent6 3 2 5 4 2 3" xfId="39739"/>
    <cellStyle name="20% - Accent6 3 2 5 4 3" xfId="24819"/>
    <cellStyle name="20% - Accent6 3 2 5 4 3 2" xfId="44574"/>
    <cellStyle name="20% - Accent6 3 2 5 4 4" xfId="34930"/>
    <cellStyle name="20% - Accent6 3 2 5 5" xfId="19906"/>
    <cellStyle name="20% - Accent6 3 2 5 5 2" xfId="29622"/>
    <cellStyle name="20% - Accent6 3 2 5 5 2 2" xfId="49376"/>
    <cellStyle name="20% - Accent6 3 2 5 5 3" xfId="39732"/>
    <cellStyle name="20% - Accent6 3 2 5 6" xfId="24812"/>
    <cellStyle name="20% - Accent6 3 2 5 6 2" xfId="44567"/>
    <cellStyle name="20% - Accent6 3 2 5 7" xfId="34923"/>
    <cellStyle name="20% - Accent6 3 2 6" xfId="4626"/>
    <cellStyle name="20% - Accent6 3 2 6 2" xfId="4627"/>
    <cellStyle name="20% - Accent6 3 2 6 2 2" xfId="4628"/>
    <cellStyle name="20% - Accent6 3 2 6 2 2 2" xfId="19916"/>
    <cellStyle name="20% - Accent6 3 2 6 2 2 2 2" xfId="29632"/>
    <cellStyle name="20% - Accent6 3 2 6 2 2 2 2 2" xfId="49386"/>
    <cellStyle name="20% - Accent6 3 2 6 2 2 2 3" xfId="39742"/>
    <cellStyle name="20% - Accent6 3 2 6 2 2 3" xfId="24822"/>
    <cellStyle name="20% - Accent6 3 2 6 2 2 3 2" xfId="44577"/>
    <cellStyle name="20% - Accent6 3 2 6 2 2 4" xfId="34933"/>
    <cellStyle name="20% - Accent6 3 2 6 2 3" xfId="19915"/>
    <cellStyle name="20% - Accent6 3 2 6 2 3 2" xfId="29631"/>
    <cellStyle name="20% - Accent6 3 2 6 2 3 2 2" xfId="49385"/>
    <cellStyle name="20% - Accent6 3 2 6 2 3 3" xfId="39741"/>
    <cellStyle name="20% - Accent6 3 2 6 2 4" xfId="24821"/>
    <cellStyle name="20% - Accent6 3 2 6 2 4 2" xfId="44576"/>
    <cellStyle name="20% - Accent6 3 2 6 2 5" xfId="34932"/>
    <cellStyle name="20% - Accent6 3 2 6 3" xfId="4629"/>
    <cellStyle name="20% - Accent6 3 2 6 3 2" xfId="19917"/>
    <cellStyle name="20% - Accent6 3 2 6 3 2 2" xfId="29633"/>
    <cellStyle name="20% - Accent6 3 2 6 3 2 2 2" xfId="49387"/>
    <cellStyle name="20% - Accent6 3 2 6 3 2 3" xfId="39743"/>
    <cellStyle name="20% - Accent6 3 2 6 3 3" xfId="24823"/>
    <cellStyle name="20% - Accent6 3 2 6 3 3 2" xfId="44578"/>
    <cellStyle name="20% - Accent6 3 2 6 3 4" xfId="34934"/>
    <cellStyle name="20% - Accent6 3 2 6 4" xfId="19914"/>
    <cellStyle name="20% - Accent6 3 2 6 4 2" xfId="29630"/>
    <cellStyle name="20% - Accent6 3 2 6 4 2 2" xfId="49384"/>
    <cellStyle name="20% - Accent6 3 2 6 4 3" xfId="39740"/>
    <cellStyle name="20% - Accent6 3 2 6 5" xfId="24820"/>
    <cellStyle name="20% - Accent6 3 2 6 5 2" xfId="44575"/>
    <cellStyle name="20% - Accent6 3 2 6 6" xfId="34931"/>
    <cellStyle name="20% - Accent6 3 2 7" xfId="4630"/>
    <cellStyle name="20% - Accent6 3 2 7 2" xfId="4631"/>
    <cellStyle name="20% - Accent6 3 2 7 2 2" xfId="19919"/>
    <cellStyle name="20% - Accent6 3 2 7 2 2 2" xfId="29635"/>
    <cellStyle name="20% - Accent6 3 2 7 2 2 2 2" xfId="49389"/>
    <cellStyle name="20% - Accent6 3 2 7 2 2 3" xfId="39745"/>
    <cellStyle name="20% - Accent6 3 2 7 2 3" xfId="24825"/>
    <cellStyle name="20% - Accent6 3 2 7 2 3 2" xfId="44580"/>
    <cellStyle name="20% - Accent6 3 2 7 2 4" xfId="34936"/>
    <cellStyle name="20% - Accent6 3 2 7 3" xfId="19918"/>
    <cellStyle name="20% - Accent6 3 2 7 3 2" xfId="29634"/>
    <cellStyle name="20% - Accent6 3 2 7 3 2 2" xfId="49388"/>
    <cellStyle name="20% - Accent6 3 2 7 3 3" xfId="39744"/>
    <cellStyle name="20% - Accent6 3 2 7 4" xfId="24824"/>
    <cellStyle name="20% - Accent6 3 2 7 4 2" xfId="44579"/>
    <cellStyle name="20% - Accent6 3 2 7 5" xfId="34935"/>
    <cellStyle name="20% - Accent6 3 2 8" xfId="4632"/>
    <cellStyle name="20% - Accent6 3 2 8 2" xfId="4633"/>
    <cellStyle name="20% - Accent6 3 2 8 2 2" xfId="19921"/>
    <cellStyle name="20% - Accent6 3 2 8 2 2 2" xfId="29637"/>
    <cellStyle name="20% - Accent6 3 2 8 2 2 2 2" xfId="49391"/>
    <cellStyle name="20% - Accent6 3 2 8 2 2 3" xfId="39747"/>
    <cellStyle name="20% - Accent6 3 2 8 2 3" xfId="24827"/>
    <cellStyle name="20% - Accent6 3 2 8 2 3 2" xfId="44582"/>
    <cellStyle name="20% - Accent6 3 2 8 2 4" xfId="34938"/>
    <cellStyle name="20% - Accent6 3 2 8 3" xfId="19920"/>
    <cellStyle name="20% - Accent6 3 2 8 3 2" xfId="29636"/>
    <cellStyle name="20% - Accent6 3 2 8 3 2 2" xfId="49390"/>
    <cellStyle name="20% - Accent6 3 2 8 3 3" xfId="39746"/>
    <cellStyle name="20% - Accent6 3 2 8 4" xfId="24826"/>
    <cellStyle name="20% - Accent6 3 2 8 4 2" xfId="44581"/>
    <cellStyle name="20% - Accent6 3 2 8 5" xfId="34937"/>
    <cellStyle name="20% - Accent6 3 2 9" xfId="4634"/>
    <cellStyle name="20% - Accent6 3 2 9 2" xfId="19922"/>
    <cellStyle name="20% - Accent6 3 2 9 2 2" xfId="29638"/>
    <cellStyle name="20% - Accent6 3 2 9 2 2 2" xfId="49392"/>
    <cellStyle name="20% - Accent6 3 2 9 2 3" xfId="39748"/>
    <cellStyle name="20% - Accent6 3 2 9 3" xfId="24828"/>
    <cellStyle name="20% - Accent6 3 2 9 3 2" xfId="44583"/>
    <cellStyle name="20% - Accent6 3 2 9 4" xfId="34939"/>
    <cellStyle name="20% - Accent6 3 3" xfId="4635"/>
    <cellStyle name="20% - Accent6 3 3 10" xfId="4636"/>
    <cellStyle name="20% - Accent6 3 3 10 2" xfId="19924"/>
    <cellStyle name="20% - Accent6 3 3 10 2 2" xfId="29640"/>
    <cellStyle name="20% - Accent6 3 3 10 2 2 2" xfId="49394"/>
    <cellStyle name="20% - Accent6 3 3 10 2 3" xfId="39750"/>
    <cellStyle name="20% - Accent6 3 3 10 3" xfId="24830"/>
    <cellStyle name="20% - Accent6 3 3 10 3 2" xfId="44585"/>
    <cellStyle name="20% - Accent6 3 3 10 4" xfId="34941"/>
    <cellStyle name="20% - Accent6 3 3 11" xfId="19923"/>
    <cellStyle name="20% - Accent6 3 3 11 2" xfId="29639"/>
    <cellStyle name="20% - Accent6 3 3 11 2 2" xfId="49393"/>
    <cellStyle name="20% - Accent6 3 3 11 3" xfId="39749"/>
    <cellStyle name="20% - Accent6 3 3 12" xfId="24829"/>
    <cellStyle name="20% - Accent6 3 3 12 2" xfId="44584"/>
    <cellStyle name="20% - Accent6 3 3 13" xfId="34940"/>
    <cellStyle name="20% - Accent6 3 3 2" xfId="4637"/>
    <cellStyle name="20% - Accent6 3 3 2 10" xfId="34942"/>
    <cellStyle name="20% - Accent6 3 3 2 2" xfId="4638"/>
    <cellStyle name="20% - Accent6 3 3 2 2 2" xfId="4639"/>
    <cellStyle name="20% - Accent6 3 3 2 2 2 2" xfId="4640"/>
    <cellStyle name="20% - Accent6 3 3 2 2 2 2 2" xfId="4641"/>
    <cellStyle name="20% - Accent6 3 3 2 2 2 2 2 2" xfId="19929"/>
    <cellStyle name="20% - Accent6 3 3 2 2 2 2 2 2 2" xfId="29645"/>
    <cellStyle name="20% - Accent6 3 3 2 2 2 2 2 2 2 2" xfId="49399"/>
    <cellStyle name="20% - Accent6 3 3 2 2 2 2 2 2 3" xfId="39755"/>
    <cellStyle name="20% - Accent6 3 3 2 2 2 2 2 3" xfId="24835"/>
    <cellStyle name="20% - Accent6 3 3 2 2 2 2 2 3 2" xfId="44590"/>
    <cellStyle name="20% - Accent6 3 3 2 2 2 2 2 4" xfId="34946"/>
    <cellStyle name="20% - Accent6 3 3 2 2 2 2 3" xfId="19928"/>
    <cellStyle name="20% - Accent6 3 3 2 2 2 2 3 2" xfId="29644"/>
    <cellStyle name="20% - Accent6 3 3 2 2 2 2 3 2 2" xfId="49398"/>
    <cellStyle name="20% - Accent6 3 3 2 2 2 2 3 3" xfId="39754"/>
    <cellStyle name="20% - Accent6 3 3 2 2 2 2 4" xfId="24834"/>
    <cellStyle name="20% - Accent6 3 3 2 2 2 2 4 2" xfId="44589"/>
    <cellStyle name="20% - Accent6 3 3 2 2 2 2 5" xfId="34945"/>
    <cellStyle name="20% - Accent6 3 3 2 2 2 3" xfId="4642"/>
    <cellStyle name="20% - Accent6 3 3 2 2 2 3 2" xfId="19930"/>
    <cellStyle name="20% - Accent6 3 3 2 2 2 3 2 2" xfId="29646"/>
    <cellStyle name="20% - Accent6 3 3 2 2 2 3 2 2 2" xfId="49400"/>
    <cellStyle name="20% - Accent6 3 3 2 2 2 3 2 3" xfId="39756"/>
    <cellStyle name="20% - Accent6 3 3 2 2 2 3 3" xfId="24836"/>
    <cellStyle name="20% - Accent6 3 3 2 2 2 3 3 2" xfId="44591"/>
    <cellStyle name="20% - Accent6 3 3 2 2 2 3 4" xfId="34947"/>
    <cellStyle name="20% - Accent6 3 3 2 2 2 4" xfId="19927"/>
    <cellStyle name="20% - Accent6 3 3 2 2 2 4 2" xfId="29643"/>
    <cellStyle name="20% - Accent6 3 3 2 2 2 4 2 2" xfId="49397"/>
    <cellStyle name="20% - Accent6 3 3 2 2 2 4 3" xfId="39753"/>
    <cellStyle name="20% - Accent6 3 3 2 2 2 5" xfId="24833"/>
    <cellStyle name="20% - Accent6 3 3 2 2 2 5 2" xfId="44588"/>
    <cellStyle name="20% - Accent6 3 3 2 2 2 6" xfId="34944"/>
    <cellStyle name="20% - Accent6 3 3 2 2 3" xfId="4643"/>
    <cellStyle name="20% - Accent6 3 3 2 2 3 2" xfId="4644"/>
    <cellStyle name="20% - Accent6 3 3 2 2 3 2 2" xfId="19932"/>
    <cellStyle name="20% - Accent6 3 3 2 2 3 2 2 2" xfId="29648"/>
    <cellStyle name="20% - Accent6 3 3 2 2 3 2 2 2 2" xfId="49402"/>
    <cellStyle name="20% - Accent6 3 3 2 2 3 2 2 3" xfId="39758"/>
    <cellStyle name="20% - Accent6 3 3 2 2 3 2 3" xfId="24838"/>
    <cellStyle name="20% - Accent6 3 3 2 2 3 2 3 2" xfId="44593"/>
    <cellStyle name="20% - Accent6 3 3 2 2 3 2 4" xfId="34949"/>
    <cellStyle name="20% - Accent6 3 3 2 2 3 3" xfId="19931"/>
    <cellStyle name="20% - Accent6 3 3 2 2 3 3 2" xfId="29647"/>
    <cellStyle name="20% - Accent6 3 3 2 2 3 3 2 2" xfId="49401"/>
    <cellStyle name="20% - Accent6 3 3 2 2 3 3 3" xfId="39757"/>
    <cellStyle name="20% - Accent6 3 3 2 2 3 4" xfId="24837"/>
    <cellStyle name="20% - Accent6 3 3 2 2 3 4 2" xfId="44592"/>
    <cellStyle name="20% - Accent6 3 3 2 2 3 5" xfId="34948"/>
    <cellStyle name="20% - Accent6 3 3 2 2 4" xfId="4645"/>
    <cellStyle name="20% - Accent6 3 3 2 2 4 2" xfId="19933"/>
    <cellStyle name="20% - Accent6 3 3 2 2 4 2 2" xfId="29649"/>
    <cellStyle name="20% - Accent6 3 3 2 2 4 2 2 2" xfId="49403"/>
    <cellStyle name="20% - Accent6 3 3 2 2 4 2 3" xfId="39759"/>
    <cellStyle name="20% - Accent6 3 3 2 2 4 3" xfId="24839"/>
    <cellStyle name="20% - Accent6 3 3 2 2 4 3 2" xfId="44594"/>
    <cellStyle name="20% - Accent6 3 3 2 2 4 4" xfId="34950"/>
    <cellStyle name="20% - Accent6 3 3 2 2 5" xfId="19926"/>
    <cellStyle name="20% - Accent6 3 3 2 2 5 2" xfId="29642"/>
    <cellStyle name="20% - Accent6 3 3 2 2 5 2 2" xfId="49396"/>
    <cellStyle name="20% - Accent6 3 3 2 2 5 3" xfId="39752"/>
    <cellStyle name="20% - Accent6 3 3 2 2 6" xfId="24832"/>
    <cellStyle name="20% - Accent6 3 3 2 2 6 2" xfId="44587"/>
    <cellStyle name="20% - Accent6 3 3 2 2 7" xfId="34943"/>
    <cellStyle name="20% - Accent6 3 3 2 3" xfId="4646"/>
    <cellStyle name="20% - Accent6 3 3 2 3 2" xfId="4647"/>
    <cellStyle name="20% - Accent6 3 3 2 3 2 2" xfId="4648"/>
    <cellStyle name="20% - Accent6 3 3 2 3 2 2 2" xfId="19936"/>
    <cellStyle name="20% - Accent6 3 3 2 3 2 2 2 2" xfId="29652"/>
    <cellStyle name="20% - Accent6 3 3 2 3 2 2 2 2 2" xfId="49406"/>
    <cellStyle name="20% - Accent6 3 3 2 3 2 2 2 3" xfId="39762"/>
    <cellStyle name="20% - Accent6 3 3 2 3 2 2 3" xfId="24842"/>
    <cellStyle name="20% - Accent6 3 3 2 3 2 2 3 2" xfId="44597"/>
    <cellStyle name="20% - Accent6 3 3 2 3 2 2 4" xfId="34953"/>
    <cellStyle name="20% - Accent6 3 3 2 3 2 3" xfId="19935"/>
    <cellStyle name="20% - Accent6 3 3 2 3 2 3 2" xfId="29651"/>
    <cellStyle name="20% - Accent6 3 3 2 3 2 3 2 2" xfId="49405"/>
    <cellStyle name="20% - Accent6 3 3 2 3 2 3 3" xfId="39761"/>
    <cellStyle name="20% - Accent6 3 3 2 3 2 4" xfId="24841"/>
    <cellStyle name="20% - Accent6 3 3 2 3 2 4 2" xfId="44596"/>
    <cellStyle name="20% - Accent6 3 3 2 3 2 5" xfId="34952"/>
    <cellStyle name="20% - Accent6 3 3 2 3 3" xfId="4649"/>
    <cellStyle name="20% - Accent6 3 3 2 3 3 2" xfId="19937"/>
    <cellStyle name="20% - Accent6 3 3 2 3 3 2 2" xfId="29653"/>
    <cellStyle name="20% - Accent6 3 3 2 3 3 2 2 2" xfId="49407"/>
    <cellStyle name="20% - Accent6 3 3 2 3 3 2 3" xfId="39763"/>
    <cellStyle name="20% - Accent6 3 3 2 3 3 3" xfId="24843"/>
    <cellStyle name="20% - Accent6 3 3 2 3 3 3 2" xfId="44598"/>
    <cellStyle name="20% - Accent6 3 3 2 3 3 4" xfId="34954"/>
    <cellStyle name="20% - Accent6 3 3 2 3 4" xfId="19934"/>
    <cellStyle name="20% - Accent6 3 3 2 3 4 2" xfId="29650"/>
    <cellStyle name="20% - Accent6 3 3 2 3 4 2 2" xfId="49404"/>
    <cellStyle name="20% - Accent6 3 3 2 3 4 3" xfId="39760"/>
    <cellStyle name="20% - Accent6 3 3 2 3 5" xfId="24840"/>
    <cellStyle name="20% - Accent6 3 3 2 3 5 2" xfId="44595"/>
    <cellStyle name="20% - Accent6 3 3 2 3 6" xfId="34951"/>
    <cellStyle name="20% - Accent6 3 3 2 4" xfId="4650"/>
    <cellStyle name="20% - Accent6 3 3 2 4 2" xfId="4651"/>
    <cellStyle name="20% - Accent6 3 3 2 4 2 2" xfId="19939"/>
    <cellStyle name="20% - Accent6 3 3 2 4 2 2 2" xfId="29655"/>
    <cellStyle name="20% - Accent6 3 3 2 4 2 2 2 2" xfId="49409"/>
    <cellStyle name="20% - Accent6 3 3 2 4 2 2 3" xfId="39765"/>
    <cellStyle name="20% - Accent6 3 3 2 4 2 3" xfId="24845"/>
    <cellStyle name="20% - Accent6 3 3 2 4 2 3 2" xfId="44600"/>
    <cellStyle name="20% - Accent6 3 3 2 4 2 4" xfId="34956"/>
    <cellStyle name="20% - Accent6 3 3 2 4 3" xfId="19938"/>
    <cellStyle name="20% - Accent6 3 3 2 4 3 2" xfId="29654"/>
    <cellStyle name="20% - Accent6 3 3 2 4 3 2 2" xfId="49408"/>
    <cellStyle name="20% - Accent6 3 3 2 4 3 3" xfId="39764"/>
    <cellStyle name="20% - Accent6 3 3 2 4 4" xfId="24844"/>
    <cellStyle name="20% - Accent6 3 3 2 4 4 2" xfId="44599"/>
    <cellStyle name="20% - Accent6 3 3 2 4 5" xfId="34955"/>
    <cellStyle name="20% - Accent6 3 3 2 5" xfId="4652"/>
    <cellStyle name="20% - Accent6 3 3 2 5 2" xfId="19940"/>
    <cellStyle name="20% - Accent6 3 3 2 5 2 2" xfId="29656"/>
    <cellStyle name="20% - Accent6 3 3 2 5 2 2 2" xfId="49410"/>
    <cellStyle name="20% - Accent6 3 3 2 5 2 3" xfId="39766"/>
    <cellStyle name="20% - Accent6 3 3 2 5 3" xfId="24846"/>
    <cellStyle name="20% - Accent6 3 3 2 5 3 2" xfId="44601"/>
    <cellStyle name="20% - Accent6 3 3 2 5 4" xfId="34957"/>
    <cellStyle name="20% - Accent6 3 3 2 6" xfId="4653"/>
    <cellStyle name="20% - Accent6 3 3 2 6 2" xfId="19941"/>
    <cellStyle name="20% - Accent6 3 3 2 6 2 2" xfId="29657"/>
    <cellStyle name="20% - Accent6 3 3 2 6 2 2 2" xfId="49411"/>
    <cellStyle name="20% - Accent6 3 3 2 6 2 3" xfId="39767"/>
    <cellStyle name="20% - Accent6 3 3 2 6 3" xfId="24847"/>
    <cellStyle name="20% - Accent6 3 3 2 6 3 2" xfId="44602"/>
    <cellStyle name="20% - Accent6 3 3 2 6 4" xfId="34958"/>
    <cellStyle name="20% - Accent6 3 3 2 7" xfId="4654"/>
    <cellStyle name="20% - Accent6 3 3 2 7 2" xfId="19942"/>
    <cellStyle name="20% - Accent6 3 3 2 7 2 2" xfId="29658"/>
    <cellStyle name="20% - Accent6 3 3 2 7 2 2 2" xfId="49412"/>
    <cellStyle name="20% - Accent6 3 3 2 7 2 3" xfId="39768"/>
    <cellStyle name="20% - Accent6 3 3 2 7 3" xfId="24848"/>
    <cellStyle name="20% - Accent6 3 3 2 7 3 2" xfId="44603"/>
    <cellStyle name="20% - Accent6 3 3 2 7 4" xfId="34959"/>
    <cellStyle name="20% - Accent6 3 3 2 8" xfId="19925"/>
    <cellStyle name="20% - Accent6 3 3 2 8 2" xfId="29641"/>
    <cellStyle name="20% - Accent6 3 3 2 8 2 2" xfId="49395"/>
    <cellStyle name="20% - Accent6 3 3 2 8 3" xfId="39751"/>
    <cellStyle name="20% - Accent6 3 3 2 9" xfId="24831"/>
    <cellStyle name="20% - Accent6 3 3 2 9 2" xfId="44586"/>
    <cellStyle name="20% - Accent6 3 3 3" xfId="4655"/>
    <cellStyle name="20% - Accent6 3 3 3 2" xfId="4656"/>
    <cellStyle name="20% - Accent6 3 3 3 2 2" xfId="4657"/>
    <cellStyle name="20% - Accent6 3 3 3 2 2 2" xfId="4658"/>
    <cellStyle name="20% - Accent6 3 3 3 2 2 2 2" xfId="19946"/>
    <cellStyle name="20% - Accent6 3 3 3 2 2 2 2 2" xfId="29662"/>
    <cellStyle name="20% - Accent6 3 3 3 2 2 2 2 2 2" xfId="49416"/>
    <cellStyle name="20% - Accent6 3 3 3 2 2 2 2 3" xfId="39772"/>
    <cellStyle name="20% - Accent6 3 3 3 2 2 2 3" xfId="24852"/>
    <cellStyle name="20% - Accent6 3 3 3 2 2 2 3 2" xfId="44607"/>
    <cellStyle name="20% - Accent6 3 3 3 2 2 2 4" xfId="34963"/>
    <cellStyle name="20% - Accent6 3 3 3 2 2 3" xfId="19945"/>
    <cellStyle name="20% - Accent6 3 3 3 2 2 3 2" xfId="29661"/>
    <cellStyle name="20% - Accent6 3 3 3 2 2 3 2 2" xfId="49415"/>
    <cellStyle name="20% - Accent6 3 3 3 2 2 3 3" xfId="39771"/>
    <cellStyle name="20% - Accent6 3 3 3 2 2 4" xfId="24851"/>
    <cellStyle name="20% - Accent6 3 3 3 2 2 4 2" xfId="44606"/>
    <cellStyle name="20% - Accent6 3 3 3 2 2 5" xfId="34962"/>
    <cellStyle name="20% - Accent6 3 3 3 2 3" xfId="4659"/>
    <cellStyle name="20% - Accent6 3 3 3 2 3 2" xfId="19947"/>
    <cellStyle name="20% - Accent6 3 3 3 2 3 2 2" xfId="29663"/>
    <cellStyle name="20% - Accent6 3 3 3 2 3 2 2 2" xfId="49417"/>
    <cellStyle name="20% - Accent6 3 3 3 2 3 2 3" xfId="39773"/>
    <cellStyle name="20% - Accent6 3 3 3 2 3 3" xfId="24853"/>
    <cellStyle name="20% - Accent6 3 3 3 2 3 3 2" xfId="44608"/>
    <cellStyle name="20% - Accent6 3 3 3 2 3 4" xfId="34964"/>
    <cellStyle name="20% - Accent6 3 3 3 2 4" xfId="19944"/>
    <cellStyle name="20% - Accent6 3 3 3 2 4 2" xfId="29660"/>
    <cellStyle name="20% - Accent6 3 3 3 2 4 2 2" xfId="49414"/>
    <cellStyle name="20% - Accent6 3 3 3 2 4 3" xfId="39770"/>
    <cellStyle name="20% - Accent6 3 3 3 2 5" xfId="24850"/>
    <cellStyle name="20% - Accent6 3 3 3 2 5 2" xfId="44605"/>
    <cellStyle name="20% - Accent6 3 3 3 2 6" xfId="34961"/>
    <cellStyle name="20% - Accent6 3 3 3 3" xfId="4660"/>
    <cellStyle name="20% - Accent6 3 3 3 3 2" xfId="4661"/>
    <cellStyle name="20% - Accent6 3 3 3 3 2 2" xfId="19949"/>
    <cellStyle name="20% - Accent6 3 3 3 3 2 2 2" xfId="29665"/>
    <cellStyle name="20% - Accent6 3 3 3 3 2 2 2 2" xfId="49419"/>
    <cellStyle name="20% - Accent6 3 3 3 3 2 2 3" xfId="39775"/>
    <cellStyle name="20% - Accent6 3 3 3 3 2 3" xfId="24855"/>
    <cellStyle name="20% - Accent6 3 3 3 3 2 3 2" xfId="44610"/>
    <cellStyle name="20% - Accent6 3 3 3 3 2 4" xfId="34966"/>
    <cellStyle name="20% - Accent6 3 3 3 3 3" xfId="19948"/>
    <cellStyle name="20% - Accent6 3 3 3 3 3 2" xfId="29664"/>
    <cellStyle name="20% - Accent6 3 3 3 3 3 2 2" xfId="49418"/>
    <cellStyle name="20% - Accent6 3 3 3 3 3 3" xfId="39774"/>
    <cellStyle name="20% - Accent6 3 3 3 3 4" xfId="24854"/>
    <cellStyle name="20% - Accent6 3 3 3 3 4 2" xfId="44609"/>
    <cellStyle name="20% - Accent6 3 3 3 3 5" xfId="34965"/>
    <cellStyle name="20% - Accent6 3 3 3 4" xfId="4662"/>
    <cellStyle name="20% - Accent6 3 3 3 4 2" xfId="19950"/>
    <cellStyle name="20% - Accent6 3 3 3 4 2 2" xfId="29666"/>
    <cellStyle name="20% - Accent6 3 3 3 4 2 2 2" xfId="49420"/>
    <cellStyle name="20% - Accent6 3 3 3 4 2 3" xfId="39776"/>
    <cellStyle name="20% - Accent6 3 3 3 4 3" xfId="24856"/>
    <cellStyle name="20% - Accent6 3 3 3 4 3 2" xfId="44611"/>
    <cellStyle name="20% - Accent6 3 3 3 4 4" xfId="34967"/>
    <cellStyle name="20% - Accent6 3 3 3 5" xfId="19943"/>
    <cellStyle name="20% - Accent6 3 3 3 5 2" xfId="29659"/>
    <cellStyle name="20% - Accent6 3 3 3 5 2 2" xfId="49413"/>
    <cellStyle name="20% - Accent6 3 3 3 5 3" xfId="39769"/>
    <cellStyle name="20% - Accent6 3 3 3 6" xfId="24849"/>
    <cellStyle name="20% - Accent6 3 3 3 6 2" xfId="44604"/>
    <cellStyle name="20% - Accent6 3 3 3 7" xfId="34960"/>
    <cellStyle name="20% - Accent6 3 3 4" xfId="4663"/>
    <cellStyle name="20% - Accent6 3 3 4 2" xfId="4664"/>
    <cellStyle name="20% - Accent6 3 3 4 2 2" xfId="4665"/>
    <cellStyle name="20% - Accent6 3 3 4 2 2 2" xfId="4666"/>
    <cellStyle name="20% - Accent6 3 3 4 2 2 2 2" xfId="19954"/>
    <cellStyle name="20% - Accent6 3 3 4 2 2 2 2 2" xfId="29670"/>
    <cellStyle name="20% - Accent6 3 3 4 2 2 2 2 2 2" xfId="49424"/>
    <cellStyle name="20% - Accent6 3 3 4 2 2 2 2 3" xfId="39780"/>
    <cellStyle name="20% - Accent6 3 3 4 2 2 2 3" xfId="24860"/>
    <cellStyle name="20% - Accent6 3 3 4 2 2 2 3 2" xfId="44615"/>
    <cellStyle name="20% - Accent6 3 3 4 2 2 2 4" xfId="34971"/>
    <cellStyle name="20% - Accent6 3 3 4 2 2 3" xfId="19953"/>
    <cellStyle name="20% - Accent6 3 3 4 2 2 3 2" xfId="29669"/>
    <cellStyle name="20% - Accent6 3 3 4 2 2 3 2 2" xfId="49423"/>
    <cellStyle name="20% - Accent6 3 3 4 2 2 3 3" xfId="39779"/>
    <cellStyle name="20% - Accent6 3 3 4 2 2 4" xfId="24859"/>
    <cellStyle name="20% - Accent6 3 3 4 2 2 4 2" xfId="44614"/>
    <cellStyle name="20% - Accent6 3 3 4 2 2 5" xfId="34970"/>
    <cellStyle name="20% - Accent6 3 3 4 2 3" xfId="4667"/>
    <cellStyle name="20% - Accent6 3 3 4 2 3 2" xfId="19955"/>
    <cellStyle name="20% - Accent6 3 3 4 2 3 2 2" xfId="29671"/>
    <cellStyle name="20% - Accent6 3 3 4 2 3 2 2 2" xfId="49425"/>
    <cellStyle name="20% - Accent6 3 3 4 2 3 2 3" xfId="39781"/>
    <cellStyle name="20% - Accent6 3 3 4 2 3 3" xfId="24861"/>
    <cellStyle name="20% - Accent6 3 3 4 2 3 3 2" xfId="44616"/>
    <cellStyle name="20% - Accent6 3 3 4 2 3 4" xfId="34972"/>
    <cellStyle name="20% - Accent6 3 3 4 2 4" xfId="19952"/>
    <cellStyle name="20% - Accent6 3 3 4 2 4 2" xfId="29668"/>
    <cellStyle name="20% - Accent6 3 3 4 2 4 2 2" xfId="49422"/>
    <cellStyle name="20% - Accent6 3 3 4 2 4 3" xfId="39778"/>
    <cellStyle name="20% - Accent6 3 3 4 2 5" xfId="24858"/>
    <cellStyle name="20% - Accent6 3 3 4 2 5 2" xfId="44613"/>
    <cellStyle name="20% - Accent6 3 3 4 2 6" xfId="34969"/>
    <cellStyle name="20% - Accent6 3 3 4 3" xfId="4668"/>
    <cellStyle name="20% - Accent6 3 3 4 3 2" xfId="4669"/>
    <cellStyle name="20% - Accent6 3 3 4 3 2 2" xfId="19957"/>
    <cellStyle name="20% - Accent6 3 3 4 3 2 2 2" xfId="29673"/>
    <cellStyle name="20% - Accent6 3 3 4 3 2 2 2 2" xfId="49427"/>
    <cellStyle name="20% - Accent6 3 3 4 3 2 2 3" xfId="39783"/>
    <cellStyle name="20% - Accent6 3 3 4 3 2 3" xfId="24863"/>
    <cellStyle name="20% - Accent6 3 3 4 3 2 3 2" xfId="44618"/>
    <cellStyle name="20% - Accent6 3 3 4 3 2 4" xfId="34974"/>
    <cellStyle name="20% - Accent6 3 3 4 3 3" xfId="19956"/>
    <cellStyle name="20% - Accent6 3 3 4 3 3 2" xfId="29672"/>
    <cellStyle name="20% - Accent6 3 3 4 3 3 2 2" xfId="49426"/>
    <cellStyle name="20% - Accent6 3 3 4 3 3 3" xfId="39782"/>
    <cellStyle name="20% - Accent6 3 3 4 3 4" xfId="24862"/>
    <cellStyle name="20% - Accent6 3 3 4 3 4 2" xfId="44617"/>
    <cellStyle name="20% - Accent6 3 3 4 3 5" xfId="34973"/>
    <cellStyle name="20% - Accent6 3 3 4 4" xfId="4670"/>
    <cellStyle name="20% - Accent6 3 3 4 4 2" xfId="19958"/>
    <cellStyle name="20% - Accent6 3 3 4 4 2 2" xfId="29674"/>
    <cellStyle name="20% - Accent6 3 3 4 4 2 2 2" xfId="49428"/>
    <cellStyle name="20% - Accent6 3 3 4 4 2 3" xfId="39784"/>
    <cellStyle name="20% - Accent6 3 3 4 4 3" xfId="24864"/>
    <cellStyle name="20% - Accent6 3 3 4 4 3 2" xfId="44619"/>
    <cellStyle name="20% - Accent6 3 3 4 4 4" xfId="34975"/>
    <cellStyle name="20% - Accent6 3 3 4 5" xfId="19951"/>
    <cellStyle name="20% - Accent6 3 3 4 5 2" xfId="29667"/>
    <cellStyle name="20% - Accent6 3 3 4 5 2 2" xfId="49421"/>
    <cellStyle name="20% - Accent6 3 3 4 5 3" xfId="39777"/>
    <cellStyle name="20% - Accent6 3 3 4 6" xfId="24857"/>
    <cellStyle name="20% - Accent6 3 3 4 6 2" xfId="44612"/>
    <cellStyle name="20% - Accent6 3 3 4 7" xfId="34968"/>
    <cellStyle name="20% - Accent6 3 3 5" xfId="4671"/>
    <cellStyle name="20% - Accent6 3 3 5 2" xfId="4672"/>
    <cellStyle name="20% - Accent6 3 3 5 2 2" xfId="4673"/>
    <cellStyle name="20% - Accent6 3 3 5 2 2 2" xfId="19961"/>
    <cellStyle name="20% - Accent6 3 3 5 2 2 2 2" xfId="29677"/>
    <cellStyle name="20% - Accent6 3 3 5 2 2 2 2 2" xfId="49431"/>
    <cellStyle name="20% - Accent6 3 3 5 2 2 2 3" xfId="39787"/>
    <cellStyle name="20% - Accent6 3 3 5 2 2 3" xfId="24867"/>
    <cellStyle name="20% - Accent6 3 3 5 2 2 3 2" xfId="44622"/>
    <cellStyle name="20% - Accent6 3 3 5 2 2 4" xfId="34978"/>
    <cellStyle name="20% - Accent6 3 3 5 2 3" xfId="19960"/>
    <cellStyle name="20% - Accent6 3 3 5 2 3 2" xfId="29676"/>
    <cellStyle name="20% - Accent6 3 3 5 2 3 2 2" xfId="49430"/>
    <cellStyle name="20% - Accent6 3 3 5 2 3 3" xfId="39786"/>
    <cellStyle name="20% - Accent6 3 3 5 2 4" xfId="24866"/>
    <cellStyle name="20% - Accent6 3 3 5 2 4 2" xfId="44621"/>
    <cellStyle name="20% - Accent6 3 3 5 2 5" xfId="34977"/>
    <cellStyle name="20% - Accent6 3 3 5 3" xfId="4674"/>
    <cellStyle name="20% - Accent6 3 3 5 3 2" xfId="19962"/>
    <cellStyle name="20% - Accent6 3 3 5 3 2 2" xfId="29678"/>
    <cellStyle name="20% - Accent6 3 3 5 3 2 2 2" xfId="49432"/>
    <cellStyle name="20% - Accent6 3 3 5 3 2 3" xfId="39788"/>
    <cellStyle name="20% - Accent6 3 3 5 3 3" xfId="24868"/>
    <cellStyle name="20% - Accent6 3 3 5 3 3 2" xfId="44623"/>
    <cellStyle name="20% - Accent6 3 3 5 3 4" xfId="34979"/>
    <cellStyle name="20% - Accent6 3 3 5 4" xfId="19959"/>
    <cellStyle name="20% - Accent6 3 3 5 4 2" xfId="29675"/>
    <cellStyle name="20% - Accent6 3 3 5 4 2 2" xfId="49429"/>
    <cellStyle name="20% - Accent6 3 3 5 4 3" xfId="39785"/>
    <cellStyle name="20% - Accent6 3 3 5 5" xfId="24865"/>
    <cellStyle name="20% - Accent6 3 3 5 5 2" xfId="44620"/>
    <cellStyle name="20% - Accent6 3 3 5 6" xfId="34976"/>
    <cellStyle name="20% - Accent6 3 3 6" xfId="4675"/>
    <cellStyle name="20% - Accent6 3 3 6 2" xfId="4676"/>
    <cellStyle name="20% - Accent6 3 3 6 2 2" xfId="19964"/>
    <cellStyle name="20% - Accent6 3 3 6 2 2 2" xfId="29680"/>
    <cellStyle name="20% - Accent6 3 3 6 2 2 2 2" xfId="49434"/>
    <cellStyle name="20% - Accent6 3 3 6 2 2 3" xfId="39790"/>
    <cellStyle name="20% - Accent6 3 3 6 2 3" xfId="24870"/>
    <cellStyle name="20% - Accent6 3 3 6 2 3 2" xfId="44625"/>
    <cellStyle name="20% - Accent6 3 3 6 2 4" xfId="34981"/>
    <cellStyle name="20% - Accent6 3 3 6 3" xfId="19963"/>
    <cellStyle name="20% - Accent6 3 3 6 3 2" xfId="29679"/>
    <cellStyle name="20% - Accent6 3 3 6 3 2 2" xfId="49433"/>
    <cellStyle name="20% - Accent6 3 3 6 3 3" xfId="39789"/>
    <cellStyle name="20% - Accent6 3 3 6 4" xfId="24869"/>
    <cellStyle name="20% - Accent6 3 3 6 4 2" xfId="44624"/>
    <cellStyle name="20% - Accent6 3 3 6 5" xfId="34980"/>
    <cellStyle name="20% - Accent6 3 3 7" xfId="4677"/>
    <cellStyle name="20% - Accent6 3 3 7 2" xfId="4678"/>
    <cellStyle name="20% - Accent6 3 3 7 2 2" xfId="19966"/>
    <cellStyle name="20% - Accent6 3 3 7 2 2 2" xfId="29682"/>
    <cellStyle name="20% - Accent6 3 3 7 2 2 2 2" xfId="49436"/>
    <cellStyle name="20% - Accent6 3 3 7 2 2 3" xfId="39792"/>
    <cellStyle name="20% - Accent6 3 3 7 2 3" xfId="24872"/>
    <cellStyle name="20% - Accent6 3 3 7 2 3 2" xfId="44627"/>
    <cellStyle name="20% - Accent6 3 3 7 2 4" xfId="34983"/>
    <cellStyle name="20% - Accent6 3 3 7 3" xfId="19965"/>
    <cellStyle name="20% - Accent6 3 3 7 3 2" xfId="29681"/>
    <cellStyle name="20% - Accent6 3 3 7 3 2 2" xfId="49435"/>
    <cellStyle name="20% - Accent6 3 3 7 3 3" xfId="39791"/>
    <cellStyle name="20% - Accent6 3 3 7 4" xfId="24871"/>
    <cellStyle name="20% - Accent6 3 3 7 4 2" xfId="44626"/>
    <cellStyle name="20% - Accent6 3 3 7 5" xfId="34982"/>
    <cellStyle name="20% - Accent6 3 3 8" xfId="4679"/>
    <cellStyle name="20% - Accent6 3 3 8 2" xfId="19967"/>
    <cellStyle name="20% - Accent6 3 3 8 2 2" xfId="29683"/>
    <cellStyle name="20% - Accent6 3 3 8 2 2 2" xfId="49437"/>
    <cellStyle name="20% - Accent6 3 3 8 2 3" xfId="39793"/>
    <cellStyle name="20% - Accent6 3 3 8 3" xfId="24873"/>
    <cellStyle name="20% - Accent6 3 3 8 3 2" xfId="44628"/>
    <cellStyle name="20% - Accent6 3 3 8 4" xfId="34984"/>
    <cellStyle name="20% - Accent6 3 3 9" xfId="4680"/>
    <cellStyle name="20% - Accent6 3 3 9 2" xfId="19968"/>
    <cellStyle name="20% - Accent6 3 3 9 2 2" xfId="29684"/>
    <cellStyle name="20% - Accent6 3 3 9 2 2 2" xfId="49438"/>
    <cellStyle name="20% - Accent6 3 3 9 2 3" xfId="39794"/>
    <cellStyle name="20% - Accent6 3 3 9 3" xfId="24874"/>
    <cellStyle name="20% - Accent6 3 3 9 3 2" xfId="44629"/>
    <cellStyle name="20% - Accent6 3 3 9 4" xfId="34985"/>
    <cellStyle name="20% - Accent6 3 4" xfId="4681"/>
    <cellStyle name="20% - Accent6 3 4 10" xfId="34986"/>
    <cellStyle name="20% - Accent6 3 4 2" xfId="4682"/>
    <cellStyle name="20% - Accent6 3 4 2 2" xfId="4683"/>
    <cellStyle name="20% - Accent6 3 4 2 2 2" xfId="4684"/>
    <cellStyle name="20% - Accent6 3 4 2 2 2 2" xfId="4685"/>
    <cellStyle name="20% - Accent6 3 4 2 2 2 2 2" xfId="19973"/>
    <cellStyle name="20% - Accent6 3 4 2 2 2 2 2 2" xfId="29689"/>
    <cellStyle name="20% - Accent6 3 4 2 2 2 2 2 2 2" xfId="49443"/>
    <cellStyle name="20% - Accent6 3 4 2 2 2 2 2 3" xfId="39799"/>
    <cellStyle name="20% - Accent6 3 4 2 2 2 2 3" xfId="24879"/>
    <cellStyle name="20% - Accent6 3 4 2 2 2 2 3 2" xfId="44634"/>
    <cellStyle name="20% - Accent6 3 4 2 2 2 2 4" xfId="34990"/>
    <cellStyle name="20% - Accent6 3 4 2 2 2 3" xfId="19972"/>
    <cellStyle name="20% - Accent6 3 4 2 2 2 3 2" xfId="29688"/>
    <cellStyle name="20% - Accent6 3 4 2 2 2 3 2 2" xfId="49442"/>
    <cellStyle name="20% - Accent6 3 4 2 2 2 3 3" xfId="39798"/>
    <cellStyle name="20% - Accent6 3 4 2 2 2 4" xfId="24878"/>
    <cellStyle name="20% - Accent6 3 4 2 2 2 4 2" xfId="44633"/>
    <cellStyle name="20% - Accent6 3 4 2 2 2 5" xfId="34989"/>
    <cellStyle name="20% - Accent6 3 4 2 2 3" xfId="4686"/>
    <cellStyle name="20% - Accent6 3 4 2 2 3 2" xfId="19974"/>
    <cellStyle name="20% - Accent6 3 4 2 2 3 2 2" xfId="29690"/>
    <cellStyle name="20% - Accent6 3 4 2 2 3 2 2 2" xfId="49444"/>
    <cellStyle name="20% - Accent6 3 4 2 2 3 2 3" xfId="39800"/>
    <cellStyle name="20% - Accent6 3 4 2 2 3 3" xfId="24880"/>
    <cellStyle name="20% - Accent6 3 4 2 2 3 3 2" xfId="44635"/>
    <cellStyle name="20% - Accent6 3 4 2 2 3 4" xfId="34991"/>
    <cellStyle name="20% - Accent6 3 4 2 2 4" xfId="19971"/>
    <cellStyle name="20% - Accent6 3 4 2 2 4 2" xfId="29687"/>
    <cellStyle name="20% - Accent6 3 4 2 2 4 2 2" xfId="49441"/>
    <cellStyle name="20% - Accent6 3 4 2 2 4 3" xfId="39797"/>
    <cellStyle name="20% - Accent6 3 4 2 2 5" xfId="24877"/>
    <cellStyle name="20% - Accent6 3 4 2 2 5 2" xfId="44632"/>
    <cellStyle name="20% - Accent6 3 4 2 2 6" xfId="34988"/>
    <cellStyle name="20% - Accent6 3 4 2 3" xfId="4687"/>
    <cellStyle name="20% - Accent6 3 4 2 3 2" xfId="4688"/>
    <cellStyle name="20% - Accent6 3 4 2 3 2 2" xfId="19976"/>
    <cellStyle name="20% - Accent6 3 4 2 3 2 2 2" xfId="29692"/>
    <cellStyle name="20% - Accent6 3 4 2 3 2 2 2 2" xfId="49446"/>
    <cellStyle name="20% - Accent6 3 4 2 3 2 2 3" xfId="39802"/>
    <cellStyle name="20% - Accent6 3 4 2 3 2 3" xfId="24882"/>
    <cellStyle name="20% - Accent6 3 4 2 3 2 3 2" xfId="44637"/>
    <cellStyle name="20% - Accent6 3 4 2 3 2 4" xfId="34993"/>
    <cellStyle name="20% - Accent6 3 4 2 3 3" xfId="19975"/>
    <cellStyle name="20% - Accent6 3 4 2 3 3 2" xfId="29691"/>
    <cellStyle name="20% - Accent6 3 4 2 3 3 2 2" xfId="49445"/>
    <cellStyle name="20% - Accent6 3 4 2 3 3 3" xfId="39801"/>
    <cellStyle name="20% - Accent6 3 4 2 3 4" xfId="24881"/>
    <cellStyle name="20% - Accent6 3 4 2 3 4 2" xfId="44636"/>
    <cellStyle name="20% - Accent6 3 4 2 3 5" xfId="34992"/>
    <cellStyle name="20% - Accent6 3 4 2 4" xfId="4689"/>
    <cellStyle name="20% - Accent6 3 4 2 4 2" xfId="19977"/>
    <cellStyle name="20% - Accent6 3 4 2 4 2 2" xfId="29693"/>
    <cellStyle name="20% - Accent6 3 4 2 4 2 2 2" xfId="49447"/>
    <cellStyle name="20% - Accent6 3 4 2 4 2 3" xfId="39803"/>
    <cellStyle name="20% - Accent6 3 4 2 4 3" xfId="24883"/>
    <cellStyle name="20% - Accent6 3 4 2 4 3 2" xfId="44638"/>
    <cellStyle name="20% - Accent6 3 4 2 4 4" xfId="34994"/>
    <cellStyle name="20% - Accent6 3 4 2 5" xfId="19970"/>
    <cellStyle name="20% - Accent6 3 4 2 5 2" xfId="29686"/>
    <cellStyle name="20% - Accent6 3 4 2 5 2 2" xfId="49440"/>
    <cellStyle name="20% - Accent6 3 4 2 5 3" xfId="39796"/>
    <cellStyle name="20% - Accent6 3 4 2 6" xfId="24876"/>
    <cellStyle name="20% - Accent6 3 4 2 6 2" xfId="44631"/>
    <cellStyle name="20% - Accent6 3 4 2 7" xfId="34987"/>
    <cellStyle name="20% - Accent6 3 4 3" xfId="4690"/>
    <cellStyle name="20% - Accent6 3 4 3 2" xfId="4691"/>
    <cellStyle name="20% - Accent6 3 4 3 2 2" xfId="4692"/>
    <cellStyle name="20% - Accent6 3 4 3 2 2 2" xfId="19980"/>
    <cellStyle name="20% - Accent6 3 4 3 2 2 2 2" xfId="29696"/>
    <cellStyle name="20% - Accent6 3 4 3 2 2 2 2 2" xfId="49450"/>
    <cellStyle name="20% - Accent6 3 4 3 2 2 2 3" xfId="39806"/>
    <cellStyle name="20% - Accent6 3 4 3 2 2 3" xfId="24886"/>
    <cellStyle name="20% - Accent6 3 4 3 2 2 3 2" xfId="44641"/>
    <cellStyle name="20% - Accent6 3 4 3 2 2 4" xfId="34997"/>
    <cellStyle name="20% - Accent6 3 4 3 2 3" xfId="19979"/>
    <cellStyle name="20% - Accent6 3 4 3 2 3 2" xfId="29695"/>
    <cellStyle name="20% - Accent6 3 4 3 2 3 2 2" xfId="49449"/>
    <cellStyle name="20% - Accent6 3 4 3 2 3 3" xfId="39805"/>
    <cellStyle name="20% - Accent6 3 4 3 2 4" xfId="24885"/>
    <cellStyle name="20% - Accent6 3 4 3 2 4 2" xfId="44640"/>
    <cellStyle name="20% - Accent6 3 4 3 2 5" xfId="34996"/>
    <cellStyle name="20% - Accent6 3 4 3 3" xfId="4693"/>
    <cellStyle name="20% - Accent6 3 4 3 3 2" xfId="19981"/>
    <cellStyle name="20% - Accent6 3 4 3 3 2 2" xfId="29697"/>
    <cellStyle name="20% - Accent6 3 4 3 3 2 2 2" xfId="49451"/>
    <cellStyle name="20% - Accent6 3 4 3 3 2 3" xfId="39807"/>
    <cellStyle name="20% - Accent6 3 4 3 3 3" xfId="24887"/>
    <cellStyle name="20% - Accent6 3 4 3 3 3 2" xfId="44642"/>
    <cellStyle name="20% - Accent6 3 4 3 3 4" xfId="34998"/>
    <cellStyle name="20% - Accent6 3 4 3 4" xfId="19978"/>
    <cellStyle name="20% - Accent6 3 4 3 4 2" xfId="29694"/>
    <cellStyle name="20% - Accent6 3 4 3 4 2 2" xfId="49448"/>
    <cellStyle name="20% - Accent6 3 4 3 4 3" xfId="39804"/>
    <cellStyle name="20% - Accent6 3 4 3 5" xfId="24884"/>
    <cellStyle name="20% - Accent6 3 4 3 5 2" xfId="44639"/>
    <cellStyle name="20% - Accent6 3 4 3 6" xfId="34995"/>
    <cellStyle name="20% - Accent6 3 4 4" xfId="4694"/>
    <cellStyle name="20% - Accent6 3 4 4 2" xfId="4695"/>
    <cellStyle name="20% - Accent6 3 4 4 2 2" xfId="19983"/>
    <cellStyle name="20% - Accent6 3 4 4 2 2 2" xfId="29699"/>
    <cellStyle name="20% - Accent6 3 4 4 2 2 2 2" xfId="49453"/>
    <cellStyle name="20% - Accent6 3 4 4 2 2 3" xfId="39809"/>
    <cellStyle name="20% - Accent6 3 4 4 2 3" xfId="24889"/>
    <cellStyle name="20% - Accent6 3 4 4 2 3 2" xfId="44644"/>
    <cellStyle name="20% - Accent6 3 4 4 2 4" xfId="35000"/>
    <cellStyle name="20% - Accent6 3 4 4 3" xfId="19982"/>
    <cellStyle name="20% - Accent6 3 4 4 3 2" xfId="29698"/>
    <cellStyle name="20% - Accent6 3 4 4 3 2 2" xfId="49452"/>
    <cellStyle name="20% - Accent6 3 4 4 3 3" xfId="39808"/>
    <cellStyle name="20% - Accent6 3 4 4 4" xfId="24888"/>
    <cellStyle name="20% - Accent6 3 4 4 4 2" xfId="44643"/>
    <cellStyle name="20% - Accent6 3 4 4 5" xfId="34999"/>
    <cellStyle name="20% - Accent6 3 4 5" xfId="4696"/>
    <cellStyle name="20% - Accent6 3 4 5 2" xfId="19984"/>
    <cellStyle name="20% - Accent6 3 4 5 2 2" xfId="29700"/>
    <cellStyle name="20% - Accent6 3 4 5 2 2 2" xfId="49454"/>
    <cellStyle name="20% - Accent6 3 4 5 2 3" xfId="39810"/>
    <cellStyle name="20% - Accent6 3 4 5 3" xfId="24890"/>
    <cellStyle name="20% - Accent6 3 4 5 3 2" xfId="44645"/>
    <cellStyle name="20% - Accent6 3 4 5 4" xfId="35001"/>
    <cellStyle name="20% - Accent6 3 4 6" xfId="4697"/>
    <cellStyle name="20% - Accent6 3 4 6 2" xfId="19985"/>
    <cellStyle name="20% - Accent6 3 4 6 2 2" xfId="29701"/>
    <cellStyle name="20% - Accent6 3 4 6 2 2 2" xfId="49455"/>
    <cellStyle name="20% - Accent6 3 4 6 2 3" xfId="39811"/>
    <cellStyle name="20% - Accent6 3 4 6 3" xfId="24891"/>
    <cellStyle name="20% - Accent6 3 4 6 3 2" xfId="44646"/>
    <cellStyle name="20% - Accent6 3 4 6 4" xfId="35002"/>
    <cellStyle name="20% - Accent6 3 4 7" xfId="4698"/>
    <cellStyle name="20% - Accent6 3 4 7 2" xfId="19986"/>
    <cellStyle name="20% - Accent6 3 4 7 2 2" xfId="29702"/>
    <cellStyle name="20% - Accent6 3 4 7 2 2 2" xfId="49456"/>
    <cellStyle name="20% - Accent6 3 4 7 2 3" xfId="39812"/>
    <cellStyle name="20% - Accent6 3 4 7 3" xfId="24892"/>
    <cellStyle name="20% - Accent6 3 4 7 3 2" xfId="44647"/>
    <cellStyle name="20% - Accent6 3 4 7 4" xfId="35003"/>
    <cellStyle name="20% - Accent6 3 4 8" xfId="19969"/>
    <cellStyle name="20% - Accent6 3 4 8 2" xfId="29685"/>
    <cellStyle name="20% - Accent6 3 4 8 2 2" xfId="49439"/>
    <cellStyle name="20% - Accent6 3 4 8 3" xfId="39795"/>
    <cellStyle name="20% - Accent6 3 4 9" xfId="24875"/>
    <cellStyle name="20% - Accent6 3 4 9 2" xfId="44630"/>
    <cellStyle name="20% - Accent6 3 5" xfId="4699"/>
    <cellStyle name="20% - Accent6 3 5 2" xfId="4700"/>
    <cellStyle name="20% - Accent6 3 5 2 2" xfId="4701"/>
    <cellStyle name="20% - Accent6 3 5 2 2 2" xfId="4702"/>
    <cellStyle name="20% - Accent6 3 5 2 2 2 2" xfId="19990"/>
    <cellStyle name="20% - Accent6 3 5 2 2 2 2 2" xfId="29706"/>
    <cellStyle name="20% - Accent6 3 5 2 2 2 2 2 2" xfId="49460"/>
    <cellStyle name="20% - Accent6 3 5 2 2 2 2 3" xfId="39816"/>
    <cellStyle name="20% - Accent6 3 5 2 2 2 3" xfId="24896"/>
    <cellStyle name="20% - Accent6 3 5 2 2 2 3 2" xfId="44651"/>
    <cellStyle name="20% - Accent6 3 5 2 2 2 4" xfId="35007"/>
    <cellStyle name="20% - Accent6 3 5 2 2 3" xfId="19989"/>
    <cellStyle name="20% - Accent6 3 5 2 2 3 2" xfId="29705"/>
    <cellStyle name="20% - Accent6 3 5 2 2 3 2 2" xfId="49459"/>
    <cellStyle name="20% - Accent6 3 5 2 2 3 3" xfId="39815"/>
    <cellStyle name="20% - Accent6 3 5 2 2 4" xfId="24895"/>
    <cellStyle name="20% - Accent6 3 5 2 2 4 2" xfId="44650"/>
    <cellStyle name="20% - Accent6 3 5 2 2 5" xfId="35006"/>
    <cellStyle name="20% - Accent6 3 5 2 3" xfId="4703"/>
    <cellStyle name="20% - Accent6 3 5 2 3 2" xfId="19991"/>
    <cellStyle name="20% - Accent6 3 5 2 3 2 2" xfId="29707"/>
    <cellStyle name="20% - Accent6 3 5 2 3 2 2 2" xfId="49461"/>
    <cellStyle name="20% - Accent6 3 5 2 3 2 3" xfId="39817"/>
    <cellStyle name="20% - Accent6 3 5 2 3 3" xfId="24897"/>
    <cellStyle name="20% - Accent6 3 5 2 3 3 2" xfId="44652"/>
    <cellStyle name="20% - Accent6 3 5 2 3 4" xfId="35008"/>
    <cellStyle name="20% - Accent6 3 5 2 4" xfId="19988"/>
    <cellStyle name="20% - Accent6 3 5 2 4 2" xfId="29704"/>
    <cellStyle name="20% - Accent6 3 5 2 4 2 2" xfId="49458"/>
    <cellStyle name="20% - Accent6 3 5 2 4 3" xfId="39814"/>
    <cellStyle name="20% - Accent6 3 5 2 5" xfId="24894"/>
    <cellStyle name="20% - Accent6 3 5 2 5 2" xfId="44649"/>
    <cellStyle name="20% - Accent6 3 5 2 6" xfId="35005"/>
    <cellStyle name="20% - Accent6 3 5 3" xfId="4704"/>
    <cellStyle name="20% - Accent6 3 5 3 2" xfId="4705"/>
    <cellStyle name="20% - Accent6 3 5 3 2 2" xfId="19993"/>
    <cellStyle name="20% - Accent6 3 5 3 2 2 2" xfId="29709"/>
    <cellStyle name="20% - Accent6 3 5 3 2 2 2 2" xfId="49463"/>
    <cellStyle name="20% - Accent6 3 5 3 2 2 3" xfId="39819"/>
    <cellStyle name="20% - Accent6 3 5 3 2 3" xfId="24899"/>
    <cellStyle name="20% - Accent6 3 5 3 2 3 2" xfId="44654"/>
    <cellStyle name="20% - Accent6 3 5 3 2 4" xfId="35010"/>
    <cellStyle name="20% - Accent6 3 5 3 3" xfId="19992"/>
    <cellStyle name="20% - Accent6 3 5 3 3 2" xfId="29708"/>
    <cellStyle name="20% - Accent6 3 5 3 3 2 2" xfId="49462"/>
    <cellStyle name="20% - Accent6 3 5 3 3 3" xfId="39818"/>
    <cellStyle name="20% - Accent6 3 5 3 4" xfId="24898"/>
    <cellStyle name="20% - Accent6 3 5 3 4 2" xfId="44653"/>
    <cellStyle name="20% - Accent6 3 5 3 5" xfId="35009"/>
    <cellStyle name="20% - Accent6 3 5 4" xfId="4706"/>
    <cellStyle name="20% - Accent6 3 5 4 2" xfId="19994"/>
    <cellStyle name="20% - Accent6 3 5 4 2 2" xfId="29710"/>
    <cellStyle name="20% - Accent6 3 5 4 2 2 2" xfId="49464"/>
    <cellStyle name="20% - Accent6 3 5 4 2 3" xfId="39820"/>
    <cellStyle name="20% - Accent6 3 5 4 3" xfId="24900"/>
    <cellStyle name="20% - Accent6 3 5 4 3 2" xfId="44655"/>
    <cellStyle name="20% - Accent6 3 5 4 4" xfId="35011"/>
    <cellStyle name="20% - Accent6 3 5 5" xfId="19987"/>
    <cellStyle name="20% - Accent6 3 5 5 2" xfId="29703"/>
    <cellStyle name="20% - Accent6 3 5 5 2 2" xfId="49457"/>
    <cellStyle name="20% - Accent6 3 5 5 3" xfId="39813"/>
    <cellStyle name="20% - Accent6 3 5 6" xfId="24893"/>
    <cellStyle name="20% - Accent6 3 5 6 2" xfId="44648"/>
    <cellStyle name="20% - Accent6 3 5 7" xfId="35004"/>
    <cellStyle name="20% - Accent6 3 6" xfId="4707"/>
    <cellStyle name="20% - Accent6 3 6 2" xfId="4708"/>
    <cellStyle name="20% - Accent6 3 6 2 2" xfId="4709"/>
    <cellStyle name="20% - Accent6 3 6 2 2 2" xfId="4710"/>
    <cellStyle name="20% - Accent6 3 6 2 2 2 2" xfId="19998"/>
    <cellStyle name="20% - Accent6 3 6 2 2 2 2 2" xfId="29714"/>
    <cellStyle name="20% - Accent6 3 6 2 2 2 2 2 2" xfId="49468"/>
    <cellStyle name="20% - Accent6 3 6 2 2 2 2 3" xfId="39824"/>
    <cellStyle name="20% - Accent6 3 6 2 2 2 3" xfId="24904"/>
    <cellStyle name="20% - Accent6 3 6 2 2 2 3 2" xfId="44659"/>
    <cellStyle name="20% - Accent6 3 6 2 2 2 4" xfId="35015"/>
    <cellStyle name="20% - Accent6 3 6 2 2 3" xfId="19997"/>
    <cellStyle name="20% - Accent6 3 6 2 2 3 2" xfId="29713"/>
    <cellStyle name="20% - Accent6 3 6 2 2 3 2 2" xfId="49467"/>
    <cellStyle name="20% - Accent6 3 6 2 2 3 3" xfId="39823"/>
    <cellStyle name="20% - Accent6 3 6 2 2 4" xfId="24903"/>
    <cellStyle name="20% - Accent6 3 6 2 2 4 2" xfId="44658"/>
    <cellStyle name="20% - Accent6 3 6 2 2 5" xfId="35014"/>
    <cellStyle name="20% - Accent6 3 6 2 3" xfId="4711"/>
    <cellStyle name="20% - Accent6 3 6 2 3 2" xfId="19999"/>
    <cellStyle name="20% - Accent6 3 6 2 3 2 2" xfId="29715"/>
    <cellStyle name="20% - Accent6 3 6 2 3 2 2 2" xfId="49469"/>
    <cellStyle name="20% - Accent6 3 6 2 3 2 3" xfId="39825"/>
    <cellStyle name="20% - Accent6 3 6 2 3 3" xfId="24905"/>
    <cellStyle name="20% - Accent6 3 6 2 3 3 2" xfId="44660"/>
    <cellStyle name="20% - Accent6 3 6 2 3 4" xfId="35016"/>
    <cellStyle name="20% - Accent6 3 6 2 4" xfId="19996"/>
    <cellStyle name="20% - Accent6 3 6 2 4 2" xfId="29712"/>
    <cellStyle name="20% - Accent6 3 6 2 4 2 2" xfId="49466"/>
    <cellStyle name="20% - Accent6 3 6 2 4 3" xfId="39822"/>
    <cellStyle name="20% - Accent6 3 6 2 5" xfId="24902"/>
    <cellStyle name="20% - Accent6 3 6 2 5 2" xfId="44657"/>
    <cellStyle name="20% - Accent6 3 6 2 6" xfId="35013"/>
    <cellStyle name="20% - Accent6 3 6 3" xfId="4712"/>
    <cellStyle name="20% - Accent6 3 6 3 2" xfId="4713"/>
    <cellStyle name="20% - Accent6 3 6 3 2 2" xfId="20001"/>
    <cellStyle name="20% - Accent6 3 6 3 2 2 2" xfId="29717"/>
    <cellStyle name="20% - Accent6 3 6 3 2 2 2 2" xfId="49471"/>
    <cellStyle name="20% - Accent6 3 6 3 2 2 3" xfId="39827"/>
    <cellStyle name="20% - Accent6 3 6 3 2 3" xfId="24907"/>
    <cellStyle name="20% - Accent6 3 6 3 2 3 2" xfId="44662"/>
    <cellStyle name="20% - Accent6 3 6 3 2 4" xfId="35018"/>
    <cellStyle name="20% - Accent6 3 6 3 3" xfId="20000"/>
    <cellStyle name="20% - Accent6 3 6 3 3 2" xfId="29716"/>
    <cellStyle name="20% - Accent6 3 6 3 3 2 2" xfId="49470"/>
    <cellStyle name="20% - Accent6 3 6 3 3 3" xfId="39826"/>
    <cellStyle name="20% - Accent6 3 6 3 4" xfId="24906"/>
    <cellStyle name="20% - Accent6 3 6 3 4 2" xfId="44661"/>
    <cellStyle name="20% - Accent6 3 6 3 5" xfId="35017"/>
    <cellStyle name="20% - Accent6 3 6 4" xfId="4714"/>
    <cellStyle name="20% - Accent6 3 6 4 2" xfId="20002"/>
    <cellStyle name="20% - Accent6 3 6 4 2 2" xfId="29718"/>
    <cellStyle name="20% - Accent6 3 6 4 2 2 2" xfId="49472"/>
    <cellStyle name="20% - Accent6 3 6 4 2 3" xfId="39828"/>
    <cellStyle name="20% - Accent6 3 6 4 3" xfId="24908"/>
    <cellStyle name="20% - Accent6 3 6 4 3 2" xfId="44663"/>
    <cellStyle name="20% - Accent6 3 6 4 4" xfId="35019"/>
    <cellStyle name="20% - Accent6 3 6 5" xfId="19995"/>
    <cellStyle name="20% - Accent6 3 6 5 2" xfId="29711"/>
    <cellStyle name="20% - Accent6 3 6 5 2 2" xfId="49465"/>
    <cellStyle name="20% - Accent6 3 6 5 3" xfId="39821"/>
    <cellStyle name="20% - Accent6 3 6 6" xfId="24901"/>
    <cellStyle name="20% - Accent6 3 6 6 2" xfId="44656"/>
    <cellStyle name="20% - Accent6 3 6 7" xfId="35012"/>
    <cellStyle name="20% - Accent6 3 7" xfId="4715"/>
    <cellStyle name="20% - Accent6 3 8" xfId="4716"/>
    <cellStyle name="20% - Accent6 3 8 2" xfId="4717"/>
    <cellStyle name="20% - Accent6 3 8 2 2" xfId="4718"/>
    <cellStyle name="20% - Accent6 3 8 2 2 2" xfId="20005"/>
    <cellStyle name="20% - Accent6 3 8 2 2 2 2" xfId="29721"/>
    <cellStyle name="20% - Accent6 3 8 2 2 2 2 2" xfId="49475"/>
    <cellStyle name="20% - Accent6 3 8 2 2 2 3" xfId="39831"/>
    <cellStyle name="20% - Accent6 3 8 2 2 3" xfId="24911"/>
    <cellStyle name="20% - Accent6 3 8 2 2 3 2" xfId="44666"/>
    <cellStyle name="20% - Accent6 3 8 2 2 4" xfId="35022"/>
    <cellStyle name="20% - Accent6 3 8 2 3" xfId="20004"/>
    <cellStyle name="20% - Accent6 3 8 2 3 2" xfId="29720"/>
    <cellStyle name="20% - Accent6 3 8 2 3 2 2" xfId="49474"/>
    <cellStyle name="20% - Accent6 3 8 2 3 3" xfId="39830"/>
    <cellStyle name="20% - Accent6 3 8 2 4" xfId="24910"/>
    <cellStyle name="20% - Accent6 3 8 2 4 2" xfId="44665"/>
    <cellStyle name="20% - Accent6 3 8 2 5" xfId="35021"/>
    <cellStyle name="20% - Accent6 3 8 3" xfId="4719"/>
    <cellStyle name="20% - Accent6 3 8 3 2" xfId="20006"/>
    <cellStyle name="20% - Accent6 3 8 3 2 2" xfId="29722"/>
    <cellStyle name="20% - Accent6 3 8 3 2 2 2" xfId="49476"/>
    <cellStyle name="20% - Accent6 3 8 3 2 3" xfId="39832"/>
    <cellStyle name="20% - Accent6 3 8 3 3" xfId="24912"/>
    <cellStyle name="20% - Accent6 3 8 3 3 2" xfId="44667"/>
    <cellStyle name="20% - Accent6 3 8 3 4" xfId="35023"/>
    <cellStyle name="20% - Accent6 3 8 4" xfId="20003"/>
    <cellStyle name="20% - Accent6 3 8 4 2" xfId="29719"/>
    <cellStyle name="20% - Accent6 3 8 4 2 2" xfId="49473"/>
    <cellStyle name="20% - Accent6 3 8 4 3" xfId="39829"/>
    <cellStyle name="20% - Accent6 3 8 5" xfId="24909"/>
    <cellStyle name="20% - Accent6 3 8 5 2" xfId="44664"/>
    <cellStyle name="20% - Accent6 3 8 6" xfId="35020"/>
    <cellStyle name="20% - Accent6 3 9" xfId="4720"/>
    <cellStyle name="20% - Accent6 3 9 2" xfId="4721"/>
    <cellStyle name="20% - Accent6 3 9 2 2" xfId="20008"/>
    <cellStyle name="20% - Accent6 3 9 2 2 2" xfId="29724"/>
    <cellStyle name="20% - Accent6 3 9 2 2 2 2" xfId="49478"/>
    <cellStyle name="20% - Accent6 3 9 2 2 3" xfId="39834"/>
    <cellStyle name="20% - Accent6 3 9 2 3" xfId="24914"/>
    <cellStyle name="20% - Accent6 3 9 2 3 2" xfId="44669"/>
    <cellStyle name="20% - Accent6 3 9 2 4" xfId="35025"/>
    <cellStyle name="20% - Accent6 3 9 3" xfId="20007"/>
    <cellStyle name="20% - Accent6 3 9 3 2" xfId="29723"/>
    <cellStyle name="20% - Accent6 3 9 3 2 2" xfId="49477"/>
    <cellStyle name="20% - Accent6 3 9 3 3" xfId="39833"/>
    <cellStyle name="20% - Accent6 3 9 4" xfId="24913"/>
    <cellStyle name="20% - Accent6 3 9 4 2" xfId="44668"/>
    <cellStyle name="20% - Accent6 3 9 5" xfId="35024"/>
    <cellStyle name="20% - Accent6 4" xfId="106"/>
    <cellStyle name="20% - Accent6 4 10" xfId="4722"/>
    <cellStyle name="20% - Accent6 4 10 2" xfId="20009"/>
    <cellStyle name="20% - Accent6 4 10 2 2" xfId="29725"/>
    <cellStyle name="20% - Accent6 4 10 2 2 2" xfId="49479"/>
    <cellStyle name="20% - Accent6 4 10 2 3" xfId="39835"/>
    <cellStyle name="20% - Accent6 4 10 3" xfId="24915"/>
    <cellStyle name="20% - Accent6 4 10 3 2" xfId="44670"/>
    <cellStyle name="20% - Accent6 4 10 4" xfId="35026"/>
    <cellStyle name="20% - Accent6 4 11" xfId="4723"/>
    <cellStyle name="20% - Accent6 4 11 2" xfId="20010"/>
    <cellStyle name="20% - Accent6 4 11 2 2" xfId="29726"/>
    <cellStyle name="20% - Accent6 4 11 2 2 2" xfId="49480"/>
    <cellStyle name="20% - Accent6 4 11 2 3" xfId="39836"/>
    <cellStyle name="20% - Accent6 4 11 3" xfId="24916"/>
    <cellStyle name="20% - Accent6 4 11 3 2" xfId="44671"/>
    <cellStyle name="20% - Accent6 4 11 4" xfId="35027"/>
    <cellStyle name="20% - Accent6 4 12" xfId="4724"/>
    <cellStyle name="20% - Accent6 4 12 2" xfId="20011"/>
    <cellStyle name="20% - Accent6 4 12 2 2" xfId="29727"/>
    <cellStyle name="20% - Accent6 4 12 2 2 2" xfId="49481"/>
    <cellStyle name="20% - Accent6 4 12 2 3" xfId="39837"/>
    <cellStyle name="20% - Accent6 4 12 3" xfId="24917"/>
    <cellStyle name="20% - Accent6 4 12 3 2" xfId="44672"/>
    <cellStyle name="20% - Accent6 4 12 4" xfId="35028"/>
    <cellStyle name="20% - Accent6 4 13" xfId="15491"/>
    <cellStyle name="20% - Accent6 4 13 2" xfId="20363"/>
    <cellStyle name="20% - Accent6 4 13 2 2" xfId="30077"/>
    <cellStyle name="20% - Accent6 4 13 2 2 2" xfId="49830"/>
    <cellStyle name="20% - Accent6 4 13 2 3" xfId="40186"/>
    <cellStyle name="20% - Accent6 4 13 3" xfId="25265"/>
    <cellStyle name="20% - Accent6 4 13 3 2" xfId="45019"/>
    <cellStyle name="20% - Accent6 4 13 4" xfId="35375"/>
    <cellStyle name="20% - Accent6 4 14" xfId="15893"/>
    <cellStyle name="20% - Accent6 4 14 2" xfId="25609"/>
    <cellStyle name="20% - Accent6 4 14 2 2" xfId="45363"/>
    <cellStyle name="20% - Accent6 4 14 3" xfId="35719"/>
    <cellStyle name="20% - Accent6 4 15" xfId="20769"/>
    <cellStyle name="20% - Accent6 4 15 2" xfId="40549"/>
    <cellStyle name="20% - Accent6 4 16" xfId="30504"/>
    <cellStyle name="20% - Accent6 4 16 2" xfId="50252"/>
    <cellStyle name="20% - Accent6 4 17" xfId="30880"/>
    <cellStyle name="20% - Accent6 4 2" xfId="107"/>
    <cellStyle name="20% - Accent6 4 2 10" xfId="4725"/>
    <cellStyle name="20% - Accent6 4 2 10 2" xfId="20012"/>
    <cellStyle name="20% - Accent6 4 2 10 2 2" xfId="29728"/>
    <cellStyle name="20% - Accent6 4 2 10 2 2 2" xfId="49482"/>
    <cellStyle name="20% - Accent6 4 2 10 2 3" xfId="39838"/>
    <cellStyle name="20% - Accent6 4 2 10 3" xfId="24918"/>
    <cellStyle name="20% - Accent6 4 2 10 3 2" xfId="44673"/>
    <cellStyle name="20% - Accent6 4 2 10 4" xfId="35029"/>
    <cellStyle name="20% - Accent6 4 2 11" xfId="4726"/>
    <cellStyle name="20% - Accent6 4 2 11 2" xfId="20013"/>
    <cellStyle name="20% - Accent6 4 2 11 2 2" xfId="29729"/>
    <cellStyle name="20% - Accent6 4 2 11 2 2 2" xfId="49483"/>
    <cellStyle name="20% - Accent6 4 2 11 2 3" xfId="39839"/>
    <cellStyle name="20% - Accent6 4 2 11 3" xfId="24919"/>
    <cellStyle name="20% - Accent6 4 2 11 3 2" xfId="44674"/>
    <cellStyle name="20% - Accent6 4 2 11 4" xfId="35030"/>
    <cellStyle name="20% - Accent6 4 2 12" xfId="15492"/>
    <cellStyle name="20% - Accent6 4 2 12 2" xfId="20364"/>
    <cellStyle name="20% - Accent6 4 2 12 2 2" xfId="30078"/>
    <cellStyle name="20% - Accent6 4 2 12 2 2 2" xfId="49831"/>
    <cellStyle name="20% - Accent6 4 2 12 2 3" xfId="40187"/>
    <cellStyle name="20% - Accent6 4 2 12 3" xfId="25266"/>
    <cellStyle name="20% - Accent6 4 2 12 3 2" xfId="45020"/>
    <cellStyle name="20% - Accent6 4 2 12 4" xfId="35376"/>
    <cellStyle name="20% - Accent6 4 2 13" xfId="15894"/>
    <cellStyle name="20% - Accent6 4 2 13 2" xfId="25610"/>
    <cellStyle name="20% - Accent6 4 2 13 2 2" xfId="45364"/>
    <cellStyle name="20% - Accent6 4 2 13 3" xfId="35720"/>
    <cellStyle name="20% - Accent6 4 2 14" xfId="20770"/>
    <cellStyle name="20% - Accent6 4 2 14 2" xfId="40550"/>
    <cellStyle name="20% - Accent6 4 2 15" xfId="30505"/>
    <cellStyle name="20% - Accent6 4 2 15 2" xfId="50253"/>
    <cellStyle name="20% - Accent6 4 2 16" xfId="30881"/>
    <cellStyle name="20% - Accent6 4 2 2" xfId="108"/>
    <cellStyle name="20% - Accent6 4 2 2 10" xfId="15493"/>
    <cellStyle name="20% - Accent6 4 2 2 10 2" xfId="20365"/>
    <cellStyle name="20% - Accent6 4 2 2 10 2 2" xfId="30079"/>
    <cellStyle name="20% - Accent6 4 2 2 10 2 2 2" xfId="49832"/>
    <cellStyle name="20% - Accent6 4 2 2 10 2 3" xfId="40188"/>
    <cellStyle name="20% - Accent6 4 2 2 10 3" xfId="25267"/>
    <cellStyle name="20% - Accent6 4 2 2 10 3 2" xfId="45021"/>
    <cellStyle name="20% - Accent6 4 2 2 10 4" xfId="35377"/>
    <cellStyle name="20% - Accent6 4 2 2 11" xfId="15895"/>
    <cellStyle name="20% - Accent6 4 2 2 11 2" xfId="25611"/>
    <cellStyle name="20% - Accent6 4 2 2 11 2 2" xfId="45365"/>
    <cellStyle name="20% - Accent6 4 2 2 11 3" xfId="35721"/>
    <cellStyle name="20% - Accent6 4 2 2 12" xfId="20771"/>
    <cellStyle name="20% - Accent6 4 2 2 12 2" xfId="40551"/>
    <cellStyle name="20% - Accent6 4 2 2 13" xfId="30506"/>
    <cellStyle name="20% - Accent6 4 2 2 13 2" xfId="50254"/>
    <cellStyle name="20% - Accent6 4 2 2 14" xfId="30882"/>
    <cellStyle name="20% - Accent6 4 2 2 2" xfId="842"/>
    <cellStyle name="20% - Accent6 4 2 2 2 2" xfId="4727"/>
    <cellStyle name="20% - Accent6 4 2 2 2 2 2" xfId="4728"/>
    <cellStyle name="20% - Accent6 4 2 2 2 2 2 2" xfId="4729"/>
    <cellStyle name="20% - Accent6 4 2 2 2 2 2 2 2" xfId="20016"/>
    <cellStyle name="20% - Accent6 4 2 2 2 2 2 2 2 2" xfId="29732"/>
    <cellStyle name="20% - Accent6 4 2 2 2 2 2 2 2 2 2" xfId="49486"/>
    <cellStyle name="20% - Accent6 4 2 2 2 2 2 2 2 3" xfId="39842"/>
    <cellStyle name="20% - Accent6 4 2 2 2 2 2 2 3" xfId="24922"/>
    <cellStyle name="20% - Accent6 4 2 2 2 2 2 2 3 2" xfId="44677"/>
    <cellStyle name="20% - Accent6 4 2 2 2 2 2 2 4" xfId="35033"/>
    <cellStyle name="20% - Accent6 4 2 2 2 2 2 3" xfId="20015"/>
    <cellStyle name="20% - Accent6 4 2 2 2 2 2 3 2" xfId="29731"/>
    <cellStyle name="20% - Accent6 4 2 2 2 2 2 3 2 2" xfId="49485"/>
    <cellStyle name="20% - Accent6 4 2 2 2 2 2 3 3" xfId="39841"/>
    <cellStyle name="20% - Accent6 4 2 2 2 2 2 4" xfId="24921"/>
    <cellStyle name="20% - Accent6 4 2 2 2 2 2 4 2" xfId="44676"/>
    <cellStyle name="20% - Accent6 4 2 2 2 2 2 5" xfId="35032"/>
    <cellStyle name="20% - Accent6 4 2 2 2 2 3" xfId="4730"/>
    <cellStyle name="20% - Accent6 4 2 2 2 2 3 2" xfId="20017"/>
    <cellStyle name="20% - Accent6 4 2 2 2 2 3 2 2" xfId="29733"/>
    <cellStyle name="20% - Accent6 4 2 2 2 2 3 2 2 2" xfId="49487"/>
    <cellStyle name="20% - Accent6 4 2 2 2 2 3 2 3" xfId="39843"/>
    <cellStyle name="20% - Accent6 4 2 2 2 2 3 3" xfId="24923"/>
    <cellStyle name="20% - Accent6 4 2 2 2 2 3 3 2" xfId="44678"/>
    <cellStyle name="20% - Accent6 4 2 2 2 2 3 4" xfId="35034"/>
    <cellStyle name="20% - Accent6 4 2 2 2 2 4" xfId="20014"/>
    <cellStyle name="20% - Accent6 4 2 2 2 2 4 2" xfId="29730"/>
    <cellStyle name="20% - Accent6 4 2 2 2 2 4 2 2" xfId="49484"/>
    <cellStyle name="20% - Accent6 4 2 2 2 2 4 3" xfId="39840"/>
    <cellStyle name="20% - Accent6 4 2 2 2 2 5" xfId="24920"/>
    <cellStyle name="20% - Accent6 4 2 2 2 2 5 2" xfId="44675"/>
    <cellStyle name="20% - Accent6 4 2 2 2 2 6" xfId="35031"/>
    <cellStyle name="20% - Accent6 4 2 2 2 3" xfId="4731"/>
    <cellStyle name="20% - Accent6 4 2 2 2 3 2" xfId="4732"/>
    <cellStyle name="20% - Accent6 4 2 2 2 3 2 2" xfId="20019"/>
    <cellStyle name="20% - Accent6 4 2 2 2 3 2 2 2" xfId="29735"/>
    <cellStyle name="20% - Accent6 4 2 2 2 3 2 2 2 2" xfId="49489"/>
    <cellStyle name="20% - Accent6 4 2 2 2 3 2 2 3" xfId="39845"/>
    <cellStyle name="20% - Accent6 4 2 2 2 3 2 3" xfId="24925"/>
    <cellStyle name="20% - Accent6 4 2 2 2 3 2 3 2" xfId="44680"/>
    <cellStyle name="20% - Accent6 4 2 2 2 3 2 4" xfId="35036"/>
    <cellStyle name="20% - Accent6 4 2 2 2 3 3" xfId="20018"/>
    <cellStyle name="20% - Accent6 4 2 2 2 3 3 2" xfId="29734"/>
    <cellStyle name="20% - Accent6 4 2 2 2 3 3 2 2" xfId="49488"/>
    <cellStyle name="20% - Accent6 4 2 2 2 3 3 3" xfId="39844"/>
    <cellStyle name="20% - Accent6 4 2 2 2 3 4" xfId="24924"/>
    <cellStyle name="20% - Accent6 4 2 2 2 3 4 2" xfId="44679"/>
    <cellStyle name="20% - Accent6 4 2 2 2 3 5" xfId="35035"/>
    <cellStyle name="20% - Accent6 4 2 2 2 4" xfId="4733"/>
    <cellStyle name="20% - Accent6 4 2 2 2 4 2" xfId="20020"/>
    <cellStyle name="20% - Accent6 4 2 2 2 4 2 2" xfId="29736"/>
    <cellStyle name="20% - Accent6 4 2 2 2 4 2 2 2" xfId="49490"/>
    <cellStyle name="20% - Accent6 4 2 2 2 4 2 3" xfId="39846"/>
    <cellStyle name="20% - Accent6 4 2 2 2 4 3" xfId="24926"/>
    <cellStyle name="20% - Accent6 4 2 2 2 4 3 2" xfId="44681"/>
    <cellStyle name="20% - Accent6 4 2 2 2 4 4" xfId="35037"/>
    <cellStyle name="20% - Accent6 4 2 2 2 5" xfId="15494"/>
    <cellStyle name="20% - Accent6 4 2 2 2 5 2" xfId="20366"/>
    <cellStyle name="20% - Accent6 4 2 2 2 5 2 2" xfId="30080"/>
    <cellStyle name="20% - Accent6 4 2 2 2 5 2 2 2" xfId="49833"/>
    <cellStyle name="20% - Accent6 4 2 2 2 5 2 3" xfId="40189"/>
    <cellStyle name="20% - Accent6 4 2 2 2 5 3" xfId="25268"/>
    <cellStyle name="20% - Accent6 4 2 2 2 5 3 2" xfId="45022"/>
    <cellStyle name="20% - Accent6 4 2 2 2 5 4" xfId="35378"/>
    <cellStyle name="20% - Accent6 4 2 2 2 6" xfId="16189"/>
    <cellStyle name="20% - Accent6 4 2 2 2 6 2" xfId="25905"/>
    <cellStyle name="20% - Accent6 4 2 2 2 6 2 2" xfId="45659"/>
    <cellStyle name="20% - Accent6 4 2 2 2 6 3" xfId="36015"/>
    <cellStyle name="20% - Accent6 4 2 2 2 7" xfId="21095"/>
    <cellStyle name="20% - Accent6 4 2 2 2 7 2" xfId="40850"/>
    <cellStyle name="20% - Accent6 4 2 2 2 8" xfId="30507"/>
    <cellStyle name="20% - Accent6 4 2 2 2 8 2" xfId="50255"/>
    <cellStyle name="20% - Accent6 4 2 2 2 9" xfId="31206"/>
    <cellStyle name="20% - Accent6 4 2 2 3" xfId="843"/>
    <cellStyle name="20% - Accent6 4 2 2 3 2" xfId="4734"/>
    <cellStyle name="20% - Accent6 4 2 2 3 2 2" xfId="4735"/>
    <cellStyle name="20% - Accent6 4 2 2 3 2 2 2" xfId="4736"/>
    <cellStyle name="20% - Accent6 4 2 2 3 2 2 2 2" xfId="20023"/>
    <cellStyle name="20% - Accent6 4 2 2 3 2 2 2 2 2" xfId="29739"/>
    <cellStyle name="20% - Accent6 4 2 2 3 2 2 2 2 2 2" xfId="49493"/>
    <cellStyle name="20% - Accent6 4 2 2 3 2 2 2 2 3" xfId="39849"/>
    <cellStyle name="20% - Accent6 4 2 2 3 2 2 2 3" xfId="24929"/>
    <cellStyle name="20% - Accent6 4 2 2 3 2 2 2 3 2" xfId="44684"/>
    <cellStyle name="20% - Accent6 4 2 2 3 2 2 2 4" xfId="35040"/>
    <cellStyle name="20% - Accent6 4 2 2 3 2 2 3" xfId="20022"/>
    <cellStyle name="20% - Accent6 4 2 2 3 2 2 3 2" xfId="29738"/>
    <cellStyle name="20% - Accent6 4 2 2 3 2 2 3 2 2" xfId="49492"/>
    <cellStyle name="20% - Accent6 4 2 2 3 2 2 3 3" xfId="39848"/>
    <cellStyle name="20% - Accent6 4 2 2 3 2 2 4" xfId="24928"/>
    <cellStyle name="20% - Accent6 4 2 2 3 2 2 4 2" xfId="44683"/>
    <cellStyle name="20% - Accent6 4 2 2 3 2 2 5" xfId="35039"/>
    <cellStyle name="20% - Accent6 4 2 2 3 2 3" xfId="4737"/>
    <cellStyle name="20% - Accent6 4 2 2 3 2 3 2" xfId="20024"/>
    <cellStyle name="20% - Accent6 4 2 2 3 2 3 2 2" xfId="29740"/>
    <cellStyle name="20% - Accent6 4 2 2 3 2 3 2 2 2" xfId="49494"/>
    <cellStyle name="20% - Accent6 4 2 2 3 2 3 2 3" xfId="39850"/>
    <cellStyle name="20% - Accent6 4 2 2 3 2 3 3" xfId="24930"/>
    <cellStyle name="20% - Accent6 4 2 2 3 2 3 3 2" xfId="44685"/>
    <cellStyle name="20% - Accent6 4 2 2 3 2 3 4" xfId="35041"/>
    <cellStyle name="20% - Accent6 4 2 2 3 2 4" xfId="20021"/>
    <cellStyle name="20% - Accent6 4 2 2 3 2 4 2" xfId="29737"/>
    <cellStyle name="20% - Accent6 4 2 2 3 2 4 2 2" xfId="49491"/>
    <cellStyle name="20% - Accent6 4 2 2 3 2 4 3" xfId="39847"/>
    <cellStyle name="20% - Accent6 4 2 2 3 2 5" xfId="24927"/>
    <cellStyle name="20% - Accent6 4 2 2 3 2 5 2" xfId="44682"/>
    <cellStyle name="20% - Accent6 4 2 2 3 2 6" xfId="35038"/>
    <cellStyle name="20% - Accent6 4 2 2 3 3" xfId="4738"/>
    <cellStyle name="20% - Accent6 4 2 2 3 3 2" xfId="4739"/>
    <cellStyle name="20% - Accent6 4 2 2 3 3 2 2" xfId="20026"/>
    <cellStyle name="20% - Accent6 4 2 2 3 3 2 2 2" xfId="29742"/>
    <cellStyle name="20% - Accent6 4 2 2 3 3 2 2 2 2" xfId="49496"/>
    <cellStyle name="20% - Accent6 4 2 2 3 3 2 2 3" xfId="39852"/>
    <cellStyle name="20% - Accent6 4 2 2 3 3 2 3" xfId="24932"/>
    <cellStyle name="20% - Accent6 4 2 2 3 3 2 3 2" xfId="44687"/>
    <cellStyle name="20% - Accent6 4 2 2 3 3 2 4" xfId="35043"/>
    <cellStyle name="20% - Accent6 4 2 2 3 3 3" xfId="20025"/>
    <cellStyle name="20% - Accent6 4 2 2 3 3 3 2" xfId="29741"/>
    <cellStyle name="20% - Accent6 4 2 2 3 3 3 2 2" xfId="49495"/>
    <cellStyle name="20% - Accent6 4 2 2 3 3 3 3" xfId="39851"/>
    <cellStyle name="20% - Accent6 4 2 2 3 3 4" xfId="24931"/>
    <cellStyle name="20% - Accent6 4 2 2 3 3 4 2" xfId="44686"/>
    <cellStyle name="20% - Accent6 4 2 2 3 3 5" xfId="35042"/>
    <cellStyle name="20% - Accent6 4 2 2 3 4" xfId="4740"/>
    <cellStyle name="20% - Accent6 4 2 2 3 4 2" xfId="20027"/>
    <cellStyle name="20% - Accent6 4 2 2 3 4 2 2" xfId="29743"/>
    <cellStyle name="20% - Accent6 4 2 2 3 4 2 2 2" xfId="49497"/>
    <cellStyle name="20% - Accent6 4 2 2 3 4 2 3" xfId="39853"/>
    <cellStyle name="20% - Accent6 4 2 2 3 4 3" xfId="24933"/>
    <cellStyle name="20% - Accent6 4 2 2 3 4 3 2" xfId="44688"/>
    <cellStyle name="20% - Accent6 4 2 2 3 4 4" xfId="35044"/>
    <cellStyle name="20% - Accent6 4 2 2 3 5" xfId="16190"/>
    <cellStyle name="20% - Accent6 4 2 2 3 5 2" xfId="25906"/>
    <cellStyle name="20% - Accent6 4 2 2 3 5 2 2" xfId="45660"/>
    <cellStyle name="20% - Accent6 4 2 2 3 5 3" xfId="36016"/>
    <cellStyle name="20% - Accent6 4 2 2 3 6" xfId="21096"/>
    <cellStyle name="20% - Accent6 4 2 2 3 6 2" xfId="40851"/>
    <cellStyle name="20% - Accent6 4 2 2 3 7" xfId="31207"/>
    <cellStyle name="20% - Accent6 4 2 2 4" xfId="4741"/>
    <cellStyle name="20% - Accent6 4 2 2 4 2" xfId="4742"/>
    <cellStyle name="20% - Accent6 4 2 2 4 2 2" xfId="4743"/>
    <cellStyle name="20% - Accent6 4 2 2 4 2 2 2" xfId="4744"/>
    <cellStyle name="20% - Accent6 4 2 2 4 2 2 2 2" xfId="20031"/>
    <cellStyle name="20% - Accent6 4 2 2 4 2 2 2 2 2" xfId="29747"/>
    <cellStyle name="20% - Accent6 4 2 2 4 2 2 2 2 2 2" xfId="49501"/>
    <cellStyle name="20% - Accent6 4 2 2 4 2 2 2 2 3" xfId="39857"/>
    <cellStyle name="20% - Accent6 4 2 2 4 2 2 2 3" xfId="24937"/>
    <cellStyle name="20% - Accent6 4 2 2 4 2 2 2 3 2" xfId="44692"/>
    <cellStyle name="20% - Accent6 4 2 2 4 2 2 2 4" xfId="35048"/>
    <cellStyle name="20% - Accent6 4 2 2 4 2 2 3" xfId="20030"/>
    <cellStyle name="20% - Accent6 4 2 2 4 2 2 3 2" xfId="29746"/>
    <cellStyle name="20% - Accent6 4 2 2 4 2 2 3 2 2" xfId="49500"/>
    <cellStyle name="20% - Accent6 4 2 2 4 2 2 3 3" xfId="39856"/>
    <cellStyle name="20% - Accent6 4 2 2 4 2 2 4" xfId="24936"/>
    <cellStyle name="20% - Accent6 4 2 2 4 2 2 4 2" xfId="44691"/>
    <cellStyle name="20% - Accent6 4 2 2 4 2 2 5" xfId="35047"/>
    <cellStyle name="20% - Accent6 4 2 2 4 2 3" xfId="4745"/>
    <cellStyle name="20% - Accent6 4 2 2 4 2 3 2" xfId="20032"/>
    <cellStyle name="20% - Accent6 4 2 2 4 2 3 2 2" xfId="29748"/>
    <cellStyle name="20% - Accent6 4 2 2 4 2 3 2 2 2" xfId="49502"/>
    <cellStyle name="20% - Accent6 4 2 2 4 2 3 2 3" xfId="39858"/>
    <cellStyle name="20% - Accent6 4 2 2 4 2 3 3" xfId="24938"/>
    <cellStyle name="20% - Accent6 4 2 2 4 2 3 3 2" xfId="44693"/>
    <cellStyle name="20% - Accent6 4 2 2 4 2 3 4" xfId="35049"/>
    <cellStyle name="20% - Accent6 4 2 2 4 2 4" xfId="20029"/>
    <cellStyle name="20% - Accent6 4 2 2 4 2 4 2" xfId="29745"/>
    <cellStyle name="20% - Accent6 4 2 2 4 2 4 2 2" xfId="49499"/>
    <cellStyle name="20% - Accent6 4 2 2 4 2 4 3" xfId="39855"/>
    <cellStyle name="20% - Accent6 4 2 2 4 2 5" xfId="24935"/>
    <cellStyle name="20% - Accent6 4 2 2 4 2 5 2" xfId="44690"/>
    <cellStyle name="20% - Accent6 4 2 2 4 2 6" xfId="35046"/>
    <cellStyle name="20% - Accent6 4 2 2 4 3" xfId="4746"/>
    <cellStyle name="20% - Accent6 4 2 2 4 3 2" xfId="4747"/>
    <cellStyle name="20% - Accent6 4 2 2 4 3 2 2" xfId="20034"/>
    <cellStyle name="20% - Accent6 4 2 2 4 3 2 2 2" xfId="29750"/>
    <cellStyle name="20% - Accent6 4 2 2 4 3 2 2 2 2" xfId="49504"/>
    <cellStyle name="20% - Accent6 4 2 2 4 3 2 2 3" xfId="39860"/>
    <cellStyle name="20% - Accent6 4 2 2 4 3 2 3" xfId="24940"/>
    <cellStyle name="20% - Accent6 4 2 2 4 3 2 3 2" xfId="44695"/>
    <cellStyle name="20% - Accent6 4 2 2 4 3 2 4" xfId="35051"/>
    <cellStyle name="20% - Accent6 4 2 2 4 3 3" xfId="20033"/>
    <cellStyle name="20% - Accent6 4 2 2 4 3 3 2" xfId="29749"/>
    <cellStyle name="20% - Accent6 4 2 2 4 3 3 2 2" xfId="49503"/>
    <cellStyle name="20% - Accent6 4 2 2 4 3 3 3" xfId="39859"/>
    <cellStyle name="20% - Accent6 4 2 2 4 3 4" xfId="24939"/>
    <cellStyle name="20% - Accent6 4 2 2 4 3 4 2" xfId="44694"/>
    <cellStyle name="20% - Accent6 4 2 2 4 3 5" xfId="35050"/>
    <cellStyle name="20% - Accent6 4 2 2 4 4" xfId="4748"/>
    <cellStyle name="20% - Accent6 4 2 2 4 4 2" xfId="20035"/>
    <cellStyle name="20% - Accent6 4 2 2 4 4 2 2" xfId="29751"/>
    <cellStyle name="20% - Accent6 4 2 2 4 4 2 2 2" xfId="49505"/>
    <cellStyle name="20% - Accent6 4 2 2 4 4 2 3" xfId="39861"/>
    <cellStyle name="20% - Accent6 4 2 2 4 4 3" xfId="24941"/>
    <cellStyle name="20% - Accent6 4 2 2 4 4 3 2" xfId="44696"/>
    <cellStyle name="20% - Accent6 4 2 2 4 4 4" xfId="35052"/>
    <cellStyle name="20% - Accent6 4 2 2 4 5" xfId="20028"/>
    <cellStyle name="20% - Accent6 4 2 2 4 5 2" xfId="29744"/>
    <cellStyle name="20% - Accent6 4 2 2 4 5 2 2" xfId="49498"/>
    <cellStyle name="20% - Accent6 4 2 2 4 5 3" xfId="39854"/>
    <cellStyle name="20% - Accent6 4 2 2 4 6" xfId="24934"/>
    <cellStyle name="20% - Accent6 4 2 2 4 6 2" xfId="44689"/>
    <cellStyle name="20% - Accent6 4 2 2 4 7" xfId="35045"/>
    <cellStyle name="20% - Accent6 4 2 2 5" xfId="4749"/>
    <cellStyle name="20% - Accent6 4 2 2 5 2" xfId="4750"/>
    <cellStyle name="20% - Accent6 4 2 2 5 2 2" xfId="4751"/>
    <cellStyle name="20% - Accent6 4 2 2 5 2 2 2" xfId="20038"/>
    <cellStyle name="20% - Accent6 4 2 2 5 2 2 2 2" xfId="29754"/>
    <cellStyle name="20% - Accent6 4 2 2 5 2 2 2 2 2" xfId="49508"/>
    <cellStyle name="20% - Accent6 4 2 2 5 2 2 2 3" xfId="39864"/>
    <cellStyle name="20% - Accent6 4 2 2 5 2 2 3" xfId="24944"/>
    <cellStyle name="20% - Accent6 4 2 2 5 2 2 3 2" xfId="44699"/>
    <cellStyle name="20% - Accent6 4 2 2 5 2 2 4" xfId="35055"/>
    <cellStyle name="20% - Accent6 4 2 2 5 2 3" xfId="20037"/>
    <cellStyle name="20% - Accent6 4 2 2 5 2 3 2" xfId="29753"/>
    <cellStyle name="20% - Accent6 4 2 2 5 2 3 2 2" xfId="49507"/>
    <cellStyle name="20% - Accent6 4 2 2 5 2 3 3" xfId="39863"/>
    <cellStyle name="20% - Accent6 4 2 2 5 2 4" xfId="24943"/>
    <cellStyle name="20% - Accent6 4 2 2 5 2 4 2" xfId="44698"/>
    <cellStyle name="20% - Accent6 4 2 2 5 2 5" xfId="35054"/>
    <cellStyle name="20% - Accent6 4 2 2 5 3" xfId="4752"/>
    <cellStyle name="20% - Accent6 4 2 2 5 3 2" xfId="20039"/>
    <cellStyle name="20% - Accent6 4 2 2 5 3 2 2" xfId="29755"/>
    <cellStyle name="20% - Accent6 4 2 2 5 3 2 2 2" xfId="49509"/>
    <cellStyle name="20% - Accent6 4 2 2 5 3 2 3" xfId="39865"/>
    <cellStyle name="20% - Accent6 4 2 2 5 3 3" xfId="24945"/>
    <cellStyle name="20% - Accent6 4 2 2 5 3 3 2" xfId="44700"/>
    <cellStyle name="20% - Accent6 4 2 2 5 3 4" xfId="35056"/>
    <cellStyle name="20% - Accent6 4 2 2 5 4" xfId="20036"/>
    <cellStyle name="20% - Accent6 4 2 2 5 4 2" xfId="29752"/>
    <cellStyle name="20% - Accent6 4 2 2 5 4 2 2" xfId="49506"/>
    <cellStyle name="20% - Accent6 4 2 2 5 4 3" xfId="39862"/>
    <cellStyle name="20% - Accent6 4 2 2 5 5" xfId="24942"/>
    <cellStyle name="20% - Accent6 4 2 2 5 5 2" xfId="44697"/>
    <cellStyle name="20% - Accent6 4 2 2 5 6" xfId="35053"/>
    <cellStyle name="20% - Accent6 4 2 2 6" xfId="4753"/>
    <cellStyle name="20% - Accent6 4 2 2 6 2" xfId="4754"/>
    <cellStyle name="20% - Accent6 4 2 2 6 2 2" xfId="20041"/>
    <cellStyle name="20% - Accent6 4 2 2 6 2 2 2" xfId="29757"/>
    <cellStyle name="20% - Accent6 4 2 2 6 2 2 2 2" xfId="49511"/>
    <cellStyle name="20% - Accent6 4 2 2 6 2 2 3" xfId="39867"/>
    <cellStyle name="20% - Accent6 4 2 2 6 2 3" xfId="24947"/>
    <cellStyle name="20% - Accent6 4 2 2 6 2 3 2" xfId="44702"/>
    <cellStyle name="20% - Accent6 4 2 2 6 2 4" xfId="35058"/>
    <cellStyle name="20% - Accent6 4 2 2 6 3" xfId="20040"/>
    <cellStyle name="20% - Accent6 4 2 2 6 3 2" xfId="29756"/>
    <cellStyle name="20% - Accent6 4 2 2 6 3 2 2" xfId="49510"/>
    <cellStyle name="20% - Accent6 4 2 2 6 3 3" xfId="39866"/>
    <cellStyle name="20% - Accent6 4 2 2 6 4" xfId="24946"/>
    <cellStyle name="20% - Accent6 4 2 2 6 4 2" xfId="44701"/>
    <cellStyle name="20% - Accent6 4 2 2 6 5" xfId="35057"/>
    <cellStyle name="20% - Accent6 4 2 2 7" xfId="4755"/>
    <cellStyle name="20% - Accent6 4 2 2 7 2" xfId="20042"/>
    <cellStyle name="20% - Accent6 4 2 2 7 2 2" xfId="29758"/>
    <cellStyle name="20% - Accent6 4 2 2 7 2 2 2" xfId="49512"/>
    <cellStyle name="20% - Accent6 4 2 2 7 2 3" xfId="39868"/>
    <cellStyle name="20% - Accent6 4 2 2 7 3" xfId="24948"/>
    <cellStyle name="20% - Accent6 4 2 2 7 3 2" xfId="44703"/>
    <cellStyle name="20% - Accent6 4 2 2 7 4" xfId="35059"/>
    <cellStyle name="20% - Accent6 4 2 2 8" xfId="4756"/>
    <cellStyle name="20% - Accent6 4 2 2 8 2" xfId="20043"/>
    <cellStyle name="20% - Accent6 4 2 2 8 2 2" xfId="29759"/>
    <cellStyle name="20% - Accent6 4 2 2 8 2 2 2" xfId="49513"/>
    <cellStyle name="20% - Accent6 4 2 2 8 2 3" xfId="39869"/>
    <cellStyle name="20% - Accent6 4 2 2 8 3" xfId="24949"/>
    <cellStyle name="20% - Accent6 4 2 2 8 3 2" xfId="44704"/>
    <cellStyle name="20% - Accent6 4 2 2 8 4" xfId="35060"/>
    <cellStyle name="20% - Accent6 4 2 2 9" xfId="4757"/>
    <cellStyle name="20% - Accent6 4 2 2 9 2" xfId="20044"/>
    <cellStyle name="20% - Accent6 4 2 2 9 2 2" xfId="29760"/>
    <cellStyle name="20% - Accent6 4 2 2 9 2 2 2" xfId="49514"/>
    <cellStyle name="20% - Accent6 4 2 2 9 2 3" xfId="39870"/>
    <cellStyle name="20% - Accent6 4 2 2 9 3" xfId="24950"/>
    <cellStyle name="20% - Accent6 4 2 2 9 3 2" xfId="44705"/>
    <cellStyle name="20% - Accent6 4 2 2 9 4" xfId="35061"/>
    <cellStyle name="20% - Accent6 4 2 3" xfId="844"/>
    <cellStyle name="20% - Accent6 4 2 3 2" xfId="4758"/>
    <cellStyle name="20% - Accent6 4 2 3 2 2" xfId="4759"/>
    <cellStyle name="20% - Accent6 4 2 3 2 2 2" xfId="4760"/>
    <cellStyle name="20% - Accent6 4 2 3 2 2 2 2" xfId="20047"/>
    <cellStyle name="20% - Accent6 4 2 3 2 2 2 2 2" xfId="29763"/>
    <cellStyle name="20% - Accent6 4 2 3 2 2 2 2 2 2" xfId="49517"/>
    <cellStyle name="20% - Accent6 4 2 3 2 2 2 2 3" xfId="39873"/>
    <cellStyle name="20% - Accent6 4 2 3 2 2 2 3" xfId="24953"/>
    <cellStyle name="20% - Accent6 4 2 3 2 2 2 3 2" xfId="44708"/>
    <cellStyle name="20% - Accent6 4 2 3 2 2 2 4" xfId="35064"/>
    <cellStyle name="20% - Accent6 4 2 3 2 2 3" xfId="20046"/>
    <cellStyle name="20% - Accent6 4 2 3 2 2 3 2" xfId="29762"/>
    <cellStyle name="20% - Accent6 4 2 3 2 2 3 2 2" xfId="49516"/>
    <cellStyle name="20% - Accent6 4 2 3 2 2 3 3" xfId="39872"/>
    <cellStyle name="20% - Accent6 4 2 3 2 2 4" xfId="24952"/>
    <cellStyle name="20% - Accent6 4 2 3 2 2 4 2" xfId="44707"/>
    <cellStyle name="20% - Accent6 4 2 3 2 2 5" xfId="35063"/>
    <cellStyle name="20% - Accent6 4 2 3 2 3" xfId="4761"/>
    <cellStyle name="20% - Accent6 4 2 3 2 3 2" xfId="20048"/>
    <cellStyle name="20% - Accent6 4 2 3 2 3 2 2" xfId="29764"/>
    <cellStyle name="20% - Accent6 4 2 3 2 3 2 2 2" xfId="49518"/>
    <cellStyle name="20% - Accent6 4 2 3 2 3 2 3" xfId="39874"/>
    <cellStyle name="20% - Accent6 4 2 3 2 3 3" xfId="24954"/>
    <cellStyle name="20% - Accent6 4 2 3 2 3 3 2" xfId="44709"/>
    <cellStyle name="20% - Accent6 4 2 3 2 3 4" xfId="35065"/>
    <cellStyle name="20% - Accent6 4 2 3 2 4" xfId="20045"/>
    <cellStyle name="20% - Accent6 4 2 3 2 4 2" xfId="29761"/>
    <cellStyle name="20% - Accent6 4 2 3 2 4 2 2" xfId="49515"/>
    <cellStyle name="20% - Accent6 4 2 3 2 4 3" xfId="39871"/>
    <cellStyle name="20% - Accent6 4 2 3 2 5" xfId="24951"/>
    <cellStyle name="20% - Accent6 4 2 3 2 5 2" xfId="44706"/>
    <cellStyle name="20% - Accent6 4 2 3 2 6" xfId="35062"/>
    <cellStyle name="20% - Accent6 4 2 3 3" xfId="4762"/>
    <cellStyle name="20% - Accent6 4 2 3 3 2" xfId="4763"/>
    <cellStyle name="20% - Accent6 4 2 3 3 2 2" xfId="20050"/>
    <cellStyle name="20% - Accent6 4 2 3 3 2 2 2" xfId="29766"/>
    <cellStyle name="20% - Accent6 4 2 3 3 2 2 2 2" xfId="49520"/>
    <cellStyle name="20% - Accent6 4 2 3 3 2 2 3" xfId="39876"/>
    <cellStyle name="20% - Accent6 4 2 3 3 2 3" xfId="24956"/>
    <cellStyle name="20% - Accent6 4 2 3 3 2 3 2" xfId="44711"/>
    <cellStyle name="20% - Accent6 4 2 3 3 2 4" xfId="35067"/>
    <cellStyle name="20% - Accent6 4 2 3 3 3" xfId="20049"/>
    <cellStyle name="20% - Accent6 4 2 3 3 3 2" xfId="29765"/>
    <cellStyle name="20% - Accent6 4 2 3 3 3 2 2" xfId="49519"/>
    <cellStyle name="20% - Accent6 4 2 3 3 3 3" xfId="39875"/>
    <cellStyle name="20% - Accent6 4 2 3 3 4" xfId="24955"/>
    <cellStyle name="20% - Accent6 4 2 3 3 4 2" xfId="44710"/>
    <cellStyle name="20% - Accent6 4 2 3 3 5" xfId="35066"/>
    <cellStyle name="20% - Accent6 4 2 3 4" xfId="4764"/>
    <cellStyle name="20% - Accent6 4 2 3 4 2" xfId="20051"/>
    <cellStyle name="20% - Accent6 4 2 3 4 2 2" xfId="29767"/>
    <cellStyle name="20% - Accent6 4 2 3 4 2 2 2" xfId="49521"/>
    <cellStyle name="20% - Accent6 4 2 3 4 2 3" xfId="39877"/>
    <cellStyle name="20% - Accent6 4 2 3 4 3" xfId="24957"/>
    <cellStyle name="20% - Accent6 4 2 3 4 3 2" xfId="44712"/>
    <cellStyle name="20% - Accent6 4 2 3 4 4" xfId="35068"/>
    <cellStyle name="20% - Accent6 4 2 3 5" xfId="15495"/>
    <cellStyle name="20% - Accent6 4 2 3 5 2" xfId="20367"/>
    <cellStyle name="20% - Accent6 4 2 3 5 2 2" xfId="30081"/>
    <cellStyle name="20% - Accent6 4 2 3 5 2 2 2" xfId="49834"/>
    <cellStyle name="20% - Accent6 4 2 3 5 2 3" xfId="40190"/>
    <cellStyle name="20% - Accent6 4 2 3 5 3" xfId="25269"/>
    <cellStyle name="20% - Accent6 4 2 3 5 3 2" xfId="45023"/>
    <cellStyle name="20% - Accent6 4 2 3 5 4" xfId="35379"/>
    <cellStyle name="20% - Accent6 4 2 3 6" xfId="16191"/>
    <cellStyle name="20% - Accent6 4 2 3 6 2" xfId="25907"/>
    <cellStyle name="20% - Accent6 4 2 3 6 2 2" xfId="45661"/>
    <cellStyle name="20% - Accent6 4 2 3 6 3" xfId="36017"/>
    <cellStyle name="20% - Accent6 4 2 3 7" xfId="21097"/>
    <cellStyle name="20% - Accent6 4 2 3 7 2" xfId="40852"/>
    <cellStyle name="20% - Accent6 4 2 3 8" xfId="30508"/>
    <cellStyle name="20% - Accent6 4 2 3 8 2" xfId="50256"/>
    <cellStyle name="20% - Accent6 4 2 3 9" xfId="31208"/>
    <cellStyle name="20% - Accent6 4 2 4" xfId="845"/>
    <cellStyle name="20% - Accent6 4 2 4 2" xfId="4765"/>
    <cellStyle name="20% - Accent6 4 2 4 2 2" xfId="4766"/>
    <cellStyle name="20% - Accent6 4 2 4 2 2 2" xfId="4767"/>
    <cellStyle name="20% - Accent6 4 2 4 2 2 2 2" xfId="20054"/>
    <cellStyle name="20% - Accent6 4 2 4 2 2 2 2 2" xfId="29770"/>
    <cellStyle name="20% - Accent6 4 2 4 2 2 2 2 2 2" xfId="49524"/>
    <cellStyle name="20% - Accent6 4 2 4 2 2 2 2 3" xfId="39880"/>
    <cellStyle name="20% - Accent6 4 2 4 2 2 2 3" xfId="24960"/>
    <cellStyle name="20% - Accent6 4 2 4 2 2 2 3 2" xfId="44715"/>
    <cellStyle name="20% - Accent6 4 2 4 2 2 2 4" xfId="35071"/>
    <cellStyle name="20% - Accent6 4 2 4 2 2 3" xfId="20053"/>
    <cellStyle name="20% - Accent6 4 2 4 2 2 3 2" xfId="29769"/>
    <cellStyle name="20% - Accent6 4 2 4 2 2 3 2 2" xfId="49523"/>
    <cellStyle name="20% - Accent6 4 2 4 2 2 3 3" xfId="39879"/>
    <cellStyle name="20% - Accent6 4 2 4 2 2 4" xfId="24959"/>
    <cellStyle name="20% - Accent6 4 2 4 2 2 4 2" xfId="44714"/>
    <cellStyle name="20% - Accent6 4 2 4 2 2 5" xfId="35070"/>
    <cellStyle name="20% - Accent6 4 2 4 2 3" xfId="4768"/>
    <cellStyle name="20% - Accent6 4 2 4 2 3 2" xfId="20055"/>
    <cellStyle name="20% - Accent6 4 2 4 2 3 2 2" xfId="29771"/>
    <cellStyle name="20% - Accent6 4 2 4 2 3 2 2 2" xfId="49525"/>
    <cellStyle name="20% - Accent6 4 2 4 2 3 2 3" xfId="39881"/>
    <cellStyle name="20% - Accent6 4 2 4 2 3 3" xfId="24961"/>
    <cellStyle name="20% - Accent6 4 2 4 2 3 3 2" xfId="44716"/>
    <cellStyle name="20% - Accent6 4 2 4 2 3 4" xfId="35072"/>
    <cellStyle name="20% - Accent6 4 2 4 2 4" xfId="20052"/>
    <cellStyle name="20% - Accent6 4 2 4 2 4 2" xfId="29768"/>
    <cellStyle name="20% - Accent6 4 2 4 2 4 2 2" xfId="49522"/>
    <cellStyle name="20% - Accent6 4 2 4 2 4 3" xfId="39878"/>
    <cellStyle name="20% - Accent6 4 2 4 2 5" xfId="24958"/>
    <cellStyle name="20% - Accent6 4 2 4 2 5 2" xfId="44713"/>
    <cellStyle name="20% - Accent6 4 2 4 2 6" xfId="35069"/>
    <cellStyle name="20% - Accent6 4 2 4 3" xfId="4769"/>
    <cellStyle name="20% - Accent6 4 2 4 3 2" xfId="4770"/>
    <cellStyle name="20% - Accent6 4 2 4 3 2 2" xfId="20057"/>
    <cellStyle name="20% - Accent6 4 2 4 3 2 2 2" xfId="29773"/>
    <cellStyle name="20% - Accent6 4 2 4 3 2 2 2 2" xfId="49527"/>
    <cellStyle name="20% - Accent6 4 2 4 3 2 2 3" xfId="39883"/>
    <cellStyle name="20% - Accent6 4 2 4 3 2 3" xfId="24963"/>
    <cellStyle name="20% - Accent6 4 2 4 3 2 3 2" xfId="44718"/>
    <cellStyle name="20% - Accent6 4 2 4 3 2 4" xfId="35074"/>
    <cellStyle name="20% - Accent6 4 2 4 3 3" xfId="20056"/>
    <cellStyle name="20% - Accent6 4 2 4 3 3 2" xfId="29772"/>
    <cellStyle name="20% - Accent6 4 2 4 3 3 2 2" xfId="49526"/>
    <cellStyle name="20% - Accent6 4 2 4 3 3 3" xfId="39882"/>
    <cellStyle name="20% - Accent6 4 2 4 3 4" xfId="24962"/>
    <cellStyle name="20% - Accent6 4 2 4 3 4 2" xfId="44717"/>
    <cellStyle name="20% - Accent6 4 2 4 3 5" xfId="35073"/>
    <cellStyle name="20% - Accent6 4 2 4 4" xfId="4771"/>
    <cellStyle name="20% - Accent6 4 2 4 4 2" xfId="20058"/>
    <cellStyle name="20% - Accent6 4 2 4 4 2 2" xfId="29774"/>
    <cellStyle name="20% - Accent6 4 2 4 4 2 2 2" xfId="49528"/>
    <cellStyle name="20% - Accent6 4 2 4 4 2 3" xfId="39884"/>
    <cellStyle name="20% - Accent6 4 2 4 4 3" xfId="24964"/>
    <cellStyle name="20% - Accent6 4 2 4 4 3 2" xfId="44719"/>
    <cellStyle name="20% - Accent6 4 2 4 4 4" xfId="35075"/>
    <cellStyle name="20% - Accent6 4 2 4 5" xfId="16192"/>
    <cellStyle name="20% - Accent6 4 2 4 5 2" xfId="25908"/>
    <cellStyle name="20% - Accent6 4 2 4 5 2 2" xfId="45662"/>
    <cellStyle name="20% - Accent6 4 2 4 5 3" xfId="36018"/>
    <cellStyle name="20% - Accent6 4 2 4 6" xfId="21098"/>
    <cellStyle name="20% - Accent6 4 2 4 6 2" xfId="40853"/>
    <cellStyle name="20% - Accent6 4 2 4 7" xfId="31209"/>
    <cellStyle name="20% - Accent6 4 2 5" xfId="4772"/>
    <cellStyle name="20% - Accent6 4 2 5 2" xfId="4773"/>
    <cellStyle name="20% - Accent6 4 2 5 2 2" xfId="4774"/>
    <cellStyle name="20% - Accent6 4 2 5 2 2 2" xfId="4775"/>
    <cellStyle name="20% - Accent6 4 2 5 2 2 2 2" xfId="20062"/>
    <cellStyle name="20% - Accent6 4 2 5 2 2 2 2 2" xfId="29778"/>
    <cellStyle name="20% - Accent6 4 2 5 2 2 2 2 2 2" xfId="49532"/>
    <cellStyle name="20% - Accent6 4 2 5 2 2 2 2 3" xfId="39888"/>
    <cellStyle name="20% - Accent6 4 2 5 2 2 2 3" xfId="24968"/>
    <cellStyle name="20% - Accent6 4 2 5 2 2 2 3 2" xfId="44723"/>
    <cellStyle name="20% - Accent6 4 2 5 2 2 2 4" xfId="35079"/>
    <cellStyle name="20% - Accent6 4 2 5 2 2 3" xfId="20061"/>
    <cellStyle name="20% - Accent6 4 2 5 2 2 3 2" xfId="29777"/>
    <cellStyle name="20% - Accent6 4 2 5 2 2 3 2 2" xfId="49531"/>
    <cellStyle name="20% - Accent6 4 2 5 2 2 3 3" xfId="39887"/>
    <cellStyle name="20% - Accent6 4 2 5 2 2 4" xfId="24967"/>
    <cellStyle name="20% - Accent6 4 2 5 2 2 4 2" xfId="44722"/>
    <cellStyle name="20% - Accent6 4 2 5 2 2 5" xfId="35078"/>
    <cellStyle name="20% - Accent6 4 2 5 2 3" xfId="4776"/>
    <cellStyle name="20% - Accent6 4 2 5 2 3 2" xfId="20063"/>
    <cellStyle name="20% - Accent6 4 2 5 2 3 2 2" xfId="29779"/>
    <cellStyle name="20% - Accent6 4 2 5 2 3 2 2 2" xfId="49533"/>
    <cellStyle name="20% - Accent6 4 2 5 2 3 2 3" xfId="39889"/>
    <cellStyle name="20% - Accent6 4 2 5 2 3 3" xfId="24969"/>
    <cellStyle name="20% - Accent6 4 2 5 2 3 3 2" xfId="44724"/>
    <cellStyle name="20% - Accent6 4 2 5 2 3 4" xfId="35080"/>
    <cellStyle name="20% - Accent6 4 2 5 2 4" xfId="20060"/>
    <cellStyle name="20% - Accent6 4 2 5 2 4 2" xfId="29776"/>
    <cellStyle name="20% - Accent6 4 2 5 2 4 2 2" xfId="49530"/>
    <cellStyle name="20% - Accent6 4 2 5 2 4 3" xfId="39886"/>
    <cellStyle name="20% - Accent6 4 2 5 2 5" xfId="24966"/>
    <cellStyle name="20% - Accent6 4 2 5 2 5 2" xfId="44721"/>
    <cellStyle name="20% - Accent6 4 2 5 2 6" xfId="35077"/>
    <cellStyle name="20% - Accent6 4 2 5 3" xfId="4777"/>
    <cellStyle name="20% - Accent6 4 2 5 3 2" xfId="4778"/>
    <cellStyle name="20% - Accent6 4 2 5 3 2 2" xfId="20065"/>
    <cellStyle name="20% - Accent6 4 2 5 3 2 2 2" xfId="29781"/>
    <cellStyle name="20% - Accent6 4 2 5 3 2 2 2 2" xfId="49535"/>
    <cellStyle name="20% - Accent6 4 2 5 3 2 2 3" xfId="39891"/>
    <cellStyle name="20% - Accent6 4 2 5 3 2 3" xfId="24971"/>
    <cellStyle name="20% - Accent6 4 2 5 3 2 3 2" xfId="44726"/>
    <cellStyle name="20% - Accent6 4 2 5 3 2 4" xfId="35082"/>
    <cellStyle name="20% - Accent6 4 2 5 3 3" xfId="20064"/>
    <cellStyle name="20% - Accent6 4 2 5 3 3 2" xfId="29780"/>
    <cellStyle name="20% - Accent6 4 2 5 3 3 2 2" xfId="49534"/>
    <cellStyle name="20% - Accent6 4 2 5 3 3 3" xfId="39890"/>
    <cellStyle name="20% - Accent6 4 2 5 3 4" xfId="24970"/>
    <cellStyle name="20% - Accent6 4 2 5 3 4 2" xfId="44725"/>
    <cellStyle name="20% - Accent6 4 2 5 3 5" xfId="35081"/>
    <cellStyle name="20% - Accent6 4 2 5 4" xfId="4779"/>
    <cellStyle name="20% - Accent6 4 2 5 4 2" xfId="20066"/>
    <cellStyle name="20% - Accent6 4 2 5 4 2 2" xfId="29782"/>
    <cellStyle name="20% - Accent6 4 2 5 4 2 2 2" xfId="49536"/>
    <cellStyle name="20% - Accent6 4 2 5 4 2 3" xfId="39892"/>
    <cellStyle name="20% - Accent6 4 2 5 4 3" xfId="24972"/>
    <cellStyle name="20% - Accent6 4 2 5 4 3 2" xfId="44727"/>
    <cellStyle name="20% - Accent6 4 2 5 4 4" xfId="35083"/>
    <cellStyle name="20% - Accent6 4 2 5 5" xfId="20059"/>
    <cellStyle name="20% - Accent6 4 2 5 5 2" xfId="29775"/>
    <cellStyle name="20% - Accent6 4 2 5 5 2 2" xfId="49529"/>
    <cellStyle name="20% - Accent6 4 2 5 5 3" xfId="39885"/>
    <cellStyle name="20% - Accent6 4 2 5 6" xfId="24965"/>
    <cellStyle name="20% - Accent6 4 2 5 6 2" xfId="44720"/>
    <cellStyle name="20% - Accent6 4 2 5 7" xfId="35076"/>
    <cellStyle name="20% - Accent6 4 2 6" xfId="4780"/>
    <cellStyle name="20% - Accent6 4 2 6 2" xfId="4781"/>
    <cellStyle name="20% - Accent6 4 2 6 2 2" xfId="4782"/>
    <cellStyle name="20% - Accent6 4 2 6 2 2 2" xfId="20069"/>
    <cellStyle name="20% - Accent6 4 2 6 2 2 2 2" xfId="29785"/>
    <cellStyle name="20% - Accent6 4 2 6 2 2 2 2 2" xfId="49539"/>
    <cellStyle name="20% - Accent6 4 2 6 2 2 2 3" xfId="39895"/>
    <cellStyle name="20% - Accent6 4 2 6 2 2 3" xfId="24975"/>
    <cellStyle name="20% - Accent6 4 2 6 2 2 3 2" xfId="44730"/>
    <cellStyle name="20% - Accent6 4 2 6 2 2 4" xfId="35086"/>
    <cellStyle name="20% - Accent6 4 2 6 2 3" xfId="20068"/>
    <cellStyle name="20% - Accent6 4 2 6 2 3 2" xfId="29784"/>
    <cellStyle name="20% - Accent6 4 2 6 2 3 2 2" xfId="49538"/>
    <cellStyle name="20% - Accent6 4 2 6 2 3 3" xfId="39894"/>
    <cellStyle name="20% - Accent6 4 2 6 2 4" xfId="24974"/>
    <cellStyle name="20% - Accent6 4 2 6 2 4 2" xfId="44729"/>
    <cellStyle name="20% - Accent6 4 2 6 2 5" xfId="35085"/>
    <cellStyle name="20% - Accent6 4 2 6 3" xfId="4783"/>
    <cellStyle name="20% - Accent6 4 2 6 3 2" xfId="20070"/>
    <cellStyle name="20% - Accent6 4 2 6 3 2 2" xfId="29786"/>
    <cellStyle name="20% - Accent6 4 2 6 3 2 2 2" xfId="49540"/>
    <cellStyle name="20% - Accent6 4 2 6 3 2 3" xfId="39896"/>
    <cellStyle name="20% - Accent6 4 2 6 3 3" xfId="24976"/>
    <cellStyle name="20% - Accent6 4 2 6 3 3 2" xfId="44731"/>
    <cellStyle name="20% - Accent6 4 2 6 3 4" xfId="35087"/>
    <cellStyle name="20% - Accent6 4 2 6 4" xfId="20067"/>
    <cellStyle name="20% - Accent6 4 2 6 4 2" xfId="29783"/>
    <cellStyle name="20% - Accent6 4 2 6 4 2 2" xfId="49537"/>
    <cellStyle name="20% - Accent6 4 2 6 4 3" xfId="39893"/>
    <cellStyle name="20% - Accent6 4 2 6 5" xfId="24973"/>
    <cellStyle name="20% - Accent6 4 2 6 5 2" xfId="44728"/>
    <cellStyle name="20% - Accent6 4 2 6 6" xfId="35084"/>
    <cellStyle name="20% - Accent6 4 2 7" xfId="4784"/>
    <cellStyle name="20% - Accent6 4 2 7 2" xfId="4785"/>
    <cellStyle name="20% - Accent6 4 2 7 2 2" xfId="20072"/>
    <cellStyle name="20% - Accent6 4 2 7 2 2 2" xfId="29788"/>
    <cellStyle name="20% - Accent6 4 2 7 2 2 2 2" xfId="49542"/>
    <cellStyle name="20% - Accent6 4 2 7 2 2 3" xfId="39898"/>
    <cellStyle name="20% - Accent6 4 2 7 2 3" xfId="24978"/>
    <cellStyle name="20% - Accent6 4 2 7 2 3 2" xfId="44733"/>
    <cellStyle name="20% - Accent6 4 2 7 2 4" xfId="35089"/>
    <cellStyle name="20% - Accent6 4 2 7 3" xfId="20071"/>
    <cellStyle name="20% - Accent6 4 2 7 3 2" xfId="29787"/>
    <cellStyle name="20% - Accent6 4 2 7 3 2 2" xfId="49541"/>
    <cellStyle name="20% - Accent6 4 2 7 3 3" xfId="39897"/>
    <cellStyle name="20% - Accent6 4 2 7 4" xfId="24977"/>
    <cellStyle name="20% - Accent6 4 2 7 4 2" xfId="44732"/>
    <cellStyle name="20% - Accent6 4 2 7 5" xfId="35088"/>
    <cellStyle name="20% - Accent6 4 2 8" xfId="4786"/>
    <cellStyle name="20% - Accent6 4 2 8 2" xfId="4787"/>
    <cellStyle name="20% - Accent6 4 2 8 2 2" xfId="20074"/>
    <cellStyle name="20% - Accent6 4 2 8 2 2 2" xfId="29790"/>
    <cellStyle name="20% - Accent6 4 2 8 2 2 2 2" xfId="49544"/>
    <cellStyle name="20% - Accent6 4 2 8 2 2 3" xfId="39900"/>
    <cellStyle name="20% - Accent6 4 2 8 2 3" xfId="24980"/>
    <cellStyle name="20% - Accent6 4 2 8 2 3 2" xfId="44735"/>
    <cellStyle name="20% - Accent6 4 2 8 2 4" xfId="35091"/>
    <cellStyle name="20% - Accent6 4 2 8 3" xfId="20073"/>
    <cellStyle name="20% - Accent6 4 2 8 3 2" xfId="29789"/>
    <cellStyle name="20% - Accent6 4 2 8 3 2 2" xfId="49543"/>
    <cellStyle name="20% - Accent6 4 2 8 3 3" xfId="39899"/>
    <cellStyle name="20% - Accent6 4 2 8 4" xfId="24979"/>
    <cellStyle name="20% - Accent6 4 2 8 4 2" xfId="44734"/>
    <cellStyle name="20% - Accent6 4 2 8 5" xfId="35090"/>
    <cellStyle name="20% - Accent6 4 2 9" xfId="4788"/>
    <cellStyle name="20% - Accent6 4 2 9 2" xfId="20075"/>
    <cellStyle name="20% - Accent6 4 2 9 2 2" xfId="29791"/>
    <cellStyle name="20% - Accent6 4 2 9 2 2 2" xfId="49545"/>
    <cellStyle name="20% - Accent6 4 2 9 2 3" xfId="39901"/>
    <cellStyle name="20% - Accent6 4 2 9 3" xfId="24981"/>
    <cellStyle name="20% - Accent6 4 2 9 3 2" xfId="44736"/>
    <cellStyle name="20% - Accent6 4 2 9 4" xfId="35092"/>
    <cellStyle name="20% - Accent6 4 3" xfId="109"/>
    <cellStyle name="20% - Accent6 4 3 10" xfId="15496"/>
    <cellStyle name="20% - Accent6 4 3 10 2" xfId="20368"/>
    <cellStyle name="20% - Accent6 4 3 10 2 2" xfId="30082"/>
    <cellStyle name="20% - Accent6 4 3 10 2 2 2" xfId="49835"/>
    <cellStyle name="20% - Accent6 4 3 10 2 3" xfId="40191"/>
    <cellStyle name="20% - Accent6 4 3 10 3" xfId="25270"/>
    <cellStyle name="20% - Accent6 4 3 10 3 2" xfId="45024"/>
    <cellStyle name="20% - Accent6 4 3 10 4" xfId="35380"/>
    <cellStyle name="20% - Accent6 4 3 11" xfId="15896"/>
    <cellStyle name="20% - Accent6 4 3 11 2" xfId="25612"/>
    <cellStyle name="20% - Accent6 4 3 11 2 2" xfId="45366"/>
    <cellStyle name="20% - Accent6 4 3 11 3" xfId="35722"/>
    <cellStyle name="20% - Accent6 4 3 12" xfId="20772"/>
    <cellStyle name="20% - Accent6 4 3 12 2" xfId="40552"/>
    <cellStyle name="20% - Accent6 4 3 13" xfId="30509"/>
    <cellStyle name="20% - Accent6 4 3 13 2" xfId="50257"/>
    <cellStyle name="20% - Accent6 4 3 14" xfId="30883"/>
    <cellStyle name="20% - Accent6 4 3 2" xfId="846"/>
    <cellStyle name="20% - Accent6 4 3 2 2" xfId="4789"/>
    <cellStyle name="20% - Accent6 4 3 2 2 2" xfId="4790"/>
    <cellStyle name="20% - Accent6 4 3 2 2 2 2" xfId="4791"/>
    <cellStyle name="20% - Accent6 4 3 2 2 2 2 2" xfId="20078"/>
    <cellStyle name="20% - Accent6 4 3 2 2 2 2 2 2" xfId="29794"/>
    <cellStyle name="20% - Accent6 4 3 2 2 2 2 2 2 2" xfId="49548"/>
    <cellStyle name="20% - Accent6 4 3 2 2 2 2 2 3" xfId="39904"/>
    <cellStyle name="20% - Accent6 4 3 2 2 2 2 3" xfId="24984"/>
    <cellStyle name="20% - Accent6 4 3 2 2 2 2 3 2" xfId="44739"/>
    <cellStyle name="20% - Accent6 4 3 2 2 2 2 4" xfId="35095"/>
    <cellStyle name="20% - Accent6 4 3 2 2 2 3" xfId="20077"/>
    <cellStyle name="20% - Accent6 4 3 2 2 2 3 2" xfId="29793"/>
    <cellStyle name="20% - Accent6 4 3 2 2 2 3 2 2" xfId="49547"/>
    <cellStyle name="20% - Accent6 4 3 2 2 2 3 3" xfId="39903"/>
    <cellStyle name="20% - Accent6 4 3 2 2 2 4" xfId="24983"/>
    <cellStyle name="20% - Accent6 4 3 2 2 2 4 2" xfId="44738"/>
    <cellStyle name="20% - Accent6 4 3 2 2 2 5" xfId="35094"/>
    <cellStyle name="20% - Accent6 4 3 2 2 3" xfId="4792"/>
    <cellStyle name="20% - Accent6 4 3 2 2 3 2" xfId="20079"/>
    <cellStyle name="20% - Accent6 4 3 2 2 3 2 2" xfId="29795"/>
    <cellStyle name="20% - Accent6 4 3 2 2 3 2 2 2" xfId="49549"/>
    <cellStyle name="20% - Accent6 4 3 2 2 3 2 3" xfId="39905"/>
    <cellStyle name="20% - Accent6 4 3 2 2 3 3" xfId="24985"/>
    <cellStyle name="20% - Accent6 4 3 2 2 3 3 2" xfId="44740"/>
    <cellStyle name="20% - Accent6 4 3 2 2 3 4" xfId="35096"/>
    <cellStyle name="20% - Accent6 4 3 2 2 4" xfId="20076"/>
    <cellStyle name="20% - Accent6 4 3 2 2 4 2" xfId="29792"/>
    <cellStyle name="20% - Accent6 4 3 2 2 4 2 2" xfId="49546"/>
    <cellStyle name="20% - Accent6 4 3 2 2 4 3" xfId="39902"/>
    <cellStyle name="20% - Accent6 4 3 2 2 5" xfId="24982"/>
    <cellStyle name="20% - Accent6 4 3 2 2 5 2" xfId="44737"/>
    <cellStyle name="20% - Accent6 4 3 2 2 6" xfId="35093"/>
    <cellStyle name="20% - Accent6 4 3 2 3" xfId="4793"/>
    <cellStyle name="20% - Accent6 4 3 2 3 2" xfId="4794"/>
    <cellStyle name="20% - Accent6 4 3 2 3 2 2" xfId="20081"/>
    <cellStyle name="20% - Accent6 4 3 2 3 2 2 2" xfId="29797"/>
    <cellStyle name="20% - Accent6 4 3 2 3 2 2 2 2" xfId="49551"/>
    <cellStyle name="20% - Accent6 4 3 2 3 2 2 3" xfId="39907"/>
    <cellStyle name="20% - Accent6 4 3 2 3 2 3" xfId="24987"/>
    <cellStyle name="20% - Accent6 4 3 2 3 2 3 2" xfId="44742"/>
    <cellStyle name="20% - Accent6 4 3 2 3 2 4" xfId="35098"/>
    <cellStyle name="20% - Accent6 4 3 2 3 3" xfId="20080"/>
    <cellStyle name="20% - Accent6 4 3 2 3 3 2" xfId="29796"/>
    <cellStyle name="20% - Accent6 4 3 2 3 3 2 2" xfId="49550"/>
    <cellStyle name="20% - Accent6 4 3 2 3 3 3" xfId="39906"/>
    <cellStyle name="20% - Accent6 4 3 2 3 4" xfId="24986"/>
    <cellStyle name="20% - Accent6 4 3 2 3 4 2" xfId="44741"/>
    <cellStyle name="20% - Accent6 4 3 2 3 5" xfId="35097"/>
    <cellStyle name="20% - Accent6 4 3 2 4" xfId="4795"/>
    <cellStyle name="20% - Accent6 4 3 2 4 2" xfId="20082"/>
    <cellStyle name="20% - Accent6 4 3 2 4 2 2" xfId="29798"/>
    <cellStyle name="20% - Accent6 4 3 2 4 2 2 2" xfId="49552"/>
    <cellStyle name="20% - Accent6 4 3 2 4 2 3" xfId="39908"/>
    <cellStyle name="20% - Accent6 4 3 2 4 3" xfId="24988"/>
    <cellStyle name="20% - Accent6 4 3 2 4 3 2" xfId="44743"/>
    <cellStyle name="20% - Accent6 4 3 2 4 4" xfId="35099"/>
    <cellStyle name="20% - Accent6 4 3 2 5" xfId="15497"/>
    <cellStyle name="20% - Accent6 4 3 2 5 2" xfId="20369"/>
    <cellStyle name="20% - Accent6 4 3 2 5 2 2" xfId="30083"/>
    <cellStyle name="20% - Accent6 4 3 2 5 2 2 2" xfId="49836"/>
    <cellStyle name="20% - Accent6 4 3 2 5 2 3" xfId="40192"/>
    <cellStyle name="20% - Accent6 4 3 2 5 3" xfId="25271"/>
    <cellStyle name="20% - Accent6 4 3 2 5 3 2" xfId="45025"/>
    <cellStyle name="20% - Accent6 4 3 2 5 4" xfId="35381"/>
    <cellStyle name="20% - Accent6 4 3 2 6" xfId="16193"/>
    <cellStyle name="20% - Accent6 4 3 2 6 2" xfId="25909"/>
    <cellStyle name="20% - Accent6 4 3 2 6 2 2" xfId="45663"/>
    <cellStyle name="20% - Accent6 4 3 2 6 3" xfId="36019"/>
    <cellStyle name="20% - Accent6 4 3 2 7" xfId="21099"/>
    <cellStyle name="20% - Accent6 4 3 2 7 2" xfId="40854"/>
    <cellStyle name="20% - Accent6 4 3 2 8" xfId="30510"/>
    <cellStyle name="20% - Accent6 4 3 2 8 2" xfId="50258"/>
    <cellStyle name="20% - Accent6 4 3 2 9" xfId="31210"/>
    <cellStyle name="20% - Accent6 4 3 3" xfId="847"/>
    <cellStyle name="20% - Accent6 4 3 3 2" xfId="4796"/>
    <cellStyle name="20% - Accent6 4 3 3 2 2" xfId="4797"/>
    <cellStyle name="20% - Accent6 4 3 3 2 2 2" xfId="4798"/>
    <cellStyle name="20% - Accent6 4 3 3 2 2 2 2" xfId="20085"/>
    <cellStyle name="20% - Accent6 4 3 3 2 2 2 2 2" xfId="29801"/>
    <cellStyle name="20% - Accent6 4 3 3 2 2 2 2 2 2" xfId="49555"/>
    <cellStyle name="20% - Accent6 4 3 3 2 2 2 2 3" xfId="39911"/>
    <cellStyle name="20% - Accent6 4 3 3 2 2 2 3" xfId="24991"/>
    <cellStyle name="20% - Accent6 4 3 3 2 2 2 3 2" xfId="44746"/>
    <cellStyle name="20% - Accent6 4 3 3 2 2 2 4" xfId="35102"/>
    <cellStyle name="20% - Accent6 4 3 3 2 2 3" xfId="20084"/>
    <cellStyle name="20% - Accent6 4 3 3 2 2 3 2" xfId="29800"/>
    <cellStyle name="20% - Accent6 4 3 3 2 2 3 2 2" xfId="49554"/>
    <cellStyle name="20% - Accent6 4 3 3 2 2 3 3" xfId="39910"/>
    <cellStyle name="20% - Accent6 4 3 3 2 2 4" xfId="24990"/>
    <cellStyle name="20% - Accent6 4 3 3 2 2 4 2" xfId="44745"/>
    <cellStyle name="20% - Accent6 4 3 3 2 2 5" xfId="35101"/>
    <cellStyle name="20% - Accent6 4 3 3 2 3" xfId="4799"/>
    <cellStyle name="20% - Accent6 4 3 3 2 3 2" xfId="20086"/>
    <cellStyle name="20% - Accent6 4 3 3 2 3 2 2" xfId="29802"/>
    <cellStyle name="20% - Accent6 4 3 3 2 3 2 2 2" xfId="49556"/>
    <cellStyle name="20% - Accent6 4 3 3 2 3 2 3" xfId="39912"/>
    <cellStyle name="20% - Accent6 4 3 3 2 3 3" xfId="24992"/>
    <cellStyle name="20% - Accent6 4 3 3 2 3 3 2" xfId="44747"/>
    <cellStyle name="20% - Accent6 4 3 3 2 3 4" xfId="35103"/>
    <cellStyle name="20% - Accent6 4 3 3 2 4" xfId="20083"/>
    <cellStyle name="20% - Accent6 4 3 3 2 4 2" xfId="29799"/>
    <cellStyle name="20% - Accent6 4 3 3 2 4 2 2" xfId="49553"/>
    <cellStyle name="20% - Accent6 4 3 3 2 4 3" xfId="39909"/>
    <cellStyle name="20% - Accent6 4 3 3 2 5" xfId="24989"/>
    <cellStyle name="20% - Accent6 4 3 3 2 5 2" xfId="44744"/>
    <cellStyle name="20% - Accent6 4 3 3 2 6" xfId="35100"/>
    <cellStyle name="20% - Accent6 4 3 3 3" xfId="4800"/>
    <cellStyle name="20% - Accent6 4 3 3 3 2" xfId="4801"/>
    <cellStyle name="20% - Accent6 4 3 3 3 2 2" xfId="20088"/>
    <cellStyle name="20% - Accent6 4 3 3 3 2 2 2" xfId="29804"/>
    <cellStyle name="20% - Accent6 4 3 3 3 2 2 2 2" xfId="49558"/>
    <cellStyle name="20% - Accent6 4 3 3 3 2 2 3" xfId="39914"/>
    <cellStyle name="20% - Accent6 4 3 3 3 2 3" xfId="24994"/>
    <cellStyle name="20% - Accent6 4 3 3 3 2 3 2" xfId="44749"/>
    <cellStyle name="20% - Accent6 4 3 3 3 2 4" xfId="35105"/>
    <cellStyle name="20% - Accent6 4 3 3 3 3" xfId="20087"/>
    <cellStyle name="20% - Accent6 4 3 3 3 3 2" xfId="29803"/>
    <cellStyle name="20% - Accent6 4 3 3 3 3 2 2" xfId="49557"/>
    <cellStyle name="20% - Accent6 4 3 3 3 3 3" xfId="39913"/>
    <cellStyle name="20% - Accent6 4 3 3 3 4" xfId="24993"/>
    <cellStyle name="20% - Accent6 4 3 3 3 4 2" xfId="44748"/>
    <cellStyle name="20% - Accent6 4 3 3 3 5" xfId="35104"/>
    <cellStyle name="20% - Accent6 4 3 3 4" xfId="4802"/>
    <cellStyle name="20% - Accent6 4 3 3 4 2" xfId="20089"/>
    <cellStyle name="20% - Accent6 4 3 3 4 2 2" xfId="29805"/>
    <cellStyle name="20% - Accent6 4 3 3 4 2 2 2" xfId="49559"/>
    <cellStyle name="20% - Accent6 4 3 3 4 2 3" xfId="39915"/>
    <cellStyle name="20% - Accent6 4 3 3 4 3" xfId="24995"/>
    <cellStyle name="20% - Accent6 4 3 3 4 3 2" xfId="44750"/>
    <cellStyle name="20% - Accent6 4 3 3 4 4" xfId="35106"/>
    <cellStyle name="20% - Accent6 4 3 3 5" xfId="16194"/>
    <cellStyle name="20% - Accent6 4 3 3 5 2" xfId="25910"/>
    <cellStyle name="20% - Accent6 4 3 3 5 2 2" xfId="45664"/>
    <cellStyle name="20% - Accent6 4 3 3 5 3" xfId="36020"/>
    <cellStyle name="20% - Accent6 4 3 3 6" xfId="21100"/>
    <cellStyle name="20% - Accent6 4 3 3 6 2" xfId="40855"/>
    <cellStyle name="20% - Accent6 4 3 3 7" xfId="31211"/>
    <cellStyle name="20% - Accent6 4 3 4" xfId="4803"/>
    <cellStyle name="20% - Accent6 4 3 4 2" xfId="4804"/>
    <cellStyle name="20% - Accent6 4 3 4 2 2" xfId="4805"/>
    <cellStyle name="20% - Accent6 4 3 4 2 2 2" xfId="4806"/>
    <cellStyle name="20% - Accent6 4 3 4 2 2 2 2" xfId="20093"/>
    <cellStyle name="20% - Accent6 4 3 4 2 2 2 2 2" xfId="29809"/>
    <cellStyle name="20% - Accent6 4 3 4 2 2 2 2 2 2" xfId="49563"/>
    <cellStyle name="20% - Accent6 4 3 4 2 2 2 2 3" xfId="39919"/>
    <cellStyle name="20% - Accent6 4 3 4 2 2 2 3" xfId="24999"/>
    <cellStyle name="20% - Accent6 4 3 4 2 2 2 3 2" xfId="44754"/>
    <cellStyle name="20% - Accent6 4 3 4 2 2 2 4" xfId="35110"/>
    <cellStyle name="20% - Accent6 4 3 4 2 2 3" xfId="20092"/>
    <cellStyle name="20% - Accent6 4 3 4 2 2 3 2" xfId="29808"/>
    <cellStyle name="20% - Accent6 4 3 4 2 2 3 2 2" xfId="49562"/>
    <cellStyle name="20% - Accent6 4 3 4 2 2 3 3" xfId="39918"/>
    <cellStyle name="20% - Accent6 4 3 4 2 2 4" xfId="24998"/>
    <cellStyle name="20% - Accent6 4 3 4 2 2 4 2" xfId="44753"/>
    <cellStyle name="20% - Accent6 4 3 4 2 2 5" xfId="35109"/>
    <cellStyle name="20% - Accent6 4 3 4 2 3" xfId="4807"/>
    <cellStyle name="20% - Accent6 4 3 4 2 3 2" xfId="20094"/>
    <cellStyle name="20% - Accent6 4 3 4 2 3 2 2" xfId="29810"/>
    <cellStyle name="20% - Accent6 4 3 4 2 3 2 2 2" xfId="49564"/>
    <cellStyle name="20% - Accent6 4 3 4 2 3 2 3" xfId="39920"/>
    <cellStyle name="20% - Accent6 4 3 4 2 3 3" xfId="25000"/>
    <cellStyle name="20% - Accent6 4 3 4 2 3 3 2" xfId="44755"/>
    <cellStyle name="20% - Accent6 4 3 4 2 3 4" xfId="35111"/>
    <cellStyle name="20% - Accent6 4 3 4 2 4" xfId="20091"/>
    <cellStyle name="20% - Accent6 4 3 4 2 4 2" xfId="29807"/>
    <cellStyle name="20% - Accent6 4 3 4 2 4 2 2" xfId="49561"/>
    <cellStyle name="20% - Accent6 4 3 4 2 4 3" xfId="39917"/>
    <cellStyle name="20% - Accent6 4 3 4 2 5" xfId="24997"/>
    <cellStyle name="20% - Accent6 4 3 4 2 5 2" xfId="44752"/>
    <cellStyle name="20% - Accent6 4 3 4 2 6" xfId="35108"/>
    <cellStyle name="20% - Accent6 4 3 4 3" xfId="4808"/>
    <cellStyle name="20% - Accent6 4 3 4 3 2" xfId="4809"/>
    <cellStyle name="20% - Accent6 4 3 4 3 2 2" xfId="20096"/>
    <cellStyle name="20% - Accent6 4 3 4 3 2 2 2" xfId="29812"/>
    <cellStyle name="20% - Accent6 4 3 4 3 2 2 2 2" xfId="49566"/>
    <cellStyle name="20% - Accent6 4 3 4 3 2 2 3" xfId="39922"/>
    <cellStyle name="20% - Accent6 4 3 4 3 2 3" xfId="25002"/>
    <cellStyle name="20% - Accent6 4 3 4 3 2 3 2" xfId="44757"/>
    <cellStyle name="20% - Accent6 4 3 4 3 2 4" xfId="35113"/>
    <cellStyle name="20% - Accent6 4 3 4 3 3" xfId="20095"/>
    <cellStyle name="20% - Accent6 4 3 4 3 3 2" xfId="29811"/>
    <cellStyle name="20% - Accent6 4 3 4 3 3 2 2" xfId="49565"/>
    <cellStyle name="20% - Accent6 4 3 4 3 3 3" xfId="39921"/>
    <cellStyle name="20% - Accent6 4 3 4 3 4" xfId="25001"/>
    <cellStyle name="20% - Accent6 4 3 4 3 4 2" xfId="44756"/>
    <cellStyle name="20% - Accent6 4 3 4 3 5" xfId="35112"/>
    <cellStyle name="20% - Accent6 4 3 4 4" xfId="4810"/>
    <cellStyle name="20% - Accent6 4 3 4 4 2" xfId="20097"/>
    <cellStyle name="20% - Accent6 4 3 4 4 2 2" xfId="29813"/>
    <cellStyle name="20% - Accent6 4 3 4 4 2 2 2" xfId="49567"/>
    <cellStyle name="20% - Accent6 4 3 4 4 2 3" xfId="39923"/>
    <cellStyle name="20% - Accent6 4 3 4 4 3" xfId="25003"/>
    <cellStyle name="20% - Accent6 4 3 4 4 3 2" xfId="44758"/>
    <cellStyle name="20% - Accent6 4 3 4 4 4" xfId="35114"/>
    <cellStyle name="20% - Accent6 4 3 4 5" xfId="20090"/>
    <cellStyle name="20% - Accent6 4 3 4 5 2" xfId="29806"/>
    <cellStyle name="20% - Accent6 4 3 4 5 2 2" xfId="49560"/>
    <cellStyle name="20% - Accent6 4 3 4 5 3" xfId="39916"/>
    <cellStyle name="20% - Accent6 4 3 4 6" xfId="24996"/>
    <cellStyle name="20% - Accent6 4 3 4 6 2" xfId="44751"/>
    <cellStyle name="20% - Accent6 4 3 4 7" xfId="35107"/>
    <cellStyle name="20% - Accent6 4 3 5" xfId="4811"/>
    <cellStyle name="20% - Accent6 4 3 5 2" xfId="4812"/>
    <cellStyle name="20% - Accent6 4 3 5 2 2" xfId="4813"/>
    <cellStyle name="20% - Accent6 4 3 5 2 2 2" xfId="20100"/>
    <cellStyle name="20% - Accent6 4 3 5 2 2 2 2" xfId="29816"/>
    <cellStyle name="20% - Accent6 4 3 5 2 2 2 2 2" xfId="49570"/>
    <cellStyle name="20% - Accent6 4 3 5 2 2 2 3" xfId="39926"/>
    <cellStyle name="20% - Accent6 4 3 5 2 2 3" xfId="25006"/>
    <cellStyle name="20% - Accent6 4 3 5 2 2 3 2" xfId="44761"/>
    <cellStyle name="20% - Accent6 4 3 5 2 2 4" xfId="35117"/>
    <cellStyle name="20% - Accent6 4 3 5 2 3" xfId="20099"/>
    <cellStyle name="20% - Accent6 4 3 5 2 3 2" xfId="29815"/>
    <cellStyle name="20% - Accent6 4 3 5 2 3 2 2" xfId="49569"/>
    <cellStyle name="20% - Accent6 4 3 5 2 3 3" xfId="39925"/>
    <cellStyle name="20% - Accent6 4 3 5 2 4" xfId="25005"/>
    <cellStyle name="20% - Accent6 4 3 5 2 4 2" xfId="44760"/>
    <cellStyle name="20% - Accent6 4 3 5 2 5" xfId="35116"/>
    <cellStyle name="20% - Accent6 4 3 5 3" xfId="4814"/>
    <cellStyle name="20% - Accent6 4 3 5 3 2" xfId="20101"/>
    <cellStyle name="20% - Accent6 4 3 5 3 2 2" xfId="29817"/>
    <cellStyle name="20% - Accent6 4 3 5 3 2 2 2" xfId="49571"/>
    <cellStyle name="20% - Accent6 4 3 5 3 2 3" xfId="39927"/>
    <cellStyle name="20% - Accent6 4 3 5 3 3" xfId="25007"/>
    <cellStyle name="20% - Accent6 4 3 5 3 3 2" xfId="44762"/>
    <cellStyle name="20% - Accent6 4 3 5 3 4" xfId="35118"/>
    <cellStyle name="20% - Accent6 4 3 5 4" xfId="20098"/>
    <cellStyle name="20% - Accent6 4 3 5 4 2" xfId="29814"/>
    <cellStyle name="20% - Accent6 4 3 5 4 2 2" xfId="49568"/>
    <cellStyle name="20% - Accent6 4 3 5 4 3" xfId="39924"/>
    <cellStyle name="20% - Accent6 4 3 5 5" xfId="25004"/>
    <cellStyle name="20% - Accent6 4 3 5 5 2" xfId="44759"/>
    <cellStyle name="20% - Accent6 4 3 5 6" xfId="35115"/>
    <cellStyle name="20% - Accent6 4 3 6" xfId="4815"/>
    <cellStyle name="20% - Accent6 4 3 6 2" xfId="4816"/>
    <cellStyle name="20% - Accent6 4 3 6 2 2" xfId="20103"/>
    <cellStyle name="20% - Accent6 4 3 6 2 2 2" xfId="29819"/>
    <cellStyle name="20% - Accent6 4 3 6 2 2 2 2" xfId="49573"/>
    <cellStyle name="20% - Accent6 4 3 6 2 2 3" xfId="39929"/>
    <cellStyle name="20% - Accent6 4 3 6 2 3" xfId="25009"/>
    <cellStyle name="20% - Accent6 4 3 6 2 3 2" xfId="44764"/>
    <cellStyle name="20% - Accent6 4 3 6 2 4" xfId="35120"/>
    <cellStyle name="20% - Accent6 4 3 6 3" xfId="20102"/>
    <cellStyle name="20% - Accent6 4 3 6 3 2" xfId="29818"/>
    <cellStyle name="20% - Accent6 4 3 6 3 2 2" xfId="49572"/>
    <cellStyle name="20% - Accent6 4 3 6 3 3" xfId="39928"/>
    <cellStyle name="20% - Accent6 4 3 6 4" xfId="25008"/>
    <cellStyle name="20% - Accent6 4 3 6 4 2" xfId="44763"/>
    <cellStyle name="20% - Accent6 4 3 6 5" xfId="35119"/>
    <cellStyle name="20% - Accent6 4 3 7" xfId="4817"/>
    <cellStyle name="20% - Accent6 4 3 7 2" xfId="20104"/>
    <cellStyle name="20% - Accent6 4 3 7 2 2" xfId="29820"/>
    <cellStyle name="20% - Accent6 4 3 7 2 2 2" xfId="49574"/>
    <cellStyle name="20% - Accent6 4 3 7 2 3" xfId="39930"/>
    <cellStyle name="20% - Accent6 4 3 7 3" xfId="25010"/>
    <cellStyle name="20% - Accent6 4 3 7 3 2" xfId="44765"/>
    <cellStyle name="20% - Accent6 4 3 7 4" xfId="35121"/>
    <cellStyle name="20% - Accent6 4 3 8" xfId="4818"/>
    <cellStyle name="20% - Accent6 4 3 8 2" xfId="20105"/>
    <cellStyle name="20% - Accent6 4 3 8 2 2" xfId="29821"/>
    <cellStyle name="20% - Accent6 4 3 8 2 2 2" xfId="49575"/>
    <cellStyle name="20% - Accent6 4 3 8 2 3" xfId="39931"/>
    <cellStyle name="20% - Accent6 4 3 8 3" xfId="25011"/>
    <cellStyle name="20% - Accent6 4 3 8 3 2" xfId="44766"/>
    <cellStyle name="20% - Accent6 4 3 8 4" xfId="35122"/>
    <cellStyle name="20% - Accent6 4 3 9" xfId="4819"/>
    <cellStyle name="20% - Accent6 4 3 9 2" xfId="20106"/>
    <cellStyle name="20% - Accent6 4 3 9 2 2" xfId="29822"/>
    <cellStyle name="20% - Accent6 4 3 9 2 2 2" xfId="49576"/>
    <cellStyle name="20% - Accent6 4 3 9 2 3" xfId="39932"/>
    <cellStyle name="20% - Accent6 4 3 9 3" xfId="25012"/>
    <cellStyle name="20% - Accent6 4 3 9 3 2" xfId="44767"/>
    <cellStyle name="20% - Accent6 4 3 9 4" xfId="35123"/>
    <cellStyle name="20% - Accent6 4 4" xfId="848"/>
    <cellStyle name="20% - Accent6 4 4 2" xfId="4820"/>
    <cellStyle name="20% - Accent6 4 4 2 2" xfId="4821"/>
    <cellStyle name="20% - Accent6 4 4 2 2 2" xfId="4822"/>
    <cellStyle name="20% - Accent6 4 4 2 2 2 2" xfId="20109"/>
    <cellStyle name="20% - Accent6 4 4 2 2 2 2 2" xfId="29825"/>
    <cellStyle name="20% - Accent6 4 4 2 2 2 2 2 2" xfId="49579"/>
    <cellStyle name="20% - Accent6 4 4 2 2 2 2 3" xfId="39935"/>
    <cellStyle name="20% - Accent6 4 4 2 2 2 3" xfId="25015"/>
    <cellStyle name="20% - Accent6 4 4 2 2 2 3 2" xfId="44770"/>
    <cellStyle name="20% - Accent6 4 4 2 2 2 4" xfId="35126"/>
    <cellStyle name="20% - Accent6 4 4 2 2 3" xfId="20108"/>
    <cellStyle name="20% - Accent6 4 4 2 2 3 2" xfId="29824"/>
    <cellStyle name="20% - Accent6 4 4 2 2 3 2 2" xfId="49578"/>
    <cellStyle name="20% - Accent6 4 4 2 2 3 3" xfId="39934"/>
    <cellStyle name="20% - Accent6 4 4 2 2 4" xfId="25014"/>
    <cellStyle name="20% - Accent6 4 4 2 2 4 2" xfId="44769"/>
    <cellStyle name="20% - Accent6 4 4 2 2 5" xfId="35125"/>
    <cellStyle name="20% - Accent6 4 4 2 3" xfId="4823"/>
    <cellStyle name="20% - Accent6 4 4 2 3 2" xfId="20110"/>
    <cellStyle name="20% - Accent6 4 4 2 3 2 2" xfId="29826"/>
    <cellStyle name="20% - Accent6 4 4 2 3 2 2 2" xfId="49580"/>
    <cellStyle name="20% - Accent6 4 4 2 3 2 3" xfId="39936"/>
    <cellStyle name="20% - Accent6 4 4 2 3 3" xfId="25016"/>
    <cellStyle name="20% - Accent6 4 4 2 3 3 2" xfId="44771"/>
    <cellStyle name="20% - Accent6 4 4 2 3 4" xfId="35127"/>
    <cellStyle name="20% - Accent6 4 4 2 4" xfId="20107"/>
    <cellStyle name="20% - Accent6 4 4 2 4 2" xfId="29823"/>
    <cellStyle name="20% - Accent6 4 4 2 4 2 2" xfId="49577"/>
    <cellStyle name="20% - Accent6 4 4 2 4 3" xfId="39933"/>
    <cellStyle name="20% - Accent6 4 4 2 5" xfId="25013"/>
    <cellStyle name="20% - Accent6 4 4 2 5 2" xfId="44768"/>
    <cellStyle name="20% - Accent6 4 4 2 6" xfId="35124"/>
    <cellStyle name="20% - Accent6 4 4 3" xfId="4824"/>
    <cellStyle name="20% - Accent6 4 4 3 2" xfId="4825"/>
    <cellStyle name="20% - Accent6 4 4 3 2 2" xfId="20112"/>
    <cellStyle name="20% - Accent6 4 4 3 2 2 2" xfId="29828"/>
    <cellStyle name="20% - Accent6 4 4 3 2 2 2 2" xfId="49582"/>
    <cellStyle name="20% - Accent6 4 4 3 2 2 3" xfId="39938"/>
    <cellStyle name="20% - Accent6 4 4 3 2 3" xfId="25018"/>
    <cellStyle name="20% - Accent6 4 4 3 2 3 2" xfId="44773"/>
    <cellStyle name="20% - Accent6 4 4 3 2 4" xfId="35129"/>
    <cellStyle name="20% - Accent6 4 4 3 3" xfId="20111"/>
    <cellStyle name="20% - Accent6 4 4 3 3 2" xfId="29827"/>
    <cellStyle name="20% - Accent6 4 4 3 3 2 2" xfId="49581"/>
    <cellStyle name="20% - Accent6 4 4 3 3 3" xfId="39937"/>
    <cellStyle name="20% - Accent6 4 4 3 4" xfId="25017"/>
    <cellStyle name="20% - Accent6 4 4 3 4 2" xfId="44772"/>
    <cellStyle name="20% - Accent6 4 4 3 5" xfId="35128"/>
    <cellStyle name="20% - Accent6 4 4 4" xfId="4826"/>
    <cellStyle name="20% - Accent6 4 4 4 2" xfId="20113"/>
    <cellStyle name="20% - Accent6 4 4 4 2 2" xfId="29829"/>
    <cellStyle name="20% - Accent6 4 4 4 2 2 2" xfId="49583"/>
    <cellStyle name="20% - Accent6 4 4 4 2 3" xfId="39939"/>
    <cellStyle name="20% - Accent6 4 4 4 3" xfId="25019"/>
    <cellStyle name="20% - Accent6 4 4 4 3 2" xfId="44774"/>
    <cellStyle name="20% - Accent6 4 4 4 4" xfId="35130"/>
    <cellStyle name="20% - Accent6 4 4 5" xfId="15498"/>
    <cellStyle name="20% - Accent6 4 4 5 2" xfId="20370"/>
    <cellStyle name="20% - Accent6 4 4 5 2 2" xfId="30084"/>
    <cellStyle name="20% - Accent6 4 4 5 2 2 2" xfId="49837"/>
    <cellStyle name="20% - Accent6 4 4 5 2 3" xfId="40193"/>
    <cellStyle name="20% - Accent6 4 4 5 3" xfId="25272"/>
    <cellStyle name="20% - Accent6 4 4 5 3 2" xfId="45026"/>
    <cellStyle name="20% - Accent6 4 4 5 4" xfId="35382"/>
    <cellStyle name="20% - Accent6 4 4 6" xfId="16195"/>
    <cellStyle name="20% - Accent6 4 4 6 2" xfId="25911"/>
    <cellStyle name="20% - Accent6 4 4 6 2 2" xfId="45665"/>
    <cellStyle name="20% - Accent6 4 4 6 3" xfId="36021"/>
    <cellStyle name="20% - Accent6 4 4 7" xfId="21101"/>
    <cellStyle name="20% - Accent6 4 4 7 2" xfId="40856"/>
    <cellStyle name="20% - Accent6 4 4 8" xfId="30511"/>
    <cellStyle name="20% - Accent6 4 4 8 2" xfId="50259"/>
    <cellStyle name="20% - Accent6 4 4 9" xfId="31212"/>
    <cellStyle name="20% - Accent6 4 5" xfId="849"/>
    <cellStyle name="20% - Accent6 4 5 2" xfId="4827"/>
    <cellStyle name="20% - Accent6 4 5 2 2" xfId="4828"/>
    <cellStyle name="20% - Accent6 4 5 2 2 2" xfId="4829"/>
    <cellStyle name="20% - Accent6 4 5 2 2 2 2" xfId="20116"/>
    <cellStyle name="20% - Accent6 4 5 2 2 2 2 2" xfId="29832"/>
    <cellStyle name="20% - Accent6 4 5 2 2 2 2 2 2" xfId="49586"/>
    <cellStyle name="20% - Accent6 4 5 2 2 2 2 3" xfId="39942"/>
    <cellStyle name="20% - Accent6 4 5 2 2 2 3" xfId="25022"/>
    <cellStyle name="20% - Accent6 4 5 2 2 2 3 2" xfId="44777"/>
    <cellStyle name="20% - Accent6 4 5 2 2 2 4" xfId="35133"/>
    <cellStyle name="20% - Accent6 4 5 2 2 3" xfId="20115"/>
    <cellStyle name="20% - Accent6 4 5 2 2 3 2" xfId="29831"/>
    <cellStyle name="20% - Accent6 4 5 2 2 3 2 2" xfId="49585"/>
    <cellStyle name="20% - Accent6 4 5 2 2 3 3" xfId="39941"/>
    <cellStyle name="20% - Accent6 4 5 2 2 4" xfId="25021"/>
    <cellStyle name="20% - Accent6 4 5 2 2 4 2" xfId="44776"/>
    <cellStyle name="20% - Accent6 4 5 2 2 5" xfId="35132"/>
    <cellStyle name="20% - Accent6 4 5 2 3" xfId="4830"/>
    <cellStyle name="20% - Accent6 4 5 2 3 2" xfId="20117"/>
    <cellStyle name="20% - Accent6 4 5 2 3 2 2" xfId="29833"/>
    <cellStyle name="20% - Accent6 4 5 2 3 2 2 2" xfId="49587"/>
    <cellStyle name="20% - Accent6 4 5 2 3 2 3" xfId="39943"/>
    <cellStyle name="20% - Accent6 4 5 2 3 3" xfId="25023"/>
    <cellStyle name="20% - Accent6 4 5 2 3 3 2" xfId="44778"/>
    <cellStyle name="20% - Accent6 4 5 2 3 4" xfId="35134"/>
    <cellStyle name="20% - Accent6 4 5 2 4" xfId="20114"/>
    <cellStyle name="20% - Accent6 4 5 2 4 2" xfId="29830"/>
    <cellStyle name="20% - Accent6 4 5 2 4 2 2" xfId="49584"/>
    <cellStyle name="20% - Accent6 4 5 2 4 3" xfId="39940"/>
    <cellStyle name="20% - Accent6 4 5 2 5" xfId="25020"/>
    <cellStyle name="20% - Accent6 4 5 2 5 2" xfId="44775"/>
    <cellStyle name="20% - Accent6 4 5 2 6" xfId="35131"/>
    <cellStyle name="20% - Accent6 4 5 3" xfId="4831"/>
    <cellStyle name="20% - Accent6 4 5 3 2" xfId="4832"/>
    <cellStyle name="20% - Accent6 4 5 3 2 2" xfId="20119"/>
    <cellStyle name="20% - Accent6 4 5 3 2 2 2" xfId="29835"/>
    <cellStyle name="20% - Accent6 4 5 3 2 2 2 2" xfId="49589"/>
    <cellStyle name="20% - Accent6 4 5 3 2 2 3" xfId="39945"/>
    <cellStyle name="20% - Accent6 4 5 3 2 3" xfId="25025"/>
    <cellStyle name="20% - Accent6 4 5 3 2 3 2" xfId="44780"/>
    <cellStyle name="20% - Accent6 4 5 3 2 4" xfId="35136"/>
    <cellStyle name="20% - Accent6 4 5 3 3" xfId="20118"/>
    <cellStyle name="20% - Accent6 4 5 3 3 2" xfId="29834"/>
    <cellStyle name="20% - Accent6 4 5 3 3 2 2" xfId="49588"/>
    <cellStyle name="20% - Accent6 4 5 3 3 3" xfId="39944"/>
    <cellStyle name="20% - Accent6 4 5 3 4" xfId="25024"/>
    <cellStyle name="20% - Accent6 4 5 3 4 2" xfId="44779"/>
    <cellStyle name="20% - Accent6 4 5 3 5" xfId="35135"/>
    <cellStyle name="20% - Accent6 4 5 4" xfId="4833"/>
    <cellStyle name="20% - Accent6 4 5 4 2" xfId="20120"/>
    <cellStyle name="20% - Accent6 4 5 4 2 2" xfId="29836"/>
    <cellStyle name="20% - Accent6 4 5 4 2 2 2" xfId="49590"/>
    <cellStyle name="20% - Accent6 4 5 4 2 3" xfId="39946"/>
    <cellStyle name="20% - Accent6 4 5 4 3" xfId="25026"/>
    <cellStyle name="20% - Accent6 4 5 4 3 2" xfId="44781"/>
    <cellStyle name="20% - Accent6 4 5 4 4" xfId="35137"/>
    <cellStyle name="20% - Accent6 4 5 5" xfId="16196"/>
    <cellStyle name="20% - Accent6 4 5 5 2" xfId="25912"/>
    <cellStyle name="20% - Accent6 4 5 5 2 2" xfId="45666"/>
    <cellStyle name="20% - Accent6 4 5 5 3" xfId="36022"/>
    <cellStyle name="20% - Accent6 4 5 6" xfId="21102"/>
    <cellStyle name="20% - Accent6 4 5 6 2" xfId="40857"/>
    <cellStyle name="20% - Accent6 4 5 7" xfId="31213"/>
    <cellStyle name="20% - Accent6 4 6" xfId="4834"/>
    <cellStyle name="20% - Accent6 4 6 2" xfId="4835"/>
    <cellStyle name="20% - Accent6 4 6 2 2" xfId="4836"/>
    <cellStyle name="20% - Accent6 4 6 2 2 2" xfId="4837"/>
    <cellStyle name="20% - Accent6 4 6 2 2 2 2" xfId="20124"/>
    <cellStyle name="20% - Accent6 4 6 2 2 2 2 2" xfId="29840"/>
    <cellStyle name="20% - Accent6 4 6 2 2 2 2 2 2" xfId="49594"/>
    <cellStyle name="20% - Accent6 4 6 2 2 2 2 3" xfId="39950"/>
    <cellStyle name="20% - Accent6 4 6 2 2 2 3" xfId="25030"/>
    <cellStyle name="20% - Accent6 4 6 2 2 2 3 2" xfId="44785"/>
    <cellStyle name="20% - Accent6 4 6 2 2 2 4" xfId="35141"/>
    <cellStyle name="20% - Accent6 4 6 2 2 3" xfId="20123"/>
    <cellStyle name="20% - Accent6 4 6 2 2 3 2" xfId="29839"/>
    <cellStyle name="20% - Accent6 4 6 2 2 3 2 2" xfId="49593"/>
    <cellStyle name="20% - Accent6 4 6 2 2 3 3" xfId="39949"/>
    <cellStyle name="20% - Accent6 4 6 2 2 4" xfId="25029"/>
    <cellStyle name="20% - Accent6 4 6 2 2 4 2" xfId="44784"/>
    <cellStyle name="20% - Accent6 4 6 2 2 5" xfId="35140"/>
    <cellStyle name="20% - Accent6 4 6 2 3" xfId="4838"/>
    <cellStyle name="20% - Accent6 4 6 2 3 2" xfId="20125"/>
    <cellStyle name="20% - Accent6 4 6 2 3 2 2" xfId="29841"/>
    <cellStyle name="20% - Accent6 4 6 2 3 2 2 2" xfId="49595"/>
    <cellStyle name="20% - Accent6 4 6 2 3 2 3" xfId="39951"/>
    <cellStyle name="20% - Accent6 4 6 2 3 3" xfId="25031"/>
    <cellStyle name="20% - Accent6 4 6 2 3 3 2" xfId="44786"/>
    <cellStyle name="20% - Accent6 4 6 2 3 4" xfId="35142"/>
    <cellStyle name="20% - Accent6 4 6 2 4" xfId="20122"/>
    <cellStyle name="20% - Accent6 4 6 2 4 2" xfId="29838"/>
    <cellStyle name="20% - Accent6 4 6 2 4 2 2" xfId="49592"/>
    <cellStyle name="20% - Accent6 4 6 2 4 3" xfId="39948"/>
    <cellStyle name="20% - Accent6 4 6 2 5" xfId="25028"/>
    <cellStyle name="20% - Accent6 4 6 2 5 2" xfId="44783"/>
    <cellStyle name="20% - Accent6 4 6 2 6" xfId="35139"/>
    <cellStyle name="20% - Accent6 4 6 3" xfId="4839"/>
    <cellStyle name="20% - Accent6 4 6 3 2" xfId="4840"/>
    <cellStyle name="20% - Accent6 4 6 3 2 2" xfId="20127"/>
    <cellStyle name="20% - Accent6 4 6 3 2 2 2" xfId="29843"/>
    <cellStyle name="20% - Accent6 4 6 3 2 2 2 2" xfId="49597"/>
    <cellStyle name="20% - Accent6 4 6 3 2 2 3" xfId="39953"/>
    <cellStyle name="20% - Accent6 4 6 3 2 3" xfId="25033"/>
    <cellStyle name="20% - Accent6 4 6 3 2 3 2" xfId="44788"/>
    <cellStyle name="20% - Accent6 4 6 3 2 4" xfId="35144"/>
    <cellStyle name="20% - Accent6 4 6 3 3" xfId="20126"/>
    <cellStyle name="20% - Accent6 4 6 3 3 2" xfId="29842"/>
    <cellStyle name="20% - Accent6 4 6 3 3 2 2" xfId="49596"/>
    <cellStyle name="20% - Accent6 4 6 3 3 3" xfId="39952"/>
    <cellStyle name="20% - Accent6 4 6 3 4" xfId="25032"/>
    <cellStyle name="20% - Accent6 4 6 3 4 2" xfId="44787"/>
    <cellStyle name="20% - Accent6 4 6 3 5" xfId="35143"/>
    <cellStyle name="20% - Accent6 4 6 4" xfId="4841"/>
    <cellStyle name="20% - Accent6 4 6 4 2" xfId="20128"/>
    <cellStyle name="20% - Accent6 4 6 4 2 2" xfId="29844"/>
    <cellStyle name="20% - Accent6 4 6 4 2 2 2" xfId="49598"/>
    <cellStyle name="20% - Accent6 4 6 4 2 3" xfId="39954"/>
    <cellStyle name="20% - Accent6 4 6 4 3" xfId="25034"/>
    <cellStyle name="20% - Accent6 4 6 4 3 2" xfId="44789"/>
    <cellStyle name="20% - Accent6 4 6 4 4" xfId="35145"/>
    <cellStyle name="20% - Accent6 4 6 5" xfId="20121"/>
    <cellStyle name="20% - Accent6 4 6 5 2" xfId="29837"/>
    <cellStyle name="20% - Accent6 4 6 5 2 2" xfId="49591"/>
    <cellStyle name="20% - Accent6 4 6 5 3" xfId="39947"/>
    <cellStyle name="20% - Accent6 4 6 6" xfId="25027"/>
    <cellStyle name="20% - Accent6 4 6 6 2" xfId="44782"/>
    <cellStyle name="20% - Accent6 4 6 7" xfId="35138"/>
    <cellStyle name="20% - Accent6 4 7" xfId="4842"/>
    <cellStyle name="20% - Accent6 4 7 2" xfId="4843"/>
    <cellStyle name="20% - Accent6 4 7 2 2" xfId="4844"/>
    <cellStyle name="20% - Accent6 4 7 2 2 2" xfId="20131"/>
    <cellStyle name="20% - Accent6 4 7 2 2 2 2" xfId="29847"/>
    <cellStyle name="20% - Accent6 4 7 2 2 2 2 2" xfId="49601"/>
    <cellStyle name="20% - Accent6 4 7 2 2 2 3" xfId="39957"/>
    <cellStyle name="20% - Accent6 4 7 2 2 3" xfId="25037"/>
    <cellStyle name="20% - Accent6 4 7 2 2 3 2" xfId="44792"/>
    <cellStyle name="20% - Accent6 4 7 2 2 4" xfId="35148"/>
    <cellStyle name="20% - Accent6 4 7 2 3" xfId="20130"/>
    <cellStyle name="20% - Accent6 4 7 2 3 2" xfId="29846"/>
    <cellStyle name="20% - Accent6 4 7 2 3 2 2" xfId="49600"/>
    <cellStyle name="20% - Accent6 4 7 2 3 3" xfId="39956"/>
    <cellStyle name="20% - Accent6 4 7 2 4" xfId="25036"/>
    <cellStyle name="20% - Accent6 4 7 2 4 2" xfId="44791"/>
    <cellStyle name="20% - Accent6 4 7 2 5" xfId="35147"/>
    <cellStyle name="20% - Accent6 4 7 3" xfId="4845"/>
    <cellStyle name="20% - Accent6 4 7 3 2" xfId="20132"/>
    <cellStyle name="20% - Accent6 4 7 3 2 2" xfId="29848"/>
    <cellStyle name="20% - Accent6 4 7 3 2 2 2" xfId="49602"/>
    <cellStyle name="20% - Accent6 4 7 3 2 3" xfId="39958"/>
    <cellStyle name="20% - Accent6 4 7 3 3" xfId="25038"/>
    <cellStyle name="20% - Accent6 4 7 3 3 2" xfId="44793"/>
    <cellStyle name="20% - Accent6 4 7 3 4" xfId="35149"/>
    <cellStyle name="20% - Accent6 4 7 4" xfId="20129"/>
    <cellStyle name="20% - Accent6 4 7 4 2" xfId="29845"/>
    <cellStyle name="20% - Accent6 4 7 4 2 2" xfId="49599"/>
    <cellStyle name="20% - Accent6 4 7 4 3" xfId="39955"/>
    <cellStyle name="20% - Accent6 4 7 5" xfId="25035"/>
    <cellStyle name="20% - Accent6 4 7 5 2" xfId="44790"/>
    <cellStyle name="20% - Accent6 4 7 6" xfId="35146"/>
    <cellStyle name="20% - Accent6 4 8" xfId="4846"/>
    <cellStyle name="20% - Accent6 4 8 2" xfId="4847"/>
    <cellStyle name="20% - Accent6 4 8 2 2" xfId="20134"/>
    <cellStyle name="20% - Accent6 4 8 2 2 2" xfId="29850"/>
    <cellStyle name="20% - Accent6 4 8 2 2 2 2" xfId="49604"/>
    <cellStyle name="20% - Accent6 4 8 2 2 3" xfId="39960"/>
    <cellStyle name="20% - Accent6 4 8 2 3" xfId="25040"/>
    <cellStyle name="20% - Accent6 4 8 2 3 2" xfId="44795"/>
    <cellStyle name="20% - Accent6 4 8 2 4" xfId="35151"/>
    <cellStyle name="20% - Accent6 4 8 3" xfId="20133"/>
    <cellStyle name="20% - Accent6 4 8 3 2" xfId="29849"/>
    <cellStyle name="20% - Accent6 4 8 3 2 2" xfId="49603"/>
    <cellStyle name="20% - Accent6 4 8 3 3" xfId="39959"/>
    <cellStyle name="20% - Accent6 4 8 4" xfId="25039"/>
    <cellStyle name="20% - Accent6 4 8 4 2" xfId="44794"/>
    <cellStyle name="20% - Accent6 4 8 5" xfId="35150"/>
    <cellStyle name="20% - Accent6 4 9" xfId="4848"/>
    <cellStyle name="20% - Accent6 4 9 2" xfId="4849"/>
    <cellStyle name="20% - Accent6 4 9 2 2" xfId="20136"/>
    <cellStyle name="20% - Accent6 4 9 2 2 2" xfId="29852"/>
    <cellStyle name="20% - Accent6 4 9 2 2 2 2" xfId="49606"/>
    <cellStyle name="20% - Accent6 4 9 2 2 3" xfId="39962"/>
    <cellStyle name="20% - Accent6 4 9 2 3" xfId="25042"/>
    <cellStyle name="20% - Accent6 4 9 2 3 2" xfId="44797"/>
    <cellStyle name="20% - Accent6 4 9 2 4" xfId="35153"/>
    <cellStyle name="20% - Accent6 4 9 3" xfId="20135"/>
    <cellStyle name="20% - Accent6 4 9 3 2" xfId="29851"/>
    <cellStyle name="20% - Accent6 4 9 3 2 2" xfId="49605"/>
    <cellStyle name="20% - Accent6 4 9 3 3" xfId="39961"/>
    <cellStyle name="20% - Accent6 4 9 4" xfId="25041"/>
    <cellStyle name="20% - Accent6 4 9 4 2" xfId="44796"/>
    <cellStyle name="20% - Accent6 4 9 5" xfId="35152"/>
    <cellStyle name="20% - Accent6 5" xfId="110"/>
    <cellStyle name="20% - Accent6 5 10" xfId="4850"/>
    <cellStyle name="20% - Accent6 5 10 2" xfId="20137"/>
    <cellStyle name="20% - Accent6 5 10 2 2" xfId="29853"/>
    <cellStyle name="20% - Accent6 5 10 2 2 2" xfId="49607"/>
    <cellStyle name="20% - Accent6 5 10 2 3" xfId="39963"/>
    <cellStyle name="20% - Accent6 5 10 3" xfId="25043"/>
    <cellStyle name="20% - Accent6 5 10 3 2" xfId="44798"/>
    <cellStyle name="20% - Accent6 5 10 4" xfId="35154"/>
    <cellStyle name="20% - Accent6 5 11" xfId="4851"/>
    <cellStyle name="20% - Accent6 5 11 2" xfId="20138"/>
    <cellStyle name="20% - Accent6 5 11 2 2" xfId="29854"/>
    <cellStyle name="20% - Accent6 5 11 2 2 2" xfId="49608"/>
    <cellStyle name="20% - Accent6 5 11 2 3" xfId="39964"/>
    <cellStyle name="20% - Accent6 5 11 3" xfId="25044"/>
    <cellStyle name="20% - Accent6 5 11 3 2" xfId="44799"/>
    <cellStyle name="20% - Accent6 5 11 4" xfId="35155"/>
    <cellStyle name="20% - Accent6 5 12" xfId="15499"/>
    <cellStyle name="20% - Accent6 5 12 2" xfId="20371"/>
    <cellStyle name="20% - Accent6 5 12 2 2" xfId="30085"/>
    <cellStyle name="20% - Accent6 5 12 2 2 2" xfId="49838"/>
    <cellStyle name="20% - Accent6 5 12 2 3" xfId="40194"/>
    <cellStyle name="20% - Accent6 5 12 3" xfId="25273"/>
    <cellStyle name="20% - Accent6 5 12 3 2" xfId="45027"/>
    <cellStyle name="20% - Accent6 5 12 4" xfId="35383"/>
    <cellStyle name="20% - Accent6 5 13" xfId="15897"/>
    <cellStyle name="20% - Accent6 5 13 2" xfId="25613"/>
    <cellStyle name="20% - Accent6 5 13 2 2" xfId="45367"/>
    <cellStyle name="20% - Accent6 5 13 3" xfId="35723"/>
    <cellStyle name="20% - Accent6 5 14" xfId="20773"/>
    <cellStyle name="20% - Accent6 5 14 2" xfId="40553"/>
    <cellStyle name="20% - Accent6 5 15" xfId="30512"/>
    <cellStyle name="20% - Accent6 5 15 2" xfId="50260"/>
    <cellStyle name="20% - Accent6 5 16" xfId="30884"/>
    <cellStyle name="20% - Accent6 5 2" xfId="111"/>
    <cellStyle name="20% - Accent6 5 2 10" xfId="15500"/>
    <cellStyle name="20% - Accent6 5 2 10 2" xfId="20372"/>
    <cellStyle name="20% - Accent6 5 2 10 2 2" xfId="30086"/>
    <cellStyle name="20% - Accent6 5 2 10 2 2 2" xfId="49839"/>
    <cellStyle name="20% - Accent6 5 2 10 2 3" xfId="40195"/>
    <cellStyle name="20% - Accent6 5 2 10 3" xfId="25274"/>
    <cellStyle name="20% - Accent6 5 2 10 3 2" xfId="45028"/>
    <cellStyle name="20% - Accent6 5 2 10 4" xfId="35384"/>
    <cellStyle name="20% - Accent6 5 2 11" xfId="15898"/>
    <cellStyle name="20% - Accent6 5 2 11 2" xfId="25614"/>
    <cellStyle name="20% - Accent6 5 2 11 2 2" xfId="45368"/>
    <cellStyle name="20% - Accent6 5 2 11 3" xfId="35724"/>
    <cellStyle name="20% - Accent6 5 2 12" xfId="20774"/>
    <cellStyle name="20% - Accent6 5 2 12 2" xfId="40554"/>
    <cellStyle name="20% - Accent6 5 2 13" xfId="30513"/>
    <cellStyle name="20% - Accent6 5 2 13 2" xfId="50261"/>
    <cellStyle name="20% - Accent6 5 2 14" xfId="30885"/>
    <cellStyle name="20% - Accent6 5 2 2" xfId="850"/>
    <cellStyle name="20% - Accent6 5 2 2 2" xfId="4852"/>
    <cellStyle name="20% - Accent6 5 2 2 2 2" xfId="4853"/>
    <cellStyle name="20% - Accent6 5 2 2 2 2 2" xfId="4854"/>
    <cellStyle name="20% - Accent6 5 2 2 2 2 2 2" xfId="20141"/>
    <cellStyle name="20% - Accent6 5 2 2 2 2 2 2 2" xfId="29857"/>
    <cellStyle name="20% - Accent6 5 2 2 2 2 2 2 2 2" xfId="49611"/>
    <cellStyle name="20% - Accent6 5 2 2 2 2 2 2 3" xfId="39967"/>
    <cellStyle name="20% - Accent6 5 2 2 2 2 2 3" xfId="25047"/>
    <cellStyle name="20% - Accent6 5 2 2 2 2 2 3 2" xfId="44802"/>
    <cellStyle name="20% - Accent6 5 2 2 2 2 2 4" xfId="35158"/>
    <cellStyle name="20% - Accent6 5 2 2 2 2 3" xfId="20140"/>
    <cellStyle name="20% - Accent6 5 2 2 2 2 3 2" xfId="29856"/>
    <cellStyle name="20% - Accent6 5 2 2 2 2 3 2 2" xfId="49610"/>
    <cellStyle name="20% - Accent6 5 2 2 2 2 3 3" xfId="39966"/>
    <cellStyle name="20% - Accent6 5 2 2 2 2 4" xfId="25046"/>
    <cellStyle name="20% - Accent6 5 2 2 2 2 4 2" xfId="44801"/>
    <cellStyle name="20% - Accent6 5 2 2 2 2 5" xfId="35157"/>
    <cellStyle name="20% - Accent6 5 2 2 2 3" xfId="4855"/>
    <cellStyle name="20% - Accent6 5 2 2 2 3 2" xfId="20142"/>
    <cellStyle name="20% - Accent6 5 2 2 2 3 2 2" xfId="29858"/>
    <cellStyle name="20% - Accent6 5 2 2 2 3 2 2 2" xfId="49612"/>
    <cellStyle name="20% - Accent6 5 2 2 2 3 2 3" xfId="39968"/>
    <cellStyle name="20% - Accent6 5 2 2 2 3 3" xfId="25048"/>
    <cellStyle name="20% - Accent6 5 2 2 2 3 3 2" xfId="44803"/>
    <cellStyle name="20% - Accent6 5 2 2 2 3 4" xfId="35159"/>
    <cellStyle name="20% - Accent6 5 2 2 2 4" xfId="20139"/>
    <cellStyle name="20% - Accent6 5 2 2 2 4 2" xfId="29855"/>
    <cellStyle name="20% - Accent6 5 2 2 2 4 2 2" xfId="49609"/>
    <cellStyle name="20% - Accent6 5 2 2 2 4 3" xfId="39965"/>
    <cellStyle name="20% - Accent6 5 2 2 2 5" xfId="25045"/>
    <cellStyle name="20% - Accent6 5 2 2 2 5 2" xfId="44800"/>
    <cellStyle name="20% - Accent6 5 2 2 2 6" xfId="35156"/>
    <cellStyle name="20% - Accent6 5 2 2 3" xfId="4856"/>
    <cellStyle name="20% - Accent6 5 2 2 3 2" xfId="4857"/>
    <cellStyle name="20% - Accent6 5 2 2 3 2 2" xfId="20144"/>
    <cellStyle name="20% - Accent6 5 2 2 3 2 2 2" xfId="29860"/>
    <cellStyle name="20% - Accent6 5 2 2 3 2 2 2 2" xfId="49614"/>
    <cellStyle name="20% - Accent6 5 2 2 3 2 2 3" xfId="39970"/>
    <cellStyle name="20% - Accent6 5 2 2 3 2 3" xfId="25050"/>
    <cellStyle name="20% - Accent6 5 2 2 3 2 3 2" xfId="44805"/>
    <cellStyle name="20% - Accent6 5 2 2 3 2 4" xfId="35161"/>
    <cellStyle name="20% - Accent6 5 2 2 3 3" xfId="20143"/>
    <cellStyle name="20% - Accent6 5 2 2 3 3 2" xfId="29859"/>
    <cellStyle name="20% - Accent6 5 2 2 3 3 2 2" xfId="49613"/>
    <cellStyle name="20% - Accent6 5 2 2 3 3 3" xfId="39969"/>
    <cellStyle name="20% - Accent6 5 2 2 3 4" xfId="25049"/>
    <cellStyle name="20% - Accent6 5 2 2 3 4 2" xfId="44804"/>
    <cellStyle name="20% - Accent6 5 2 2 3 5" xfId="35160"/>
    <cellStyle name="20% - Accent6 5 2 2 4" xfId="4858"/>
    <cellStyle name="20% - Accent6 5 2 2 4 2" xfId="20145"/>
    <cellStyle name="20% - Accent6 5 2 2 4 2 2" xfId="29861"/>
    <cellStyle name="20% - Accent6 5 2 2 4 2 2 2" xfId="49615"/>
    <cellStyle name="20% - Accent6 5 2 2 4 2 3" xfId="39971"/>
    <cellStyle name="20% - Accent6 5 2 2 4 3" xfId="25051"/>
    <cellStyle name="20% - Accent6 5 2 2 4 3 2" xfId="44806"/>
    <cellStyle name="20% - Accent6 5 2 2 4 4" xfId="35162"/>
    <cellStyle name="20% - Accent6 5 2 2 5" xfId="15501"/>
    <cellStyle name="20% - Accent6 5 2 2 5 2" xfId="20373"/>
    <cellStyle name="20% - Accent6 5 2 2 5 2 2" xfId="30087"/>
    <cellStyle name="20% - Accent6 5 2 2 5 2 2 2" xfId="49840"/>
    <cellStyle name="20% - Accent6 5 2 2 5 2 3" xfId="40196"/>
    <cellStyle name="20% - Accent6 5 2 2 5 3" xfId="25275"/>
    <cellStyle name="20% - Accent6 5 2 2 5 3 2" xfId="45029"/>
    <cellStyle name="20% - Accent6 5 2 2 5 4" xfId="35385"/>
    <cellStyle name="20% - Accent6 5 2 2 6" xfId="16197"/>
    <cellStyle name="20% - Accent6 5 2 2 6 2" xfId="25913"/>
    <cellStyle name="20% - Accent6 5 2 2 6 2 2" xfId="45667"/>
    <cellStyle name="20% - Accent6 5 2 2 6 3" xfId="36023"/>
    <cellStyle name="20% - Accent6 5 2 2 7" xfId="21103"/>
    <cellStyle name="20% - Accent6 5 2 2 7 2" xfId="40858"/>
    <cellStyle name="20% - Accent6 5 2 2 8" xfId="30514"/>
    <cellStyle name="20% - Accent6 5 2 2 8 2" xfId="50262"/>
    <cellStyle name="20% - Accent6 5 2 2 9" xfId="31214"/>
    <cellStyle name="20% - Accent6 5 2 3" xfId="851"/>
    <cellStyle name="20% - Accent6 5 2 3 2" xfId="4859"/>
    <cellStyle name="20% - Accent6 5 2 3 2 2" xfId="4860"/>
    <cellStyle name="20% - Accent6 5 2 3 2 2 2" xfId="4861"/>
    <cellStyle name="20% - Accent6 5 2 3 2 2 2 2" xfId="20148"/>
    <cellStyle name="20% - Accent6 5 2 3 2 2 2 2 2" xfId="29864"/>
    <cellStyle name="20% - Accent6 5 2 3 2 2 2 2 2 2" xfId="49618"/>
    <cellStyle name="20% - Accent6 5 2 3 2 2 2 2 3" xfId="39974"/>
    <cellStyle name="20% - Accent6 5 2 3 2 2 2 3" xfId="25054"/>
    <cellStyle name="20% - Accent6 5 2 3 2 2 2 3 2" xfId="44809"/>
    <cellStyle name="20% - Accent6 5 2 3 2 2 2 4" xfId="35165"/>
    <cellStyle name="20% - Accent6 5 2 3 2 2 3" xfId="20147"/>
    <cellStyle name="20% - Accent6 5 2 3 2 2 3 2" xfId="29863"/>
    <cellStyle name="20% - Accent6 5 2 3 2 2 3 2 2" xfId="49617"/>
    <cellStyle name="20% - Accent6 5 2 3 2 2 3 3" xfId="39973"/>
    <cellStyle name="20% - Accent6 5 2 3 2 2 4" xfId="25053"/>
    <cellStyle name="20% - Accent6 5 2 3 2 2 4 2" xfId="44808"/>
    <cellStyle name="20% - Accent6 5 2 3 2 2 5" xfId="35164"/>
    <cellStyle name="20% - Accent6 5 2 3 2 3" xfId="4862"/>
    <cellStyle name="20% - Accent6 5 2 3 2 3 2" xfId="20149"/>
    <cellStyle name="20% - Accent6 5 2 3 2 3 2 2" xfId="29865"/>
    <cellStyle name="20% - Accent6 5 2 3 2 3 2 2 2" xfId="49619"/>
    <cellStyle name="20% - Accent6 5 2 3 2 3 2 3" xfId="39975"/>
    <cellStyle name="20% - Accent6 5 2 3 2 3 3" xfId="25055"/>
    <cellStyle name="20% - Accent6 5 2 3 2 3 3 2" xfId="44810"/>
    <cellStyle name="20% - Accent6 5 2 3 2 3 4" xfId="35166"/>
    <cellStyle name="20% - Accent6 5 2 3 2 4" xfId="20146"/>
    <cellStyle name="20% - Accent6 5 2 3 2 4 2" xfId="29862"/>
    <cellStyle name="20% - Accent6 5 2 3 2 4 2 2" xfId="49616"/>
    <cellStyle name="20% - Accent6 5 2 3 2 4 3" xfId="39972"/>
    <cellStyle name="20% - Accent6 5 2 3 2 5" xfId="25052"/>
    <cellStyle name="20% - Accent6 5 2 3 2 5 2" xfId="44807"/>
    <cellStyle name="20% - Accent6 5 2 3 2 6" xfId="35163"/>
    <cellStyle name="20% - Accent6 5 2 3 3" xfId="4863"/>
    <cellStyle name="20% - Accent6 5 2 3 3 2" xfId="4864"/>
    <cellStyle name="20% - Accent6 5 2 3 3 2 2" xfId="20151"/>
    <cellStyle name="20% - Accent6 5 2 3 3 2 2 2" xfId="29867"/>
    <cellStyle name="20% - Accent6 5 2 3 3 2 2 2 2" xfId="49621"/>
    <cellStyle name="20% - Accent6 5 2 3 3 2 2 3" xfId="39977"/>
    <cellStyle name="20% - Accent6 5 2 3 3 2 3" xfId="25057"/>
    <cellStyle name="20% - Accent6 5 2 3 3 2 3 2" xfId="44812"/>
    <cellStyle name="20% - Accent6 5 2 3 3 2 4" xfId="35168"/>
    <cellStyle name="20% - Accent6 5 2 3 3 3" xfId="20150"/>
    <cellStyle name="20% - Accent6 5 2 3 3 3 2" xfId="29866"/>
    <cellStyle name="20% - Accent6 5 2 3 3 3 2 2" xfId="49620"/>
    <cellStyle name="20% - Accent6 5 2 3 3 3 3" xfId="39976"/>
    <cellStyle name="20% - Accent6 5 2 3 3 4" xfId="25056"/>
    <cellStyle name="20% - Accent6 5 2 3 3 4 2" xfId="44811"/>
    <cellStyle name="20% - Accent6 5 2 3 3 5" xfId="35167"/>
    <cellStyle name="20% - Accent6 5 2 3 4" xfId="4865"/>
    <cellStyle name="20% - Accent6 5 2 3 4 2" xfId="20152"/>
    <cellStyle name="20% - Accent6 5 2 3 4 2 2" xfId="29868"/>
    <cellStyle name="20% - Accent6 5 2 3 4 2 2 2" xfId="49622"/>
    <cellStyle name="20% - Accent6 5 2 3 4 2 3" xfId="39978"/>
    <cellStyle name="20% - Accent6 5 2 3 4 3" xfId="25058"/>
    <cellStyle name="20% - Accent6 5 2 3 4 3 2" xfId="44813"/>
    <cellStyle name="20% - Accent6 5 2 3 4 4" xfId="35169"/>
    <cellStyle name="20% - Accent6 5 2 3 5" xfId="16198"/>
    <cellStyle name="20% - Accent6 5 2 3 5 2" xfId="25914"/>
    <cellStyle name="20% - Accent6 5 2 3 5 2 2" xfId="45668"/>
    <cellStyle name="20% - Accent6 5 2 3 5 3" xfId="36024"/>
    <cellStyle name="20% - Accent6 5 2 3 6" xfId="21104"/>
    <cellStyle name="20% - Accent6 5 2 3 6 2" xfId="40859"/>
    <cellStyle name="20% - Accent6 5 2 3 7" xfId="31215"/>
    <cellStyle name="20% - Accent6 5 2 4" xfId="4866"/>
    <cellStyle name="20% - Accent6 5 2 4 2" xfId="4867"/>
    <cellStyle name="20% - Accent6 5 2 4 2 2" xfId="4868"/>
    <cellStyle name="20% - Accent6 5 2 4 2 2 2" xfId="4869"/>
    <cellStyle name="20% - Accent6 5 2 4 2 2 2 2" xfId="20156"/>
    <cellStyle name="20% - Accent6 5 2 4 2 2 2 2 2" xfId="29872"/>
    <cellStyle name="20% - Accent6 5 2 4 2 2 2 2 2 2" xfId="49626"/>
    <cellStyle name="20% - Accent6 5 2 4 2 2 2 2 3" xfId="39982"/>
    <cellStyle name="20% - Accent6 5 2 4 2 2 2 3" xfId="25062"/>
    <cellStyle name="20% - Accent6 5 2 4 2 2 2 3 2" xfId="44817"/>
    <cellStyle name="20% - Accent6 5 2 4 2 2 2 4" xfId="35173"/>
    <cellStyle name="20% - Accent6 5 2 4 2 2 3" xfId="20155"/>
    <cellStyle name="20% - Accent6 5 2 4 2 2 3 2" xfId="29871"/>
    <cellStyle name="20% - Accent6 5 2 4 2 2 3 2 2" xfId="49625"/>
    <cellStyle name="20% - Accent6 5 2 4 2 2 3 3" xfId="39981"/>
    <cellStyle name="20% - Accent6 5 2 4 2 2 4" xfId="25061"/>
    <cellStyle name="20% - Accent6 5 2 4 2 2 4 2" xfId="44816"/>
    <cellStyle name="20% - Accent6 5 2 4 2 2 5" xfId="35172"/>
    <cellStyle name="20% - Accent6 5 2 4 2 3" xfId="4870"/>
    <cellStyle name="20% - Accent6 5 2 4 2 3 2" xfId="20157"/>
    <cellStyle name="20% - Accent6 5 2 4 2 3 2 2" xfId="29873"/>
    <cellStyle name="20% - Accent6 5 2 4 2 3 2 2 2" xfId="49627"/>
    <cellStyle name="20% - Accent6 5 2 4 2 3 2 3" xfId="39983"/>
    <cellStyle name="20% - Accent6 5 2 4 2 3 3" xfId="25063"/>
    <cellStyle name="20% - Accent6 5 2 4 2 3 3 2" xfId="44818"/>
    <cellStyle name="20% - Accent6 5 2 4 2 3 4" xfId="35174"/>
    <cellStyle name="20% - Accent6 5 2 4 2 4" xfId="20154"/>
    <cellStyle name="20% - Accent6 5 2 4 2 4 2" xfId="29870"/>
    <cellStyle name="20% - Accent6 5 2 4 2 4 2 2" xfId="49624"/>
    <cellStyle name="20% - Accent6 5 2 4 2 4 3" xfId="39980"/>
    <cellStyle name="20% - Accent6 5 2 4 2 5" xfId="25060"/>
    <cellStyle name="20% - Accent6 5 2 4 2 5 2" xfId="44815"/>
    <cellStyle name="20% - Accent6 5 2 4 2 6" xfId="35171"/>
    <cellStyle name="20% - Accent6 5 2 4 3" xfId="4871"/>
    <cellStyle name="20% - Accent6 5 2 4 3 2" xfId="4872"/>
    <cellStyle name="20% - Accent6 5 2 4 3 2 2" xfId="20159"/>
    <cellStyle name="20% - Accent6 5 2 4 3 2 2 2" xfId="29875"/>
    <cellStyle name="20% - Accent6 5 2 4 3 2 2 2 2" xfId="49629"/>
    <cellStyle name="20% - Accent6 5 2 4 3 2 2 3" xfId="39985"/>
    <cellStyle name="20% - Accent6 5 2 4 3 2 3" xfId="25065"/>
    <cellStyle name="20% - Accent6 5 2 4 3 2 3 2" xfId="44820"/>
    <cellStyle name="20% - Accent6 5 2 4 3 2 4" xfId="35176"/>
    <cellStyle name="20% - Accent6 5 2 4 3 3" xfId="20158"/>
    <cellStyle name="20% - Accent6 5 2 4 3 3 2" xfId="29874"/>
    <cellStyle name="20% - Accent6 5 2 4 3 3 2 2" xfId="49628"/>
    <cellStyle name="20% - Accent6 5 2 4 3 3 3" xfId="39984"/>
    <cellStyle name="20% - Accent6 5 2 4 3 4" xfId="25064"/>
    <cellStyle name="20% - Accent6 5 2 4 3 4 2" xfId="44819"/>
    <cellStyle name="20% - Accent6 5 2 4 3 5" xfId="35175"/>
    <cellStyle name="20% - Accent6 5 2 4 4" xfId="4873"/>
    <cellStyle name="20% - Accent6 5 2 4 4 2" xfId="20160"/>
    <cellStyle name="20% - Accent6 5 2 4 4 2 2" xfId="29876"/>
    <cellStyle name="20% - Accent6 5 2 4 4 2 2 2" xfId="49630"/>
    <cellStyle name="20% - Accent6 5 2 4 4 2 3" xfId="39986"/>
    <cellStyle name="20% - Accent6 5 2 4 4 3" xfId="25066"/>
    <cellStyle name="20% - Accent6 5 2 4 4 3 2" xfId="44821"/>
    <cellStyle name="20% - Accent6 5 2 4 4 4" xfId="35177"/>
    <cellStyle name="20% - Accent6 5 2 4 5" xfId="20153"/>
    <cellStyle name="20% - Accent6 5 2 4 5 2" xfId="29869"/>
    <cellStyle name="20% - Accent6 5 2 4 5 2 2" xfId="49623"/>
    <cellStyle name="20% - Accent6 5 2 4 5 3" xfId="39979"/>
    <cellStyle name="20% - Accent6 5 2 4 6" xfId="25059"/>
    <cellStyle name="20% - Accent6 5 2 4 6 2" xfId="44814"/>
    <cellStyle name="20% - Accent6 5 2 4 7" xfId="35170"/>
    <cellStyle name="20% - Accent6 5 2 5" xfId="4874"/>
    <cellStyle name="20% - Accent6 5 2 5 2" xfId="4875"/>
    <cellStyle name="20% - Accent6 5 2 5 2 2" xfId="4876"/>
    <cellStyle name="20% - Accent6 5 2 5 2 2 2" xfId="20163"/>
    <cellStyle name="20% - Accent6 5 2 5 2 2 2 2" xfId="29879"/>
    <cellStyle name="20% - Accent6 5 2 5 2 2 2 2 2" xfId="49633"/>
    <cellStyle name="20% - Accent6 5 2 5 2 2 2 3" xfId="39989"/>
    <cellStyle name="20% - Accent6 5 2 5 2 2 3" xfId="25069"/>
    <cellStyle name="20% - Accent6 5 2 5 2 2 3 2" xfId="44824"/>
    <cellStyle name="20% - Accent6 5 2 5 2 2 4" xfId="35180"/>
    <cellStyle name="20% - Accent6 5 2 5 2 3" xfId="20162"/>
    <cellStyle name="20% - Accent6 5 2 5 2 3 2" xfId="29878"/>
    <cellStyle name="20% - Accent6 5 2 5 2 3 2 2" xfId="49632"/>
    <cellStyle name="20% - Accent6 5 2 5 2 3 3" xfId="39988"/>
    <cellStyle name="20% - Accent6 5 2 5 2 4" xfId="25068"/>
    <cellStyle name="20% - Accent6 5 2 5 2 4 2" xfId="44823"/>
    <cellStyle name="20% - Accent6 5 2 5 2 5" xfId="35179"/>
    <cellStyle name="20% - Accent6 5 2 5 3" xfId="4877"/>
    <cellStyle name="20% - Accent6 5 2 5 3 2" xfId="20164"/>
    <cellStyle name="20% - Accent6 5 2 5 3 2 2" xfId="29880"/>
    <cellStyle name="20% - Accent6 5 2 5 3 2 2 2" xfId="49634"/>
    <cellStyle name="20% - Accent6 5 2 5 3 2 3" xfId="39990"/>
    <cellStyle name="20% - Accent6 5 2 5 3 3" xfId="25070"/>
    <cellStyle name="20% - Accent6 5 2 5 3 3 2" xfId="44825"/>
    <cellStyle name="20% - Accent6 5 2 5 3 4" xfId="35181"/>
    <cellStyle name="20% - Accent6 5 2 5 4" xfId="20161"/>
    <cellStyle name="20% - Accent6 5 2 5 4 2" xfId="29877"/>
    <cellStyle name="20% - Accent6 5 2 5 4 2 2" xfId="49631"/>
    <cellStyle name="20% - Accent6 5 2 5 4 3" xfId="39987"/>
    <cellStyle name="20% - Accent6 5 2 5 5" xfId="25067"/>
    <cellStyle name="20% - Accent6 5 2 5 5 2" xfId="44822"/>
    <cellStyle name="20% - Accent6 5 2 5 6" xfId="35178"/>
    <cellStyle name="20% - Accent6 5 2 6" xfId="4878"/>
    <cellStyle name="20% - Accent6 5 2 6 2" xfId="4879"/>
    <cellStyle name="20% - Accent6 5 2 6 2 2" xfId="20166"/>
    <cellStyle name="20% - Accent6 5 2 6 2 2 2" xfId="29882"/>
    <cellStyle name="20% - Accent6 5 2 6 2 2 2 2" xfId="49636"/>
    <cellStyle name="20% - Accent6 5 2 6 2 2 3" xfId="39992"/>
    <cellStyle name="20% - Accent6 5 2 6 2 3" xfId="25072"/>
    <cellStyle name="20% - Accent6 5 2 6 2 3 2" xfId="44827"/>
    <cellStyle name="20% - Accent6 5 2 6 2 4" xfId="35183"/>
    <cellStyle name="20% - Accent6 5 2 6 3" xfId="20165"/>
    <cellStyle name="20% - Accent6 5 2 6 3 2" xfId="29881"/>
    <cellStyle name="20% - Accent6 5 2 6 3 2 2" xfId="49635"/>
    <cellStyle name="20% - Accent6 5 2 6 3 3" xfId="39991"/>
    <cellStyle name="20% - Accent6 5 2 6 4" xfId="25071"/>
    <cellStyle name="20% - Accent6 5 2 6 4 2" xfId="44826"/>
    <cellStyle name="20% - Accent6 5 2 6 5" xfId="35182"/>
    <cellStyle name="20% - Accent6 5 2 7" xfId="4880"/>
    <cellStyle name="20% - Accent6 5 2 7 2" xfId="20167"/>
    <cellStyle name="20% - Accent6 5 2 7 2 2" xfId="29883"/>
    <cellStyle name="20% - Accent6 5 2 7 2 2 2" xfId="49637"/>
    <cellStyle name="20% - Accent6 5 2 7 2 3" xfId="39993"/>
    <cellStyle name="20% - Accent6 5 2 7 3" xfId="25073"/>
    <cellStyle name="20% - Accent6 5 2 7 3 2" xfId="44828"/>
    <cellStyle name="20% - Accent6 5 2 7 4" xfId="35184"/>
    <cellStyle name="20% - Accent6 5 2 8" xfId="4881"/>
    <cellStyle name="20% - Accent6 5 2 8 2" xfId="20168"/>
    <cellStyle name="20% - Accent6 5 2 8 2 2" xfId="29884"/>
    <cellStyle name="20% - Accent6 5 2 8 2 2 2" xfId="49638"/>
    <cellStyle name="20% - Accent6 5 2 8 2 3" xfId="39994"/>
    <cellStyle name="20% - Accent6 5 2 8 3" xfId="25074"/>
    <cellStyle name="20% - Accent6 5 2 8 3 2" xfId="44829"/>
    <cellStyle name="20% - Accent6 5 2 8 4" xfId="35185"/>
    <cellStyle name="20% - Accent6 5 2 9" xfId="4882"/>
    <cellStyle name="20% - Accent6 5 2 9 2" xfId="20169"/>
    <cellStyle name="20% - Accent6 5 2 9 2 2" xfId="29885"/>
    <cellStyle name="20% - Accent6 5 2 9 2 2 2" xfId="49639"/>
    <cellStyle name="20% - Accent6 5 2 9 2 3" xfId="39995"/>
    <cellStyle name="20% - Accent6 5 2 9 3" xfId="25075"/>
    <cellStyle name="20% - Accent6 5 2 9 3 2" xfId="44830"/>
    <cellStyle name="20% - Accent6 5 2 9 4" xfId="35186"/>
    <cellStyle name="20% - Accent6 5 3" xfId="852"/>
    <cellStyle name="20% - Accent6 5 3 2" xfId="4883"/>
    <cellStyle name="20% - Accent6 5 3 2 2" xfId="4884"/>
    <cellStyle name="20% - Accent6 5 3 2 2 2" xfId="4885"/>
    <cellStyle name="20% - Accent6 5 3 2 2 2 2" xfId="20172"/>
    <cellStyle name="20% - Accent6 5 3 2 2 2 2 2" xfId="29888"/>
    <cellStyle name="20% - Accent6 5 3 2 2 2 2 2 2" xfId="49642"/>
    <cellStyle name="20% - Accent6 5 3 2 2 2 2 3" xfId="39998"/>
    <cellStyle name="20% - Accent6 5 3 2 2 2 3" xfId="25078"/>
    <cellStyle name="20% - Accent6 5 3 2 2 2 3 2" xfId="44833"/>
    <cellStyle name="20% - Accent6 5 3 2 2 2 4" xfId="35189"/>
    <cellStyle name="20% - Accent6 5 3 2 2 3" xfId="20171"/>
    <cellStyle name="20% - Accent6 5 3 2 2 3 2" xfId="29887"/>
    <cellStyle name="20% - Accent6 5 3 2 2 3 2 2" xfId="49641"/>
    <cellStyle name="20% - Accent6 5 3 2 2 3 3" xfId="39997"/>
    <cellStyle name="20% - Accent6 5 3 2 2 4" xfId="25077"/>
    <cellStyle name="20% - Accent6 5 3 2 2 4 2" xfId="44832"/>
    <cellStyle name="20% - Accent6 5 3 2 2 5" xfId="35188"/>
    <cellStyle name="20% - Accent6 5 3 2 3" xfId="4886"/>
    <cellStyle name="20% - Accent6 5 3 2 3 2" xfId="20173"/>
    <cellStyle name="20% - Accent6 5 3 2 3 2 2" xfId="29889"/>
    <cellStyle name="20% - Accent6 5 3 2 3 2 2 2" xfId="49643"/>
    <cellStyle name="20% - Accent6 5 3 2 3 2 3" xfId="39999"/>
    <cellStyle name="20% - Accent6 5 3 2 3 3" xfId="25079"/>
    <cellStyle name="20% - Accent6 5 3 2 3 3 2" xfId="44834"/>
    <cellStyle name="20% - Accent6 5 3 2 3 4" xfId="35190"/>
    <cellStyle name="20% - Accent6 5 3 2 4" xfId="20170"/>
    <cellStyle name="20% - Accent6 5 3 2 4 2" xfId="29886"/>
    <cellStyle name="20% - Accent6 5 3 2 4 2 2" xfId="49640"/>
    <cellStyle name="20% - Accent6 5 3 2 4 3" xfId="39996"/>
    <cellStyle name="20% - Accent6 5 3 2 5" xfId="25076"/>
    <cellStyle name="20% - Accent6 5 3 2 5 2" xfId="44831"/>
    <cellStyle name="20% - Accent6 5 3 2 6" xfId="35187"/>
    <cellStyle name="20% - Accent6 5 3 3" xfId="4887"/>
    <cellStyle name="20% - Accent6 5 3 3 2" xfId="4888"/>
    <cellStyle name="20% - Accent6 5 3 3 2 2" xfId="20175"/>
    <cellStyle name="20% - Accent6 5 3 3 2 2 2" xfId="29891"/>
    <cellStyle name="20% - Accent6 5 3 3 2 2 2 2" xfId="49645"/>
    <cellStyle name="20% - Accent6 5 3 3 2 2 3" xfId="40001"/>
    <cellStyle name="20% - Accent6 5 3 3 2 3" xfId="25081"/>
    <cellStyle name="20% - Accent6 5 3 3 2 3 2" xfId="44836"/>
    <cellStyle name="20% - Accent6 5 3 3 2 4" xfId="35192"/>
    <cellStyle name="20% - Accent6 5 3 3 3" xfId="20174"/>
    <cellStyle name="20% - Accent6 5 3 3 3 2" xfId="29890"/>
    <cellStyle name="20% - Accent6 5 3 3 3 2 2" xfId="49644"/>
    <cellStyle name="20% - Accent6 5 3 3 3 3" xfId="40000"/>
    <cellStyle name="20% - Accent6 5 3 3 4" xfId="25080"/>
    <cellStyle name="20% - Accent6 5 3 3 4 2" xfId="44835"/>
    <cellStyle name="20% - Accent6 5 3 3 5" xfId="35191"/>
    <cellStyle name="20% - Accent6 5 3 4" xfId="4889"/>
    <cellStyle name="20% - Accent6 5 3 4 2" xfId="20176"/>
    <cellStyle name="20% - Accent6 5 3 4 2 2" xfId="29892"/>
    <cellStyle name="20% - Accent6 5 3 4 2 2 2" xfId="49646"/>
    <cellStyle name="20% - Accent6 5 3 4 2 3" xfId="40002"/>
    <cellStyle name="20% - Accent6 5 3 4 3" xfId="25082"/>
    <cellStyle name="20% - Accent6 5 3 4 3 2" xfId="44837"/>
    <cellStyle name="20% - Accent6 5 3 4 4" xfId="35193"/>
    <cellStyle name="20% - Accent6 5 3 5" xfId="15502"/>
    <cellStyle name="20% - Accent6 5 3 5 2" xfId="20374"/>
    <cellStyle name="20% - Accent6 5 3 5 2 2" xfId="30088"/>
    <cellStyle name="20% - Accent6 5 3 5 2 2 2" xfId="49841"/>
    <cellStyle name="20% - Accent6 5 3 5 2 3" xfId="40197"/>
    <cellStyle name="20% - Accent6 5 3 5 3" xfId="25276"/>
    <cellStyle name="20% - Accent6 5 3 5 3 2" xfId="45030"/>
    <cellStyle name="20% - Accent6 5 3 5 4" xfId="35386"/>
    <cellStyle name="20% - Accent6 5 3 6" xfId="16199"/>
    <cellStyle name="20% - Accent6 5 3 6 2" xfId="25915"/>
    <cellStyle name="20% - Accent6 5 3 6 2 2" xfId="45669"/>
    <cellStyle name="20% - Accent6 5 3 6 3" xfId="36025"/>
    <cellStyle name="20% - Accent6 5 3 7" xfId="21105"/>
    <cellStyle name="20% - Accent6 5 3 7 2" xfId="40860"/>
    <cellStyle name="20% - Accent6 5 3 8" xfId="30515"/>
    <cellStyle name="20% - Accent6 5 3 8 2" xfId="50263"/>
    <cellStyle name="20% - Accent6 5 3 9" xfId="31216"/>
    <cellStyle name="20% - Accent6 5 4" xfId="853"/>
    <cellStyle name="20% - Accent6 5 4 2" xfId="4890"/>
    <cellStyle name="20% - Accent6 5 4 2 2" xfId="4891"/>
    <cellStyle name="20% - Accent6 5 4 2 2 2" xfId="4892"/>
    <cellStyle name="20% - Accent6 5 4 2 2 2 2" xfId="20179"/>
    <cellStyle name="20% - Accent6 5 4 2 2 2 2 2" xfId="29895"/>
    <cellStyle name="20% - Accent6 5 4 2 2 2 2 2 2" xfId="49649"/>
    <cellStyle name="20% - Accent6 5 4 2 2 2 2 3" xfId="40005"/>
    <cellStyle name="20% - Accent6 5 4 2 2 2 3" xfId="25085"/>
    <cellStyle name="20% - Accent6 5 4 2 2 2 3 2" xfId="44840"/>
    <cellStyle name="20% - Accent6 5 4 2 2 2 4" xfId="35196"/>
    <cellStyle name="20% - Accent6 5 4 2 2 3" xfId="20178"/>
    <cellStyle name="20% - Accent6 5 4 2 2 3 2" xfId="29894"/>
    <cellStyle name="20% - Accent6 5 4 2 2 3 2 2" xfId="49648"/>
    <cellStyle name="20% - Accent6 5 4 2 2 3 3" xfId="40004"/>
    <cellStyle name="20% - Accent6 5 4 2 2 4" xfId="25084"/>
    <cellStyle name="20% - Accent6 5 4 2 2 4 2" xfId="44839"/>
    <cellStyle name="20% - Accent6 5 4 2 2 5" xfId="35195"/>
    <cellStyle name="20% - Accent6 5 4 2 3" xfId="4893"/>
    <cellStyle name="20% - Accent6 5 4 2 3 2" xfId="20180"/>
    <cellStyle name="20% - Accent6 5 4 2 3 2 2" xfId="29896"/>
    <cellStyle name="20% - Accent6 5 4 2 3 2 2 2" xfId="49650"/>
    <cellStyle name="20% - Accent6 5 4 2 3 2 3" xfId="40006"/>
    <cellStyle name="20% - Accent6 5 4 2 3 3" xfId="25086"/>
    <cellStyle name="20% - Accent6 5 4 2 3 3 2" xfId="44841"/>
    <cellStyle name="20% - Accent6 5 4 2 3 4" xfId="35197"/>
    <cellStyle name="20% - Accent6 5 4 2 4" xfId="20177"/>
    <cellStyle name="20% - Accent6 5 4 2 4 2" xfId="29893"/>
    <cellStyle name="20% - Accent6 5 4 2 4 2 2" xfId="49647"/>
    <cellStyle name="20% - Accent6 5 4 2 4 3" xfId="40003"/>
    <cellStyle name="20% - Accent6 5 4 2 5" xfId="25083"/>
    <cellStyle name="20% - Accent6 5 4 2 5 2" xfId="44838"/>
    <cellStyle name="20% - Accent6 5 4 2 6" xfId="35194"/>
    <cellStyle name="20% - Accent6 5 4 3" xfId="4894"/>
    <cellStyle name="20% - Accent6 5 4 3 2" xfId="4895"/>
    <cellStyle name="20% - Accent6 5 4 3 2 2" xfId="20182"/>
    <cellStyle name="20% - Accent6 5 4 3 2 2 2" xfId="29898"/>
    <cellStyle name="20% - Accent6 5 4 3 2 2 2 2" xfId="49652"/>
    <cellStyle name="20% - Accent6 5 4 3 2 2 3" xfId="40008"/>
    <cellStyle name="20% - Accent6 5 4 3 2 3" xfId="25088"/>
    <cellStyle name="20% - Accent6 5 4 3 2 3 2" xfId="44843"/>
    <cellStyle name="20% - Accent6 5 4 3 2 4" xfId="35199"/>
    <cellStyle name="20% - Accent6 5 4 3 3" xfId="20181"/>
    <cellStyle name="20% - Accent6 5 4 3 3 2" xfId="29897"/>
    <cellStyle name="20% - Accent6 5 4 3 3 2 2" xfId="49651"/>
    <cellStyle name="20% - Accent6 5 4 3 3 3" xfId="40007"/>
    <cellStyle name="20% - Accent6 5 4 3 4" xfId="25087"/>
    <cellStyle name="20% - Accent6 5 4 3 4 2" xfId="44842"/>
    <cellStyle name="20% - Accent6 5 4 3 5" xfId="35198"/>
    <cellStyle name="20% - Accent6 5 4 4" xfId="4896"/>
    <cellStyle name="20% - Accent6 5 4 4 2" xfId="20183"/>
    <cellStyle name="20% - Accent6 5 4 4 2 2" xfId="29899"/>
    <cellStyle name="20% - Accent6 5 4 4 2 2 2" xfId="49653"/>
    <cellStyle name="20% - Accent6 5 4 4 2 3" xfId="40009"/>
    <cellStyle name="20% - Accent6 5 4 4 3" xfId="25089"/>
    <cellStyle name="20% - Accent6 5 4 4 3 2" xfId="44844"/>
    <cellStyle name="20% - Accent6 5 4 4 4" xfId="35200"/>
    <cellStyle name="20% - Accent6 5 4 5" xfId="16200"/>
    <cellStyle name="20% - Accent6 5 4 5 2" xfId="25916"/>
    <cellStyle name="20% - Accent6 5 4 5 2 2" xfId="45670"/>
    <cellStyle name="20% - Accent6 5 4 5 3" xfId="36026"/>
    <cellStyle name="20% - Accent6 5 4 6" xfId="21106"/>
    <cellStyle name="20% - Accent6 5 4 6 2" xfId="40861"/>
    <cellStyle name="20% - Accent6 5 4 7" xfId="31217"/>
    <cellStyle name="20% - Accent6 5 5" xfId="4897"/>
    <cellStyle name="20% - Accent6 5 5 2" xfId="4898"/>
    <cellStyle name="20% - Accent6 5 5 2 2" xfId="4899"/>
    <cellStyle name="20% - Accent6 5 5 2 2 2" xfId="4900"/>
    <cellStyle name="20% - Accent6 5 5 2 2 2 2" xfId="20187"/>
    <cellStyle name="20% - Accent6 5 5 2 2 2 2 2" xfId="29903"/>
    <cellStyle name="20% - Accent6 5 5 2 2 2 2 2 2" xfId="49657"/>
    <cellStyle name="20% - Accent6 5 5 2 2 2 2 3" xfId="40013"/>
    <cellStyle name="20% - Accent6 5 5 2 2 2 3" xfId="25093"/>
    <cellStyle name="20% - Accent6 5 5 2 2 2 3 2" xfId="44848"/>
    <cellStyle name="20% - Accent6 5 5 2 2 2 4" xfId="35204"/>
    <cellStyle name="20% - Accent6 5 5 2 2 3" xfId="20186"/>
    <cellStyle name="20% - Accent6 5 5 2 2 3 2" xfId="29902"/>
    <cellStyle name="20% - Accent6 5 5 2 2 3 2 2" xfId="49656"/>
    <cellStyle name="20% - Accent6 5 5 2 2 3 3" xfId="40012"/>
    <cellStyle name="20% - Accent6 5 5 2 2 4" xfId="25092"/>
    <cellStyle name="20% - Accent6 5 5 2 2 4 2" xfId="44847"/>
    <cellStyle name="20% - Accent6 5 5 2 2 5" xfId="35203"/>
    <cellStyle name="20% - Accent6 5 5 2 3" xfId="4901"/>
    <cellStyle name="20% - Accent6 5 5 2 3 2" xfId="20188"/>
    <cellStyle name="20% - Accent6 5 5 2 3 2 2" xfId="29904"/>
    <cellStyle name="20% - Accent6 5 5 2 3 2 2 2" xfId="49658"/>
    <cellStyle name="20% - Accent6 5 5 2 3 2 3" xfId="40014"/>
    <cellStyle name="20% - Accent6 5 5 2 3 3" xfId="25094"/>
    <cellStyle name="20% - Accent6 5 5 2 3 3 2" xfId="44849"/>
    <cellStyle name="20% - Accent6 5 5 2 3 4" xfId="35205"/>
    <cellStyle name="20% - Accent6 5 5 2 4" xfId="20185"/>
    <cellStyle name="20% - Accent6 5 5 2 4 2" xfId="29901"/>
    <cellStyle name="20% - Accent6 5 5 2 4 2 2" xfId="49655"/>
    <cellStyle name="20% - Accent6 5 5 2 4 3" xfId="40011"/>
    <cellStyle name="20% - Accent6 5 5 2 5" xfId="25091"/>
    <cellStyle name="20% - Accent6 5 5 2 5 2" xfId="44846"/>
    <cellStyle name="20% - Accent6 5 5 2 6" xfId="35202"/>
    <cellStyle name="20% - Accent6 5 5 3" xfId="4902"/>
    <cellStyle name="20% - Accent6 5 5 3 2" xfId="4903"/>
    <cellStyle name="20% - Accent6 5 5 3 2 2" xfId="20190"/>
    <cellStyle name="20% - Accent6 5 5 3 2 2 2" xfId="29906"/>
    <cellStyle name="20% - Accent6 5 5 3 2 2 2 2" xfId="49660"/>
    <cellStyle name="20% - Accent6 5 5 3 2 2 3" xfId="40016"/>
    <cellStyle name="20% - Accent6 5 5 3 2 3" xfId="25096"/>
    <cellStyle name="20% - Accent6 5 5 3 2 3 2" xfId="44851"/>
    <cellStyle name="20% - Accent6 5 5 3 2 4" xfId="35207"/>
    <cellStyle name="20% - Accent6 5 5 3 3" xfId="20189"/>
    <cellStyle name="20% - Accent6 5 5 3 3 2" xfId="29905"/>
    <cellStyle name="20% - Accent6 5 5 3 3 2 2" xfId="49659"/>
    <cellStyle name="20% - Accent6 5 5 3 3 3" xfId="40015"/>
    <cellStyle name="20% - Accent6 5 5 3 4" xfId="25095"/>
    <cellStyle name="20% - Accent6 5 5 3 4 2" xfId="44850"/>
    <cellStyle name="20% - Accent6 5 5 3 5" xfId="35206"/>
    <cellStyle name="20% - Accent6 5 5 4" xfId="4904"/>
    <cellStyle name="20% - Accent6 5 5 4 2" xfId="20191"/>
    <cellStyle name="20% - Accent6 5 5 4 2 2" xfId="29907"/>
    <cellStyle name="20% - Accent6 5 5 4 2 2 2" xfId="49661"/>
    <cellStyle name="20% - Accent6 5 5 4 2 3" xfId="40017"/>
    <cellStyle name="20% - Accent6 5 5 4 3" xfId="25097"/>
    <cellStyle name="20% - Accent6 5 5 4 3 2" xfId="44852"/>
    <cellStyle name="20% - Accent6 5 5 4 4" xfId="35208"/>
    <cellStyle name="20% - Accent6 5 5 5" xfId="20184"/>
    <cellStyle name="20% - Accent6 5 5 5 2" xfId="29900"/>
    <cellStyle name="20% - Accent6 5 5 5 2 2" xfId="49654"/>
    <cellStyle name="20% - Accent6 5 5 5 3" xfId="40010"/>
    <cellStyle name="20% - Accent6 5 5 6" xfId="25090"/>
    <cellStyle name="20% - Accent6 5 5 6 2" xfId="44845"/>
    <cellStyle name="20% - Accent6 5 5 7" xfId="35201"/>
    <cellStyle name="20% - Accent6 5 6" xfId="4905"/>
    <cellStyle name="20% - Accent6 5 6 2" xfId="4906"/>
    <cellStyle name="20% - Accent6 5 6 2 2" xfId="4907"/>
    <cellStyle name="20% - Accent6 5 6 2 2 2" xfId="20194"/>
    <cellStyle name="20% - Accent6 5 6 2 2 2 2" xfId="29910"/>
    <cellStyle name="20% - Accent6 5 6 2 2 2 2 2" xfId="49664"/>
    <cellStyle name="20% - Accent6 5 6 2 2 2 3" xfId="40020"/>
    <cellStyle name="20% - Accent6 5 6 2 2 3" xfId="25100"/>
    <cellStyle name="20% - Accent6 5 6 2 2 3 2" xfId="44855"/>
    <cellStyle name="20% - Accent6 5 6 2 2 4" xfId="35211"/>
    <cellStyle name="20% - Accent6 5 6 2 3" xfId="20193"/>
    <cellStyle name="20% - Accent6 5 6 2 3 2" xfId="29909"/>
    <cellStyle name="20% - Accent6 5 6 2 3 2 2" xfId="49663"/>
    <cellStyle name="20% - Accent6 5 6 2 3 3" xfId="40019"/>
    <cellStyle name="20% - Accent6 5 6 2 4" xfId="25099"/>
    <cellStyle name="20% - Accent6 5 6 2 4 2" xfId="44854"/>
    <cellStyle name="20% - Accent6 5 6 2 5" xfId="35210"/>
    <cellStyle name="20% - Accent6 5 6 3" xfId="4908"/>
    <cellStyle name="20% - Accent6 5 6 3 2" xfId="20195"/>
    <cellStyle name="20% - Accent6 5 6 3 2 2" xfId="29911"/>
    <cellStyle name="20% - Accent6 5 6 3 2 2 2" xfId="49665"/>
    <cellStyle name="20% - Accent6 5 6 3 2 3" xfId="40021"/>
    <cellStyle name="20% - Accent6 5 6 3 3" xfId="25101"/>
    <cellStyle name="20% - Accent6 5 6 3 3 2" xfId="44856"/>
    <cellStyle name="20% - Accent6 5 6 3 4" xfId="35212"/>
    <cellStyle name="20% - Accent6 5 6 4" xfId="20192"/>
    <cellStyle name="20% - Accent6 5 6 4 2" xfId="29908"/>
    <cellStyle name="20% - Accent6 5 6 4 2 2" xfId="49662"/>
    <cellStyle name="20% - Accent6 5 6 4 3" xfId="40018"/>
    <cellStyle name="20% - Accent6 5 6 5" xfId="25098"/>
    <cellStyle name="20% - Accent6 5 6 5 2" xfId="44853"/>
    <cellStyle name="20% - Accent6 5 6 6" xfId="35209"/>
    <cellStyle name="20% - Accent6 5 7" xfId="4909"/>
    <cellStyle name="20% - Accent6 5 7 2" xfId="4910"/>
    <cellStyle name="20% - Accent6 5 7 2 2" xfId="20197"/>
    <cellStyle name="20% - Accent6 5 7 2 2 2" xfId="29913"/>
    <cellStyle name="20% - Accent6 5 7 2 2 2 2" xfId="49667"/>
    <cellStyle name="20% - Accent6 5 7 2 2 3" xfId="40023"/>
    <cellStyle name="20% - Accent6 5 7 2 3" xfId="25103"/>
    <cellStyle name="20% - Accent6 5 7 2 3 2" xfId="44858"/>
    <cellStyle name="20% - Accent6 5 7 2 4" xfId="35214"/>
    <cellStyle name="20% - Accent6 5 7 3" xfId="20196"/>
    <cellStyle name="20% - Accent6 5 7 3 2" xfId="29912"/>
    <cellStyle name="20% - Accent6 5 7 3 2 2" xfId="49666"/>
    <cellStyle name="20% - Accent6 5 7 3 3" xfId="40022"/>
    <cellStyle name="20% - Accent6 5 7 4" xfId="25102"/>
    <cellStyle name="20% - Accent6 5 7 4 2" xfId="44857"/>
    <cellStyle name="20% - Accent6 5 7 5" xfId="35213"/>
    <cellStyle name="20% - Accent6 5 8" xfId="4911"/>
    <cellStyle name="20% - Accent6 5 8 2" xfId="4912"/>
    <cellStyle name="20% - Accent6 5 8 2 2" xfId="20199"/>
    <cellStyle name="20% - Accent6 5 8 2 2 2" xfId="29915"/>
    <cellStyle name="20% - Accent6 5 8 2 2 2 2" xfId="49669"/>
    <cellStyle name="20% - Accent6 5 8 2 2 3" xfId="40025"/>
    <cellStyle name="20% - Accent6 5 8 2 3" xfId="25105"/>
    <cellStyle name="20% - Accent6 5 8 2 3 2" xfId="44860"/>
    <cellStyle name="20% - Accent6 5 8 2 4" xfId="35216"/>
    <cellStyle name="20% - Accent6 5 8 3" xfId="20198"/>
    <cellStyle name="20% - Accent6 5 8 3 2" xfId="29914"/>
    <cellStyle name="20% - Accent6 5 8 3 2 2" xfId="49668"/>
    <cellStyle name="20% - Accent6 5 8 3 3" xfId="40024"/>
    <cellStyle name="20% - Accent6 5 8 4" xfId="25104"/>
    <cellStyle name="20% - Accent6 5 8 4 2" xfId="44859"/>
    <cellStyle name="20% - Accent6 5 8 5" xfId="35215"/>
    <cellStyle name="20% - Accent6 5 9" xfId="4913"/>
    <cellStyle name="20% - Accent6 5 9 2" xfId="20200"/>
    <cellStyle name="20% - Accent6 5 9 2 2" xfId="29916"/>
    <cellStyle name="20% - Accent6 5 9 2 2 2" xfId="49670"/>
    <cellStyle name="20% - Accent6 5 9 2 3" xfId="40026"/>
    <cellStyle name="20% - Accent6 5 9 3" xfId="25106"/>
    <cellStyle name="20% - Accent6 5 9 3 2" xfId="44861"/>
    <cellStyle name="20% - Accent6 5 9 4" xfId="35217"/>
    <cellStyle name="20% - Accent6 6" xfId="112"/>
    <cellStyle name="20% - Accent6 6 10" xfId="4914"/>
    <cellStyle name="20% - Accent6 6 10 2" xfId="20201"/>
    <cellStyle name="20% - Accent6 6 10 2 2" xfId="29917"/>
    <cellStyle name="20% - Accent6 6 10 2 2 2" xfId="49671"/>
    <cellStyle name="20% - Accent6 6 10 2 3" xfId="40027"/>
    <cellStyle name="20% - Accent6 6 10 3" xfId="25107"/>
    <cellStyle name="20% - Accent6 6 10 3 2" xfId="44862"/>
    <cellStyle name="20% - Accent6 6 10 4" xfId="35218"/>
    <cellStyle name="20% - Accent6 6 11" xfId="4915"/>
    <cellStyle name="20% - Accent6 6 11 2" xfId="20202"/>
    <cellStyle name="20% - Accent6 6 11 2 2" xfId="29918"/>
    <cellStyle name="20% - Accent6 6 11 2 2 2" xfId="49672"/>
    <cellStyle name="20% - Accent6 6 11 2 3" xfId="40028"/>
    <cellStyle name="20% - Accent6 6 11 3" xfId="25108"/>
    <cellStyle name="20% - Accent6 6 11 3 2" xfId="44863"/>
    <cellStyle name="20% - Accent6 6 11 4" xfId="35219"/>
    <cellStyle name="20% - Accent6 6 12" xfId="15503"/>
    <cellStyle name="20% - Accent6 6 12 2" xfId="20375"/>
    <cellStyle name="20% - Accent6 6 12 2 2" xfId="30089"/>
    <cellStyle name="20% - Accent6 6 12 2 2 2" xfId="49842"/>
    <cellStyle name="20% - Accent6 6 12 2 3" xfId="40198"/>
    <cellStyle name="20% - Accent6 6 12 3" xfId="25277"/>
    <cellStyle name="20% - Accent6 6 12 3 2" xfId="45031"/>
    <cellStyle name="20% - Accent6 6 12 4" xfId="35387"/>
    <cellStyle name="20% - Accent6 6 13" xfId="15899"/>
    <cellStyle name="20% - Accent6 6 13 2" xfId="25615"/>
    <cellStyle name="20% - Accent6 6 13 2 2" xfId="45369"/>
    <cellStyle name="20% - Accent6 6 13 3" xfId="35725"/>
    <cellStyle name="20% - Accent6 6 14" xfId="20775"/>
    <cellStyle name="20% - Accent6 6 14 2" xfId="40555"/>
    <cellStyle name="20% - Accent6 6 15" xfId="30516"/>
    <cellStyle name="20% - Accent6 6 15 2" xfId="50264"/>
    <cellStyle name="20% - Accent6 6 16" xfId="30886"/>
    <cellStyle name="20% - Accent6 6 2" xfId="113"/>
    <cellStyle name="20% - Accent6 6 2 10" xfId="15504"/>
    <cellStyle name="20% - Accent6 6 2 10 2" xfId="20376"/>
    <cellStyle name="20% - Accent6 6 2 10 2 2" xfId="30090"/>
    <cellStyle name="20% - Accent6 6 2 10 2 2 2" xfId="49843"/>
    <cellStyle name="20% - Accent6 6 2 10 2 3" xfId="40199"/>
    <cellStyle name="20% - Accent6 6 2 10 3" xfId="25278"/>
    <cellStyle name="20% - Accent6 6 2 10 3 2" xfId="45032"/>
    <cellStyle name="20% - Accent6 6 2 10 4" xfId="35388"/>
    <cellStyle name="20% - Accent6 6 2 11" xfId="15900"/>
    <cellStyle name="20% - Accent6 6 2 11 2" xfId="25616"/>
    <cellStyle name="20% - Accent6 6 2 11 2 2" xfId="45370"/>
    <cellStyle name="20% - Accent6 6 2 11 3" xfId="35726"/>
    <cellStyle name="20% - Accent6 6 2 12" xfId="20776"/>
    <cellStyle name="20% - Accent6 6 2 12 2" xfId="40556"/>
    <cellStyle name="20% - Accent6 6 2 13" xfId="30517"/>
    <cellStyle name="20% - Accent6 6 2 13 2" xfId="50265"/>
    <cellStyle name="20% - Accent6 6 2 14" xfId="30887"/>
    <cellStyle name="20% - Accent6 6 2 2" xfId="854"/>
    <cellStyle name="20% - Accent6 6 2 2 2" xfId="4916"/>
    <cellStyle name="20% - Accent6 6 2 2 2 2" xfId="4917"/>
    <cellStyle name="20% - Accent6 6 2 2 2 2 2" xfId="4918"/>
    <cellStyle name="20% - Accent6 6 2 2 2 2 2 2" xfId="20205"/>
    <cellStyle name="20% - Accent6 6 2 2 2 2 2 2 2" xfId="29921"/>
    <cellStyle name="20% - Accent6 6 2 2 2 2 2 2 2 2" xfId="49675"/>
    <cellStyle name="20% - Accent6 6 2 2 2 2 2 2 3" xfId="40031"/>
    <cellStyle name="20% - Accent6 6 2 2 2 2 2 3" xfId="25111"/>
    <cellStyle name="20% - Accent6 6 2 2 2 2 2 3 2" xfId="44866"/>
    <cellStyle name="20% - Accent6 6 2 2 2 2 2 4" xfId="35222"/>
    <cellStyle name="20% - Accent6 6 2 2 2 2 3" xfId="20204"/>
    <cellStyle name="20% - Accent6 6 2 2 2 2 3 2" xfId="29920"/>
    <cellStyle name="20% - Accent6 6 2 2 2 2 3 2 2" xfId="49674"/>
    <cellStyle name="20% - Accent6 6 2 2 2 2 3 3" xfId="40030"/>
    <cellStyle name="20% - Accent6 6 2 2 2 2 4" xfId="25110"/>
    <cellStyle name="20% - Accent6 6 2 2 2 2 4 2" xfId="44865"/>
    <cellStyle name="20% - Accent6 6 2 2 2 2 5" xfId="35221"/>
    <cellStyle name="20% - Accent6 6 2 2 2 3" xfId="4919"/>
    <cellStyle name="20% - Accent6 6 2 2 2 3 2" xfId="20206"/>
    <cellStyle name="20% - Accent6 6 2 2 2 3 2 2" xfId="29922"/>
    <cellStyle name="20% - Accent6 6 2 2 2 3 2 2 2" xfId="49676"/>
    <cellStyle name="20% - Accent6 6 2 2 2 3 2 3" xfId="40032"/>
    <cellStyle name="20% - Accent6 6 2 2 2 3 3" xfId="25112"/>
    <cellStyle name="20% - Accent6 6 2 2 2 3 3 2" xfId="44867"/>
    <cellStyle name="20% - Accent6 6 2 2 2 3 4" xfId="35223"/>
    <cellStyle name="20% - Accent6 6 2 2 2 4" xfId="20203"/>
    <cellStyle name="20% - Accent6 6 2 2 2 4 2" xfId="29919"/>
    <cellStyle name="20% - Accent6 6 2 2 2 4 2 2" xfId="49673"/>
    <cellStyle name="20% - Accent6 6 2 2 2 4 3" xfId="40029"/>
    <cellStyle name="20% - Accent6 6 2 2 2 5" xfId="25109"/>
    <cellStyle name="20% - Accent6 6 2 2 2 5 2" xfId="44864"/>
    <cellStyle name="20% - Accent6 6 2 2 2 6" xfId="35220"/>
    <cellStyle name="20% - Accent6 6 2 2 3" xfId="4920"/>
    <cellStyle name="20% - Accent6 6 2 2 3 2" xfId="4921"/>
    <cellStyle name="20% - Accent6 6 2 2 4" xfId="4922"/>
    <cellStyle name="20% - Accent6 6 2 2 5" xfId="15505"/>
    <cellStyle name="20% - Accent6 6 2 2 5 2" xfId="20377"/>
    <cellStyle name="20% - Accent6 6 2 2 5 2 2" xfId="30091"/>
    <cellStyle name="20% - Accent6 6 2 2 5 2 2 2" xfId="49844"/>
    <cellStyle name="20% - Accent6 6 2 2 5 2 3" xfId="40200"/>
    <cellStyle name="20% - Accent6 6 2 2 5 3" xfId="25279"/>
    <cellStyle name="20% - Accent6 6 2 2 5 3 2" xfId="45033"/>
    <cellStyle name="20% - Accent6 6 2 2 5 4" xfId="35389"/>
    <cellStyle name="20% - Accent6 6 2 2 6" xfId="16201"/>
    <cellStyle name="20% - Accent6 6 2 2 6 2" xfId="25917"/>
    <cellStyle name="20% - Accent6 6 2 2 6 2 2" xfId="45671"/>
    <cellStyle name="20% - Accent6 6 2 2 6 3" xfId="36027"/>
    <cellStyle name="20% - Accent6 6 2 2 7" xfId="21107"/>
    <cellStyle name="20% - Accent6 6 2 2 7 2" xfId="40862"/>
    <cellStyle name="20% - Accent6 6 2 2 8" xfId="30518"/>
    <cellStyle name="20% - Accent6 6 2 2 8 2" xfId="50266"/>
    <cellStyle name="20% - Accent6 6 2 2 9" xfId="31218"/>
    <cellStyle name="20% - Accent6 6 2 3" xfId="855"/>
    <cellStyle name="20% - Accent6 6 2 3 2" xfId="4923"/>
    <cellStyle name="20% - Accent6 6 2 3 2 2" xfId="4924"/>
    <cellStyle name="20% - Accent6 6 2 3 2 2 2" xfId="4925"/>
    <cellStyle name="20% - Accent6 6 2 3 2 3" xfId="4926"/>
    <cellStyle name="20% - Accent6 6 2 3 3" xfId="4927"/>
    <cellStyle name="20% - Accent6 6 2 3 3 2" xfId="4928"/>
    <cellStyle name="20% - Accent6 6 2 3 4" xfId="4929"/>
    <cellStyle name="20% - Accent6 6 2 3 5" xfId="16202"/>
    <cellStyle name="20% - Accent6 6 2 3 5 2" xfId="25918"/>
    <cellStyle name="20% - Accent6 6 2 3 5 2 2" xfId="45672"/>
    <cellStyle name="20% - Accent6 6 2 3 5 3" xfId="36028"/>
    <cellStyle name="20% - Accent6 6 2 3 6" xfId="21108"/>
    <cellStyle name="20% - Accent6 6 2 3 6 2" xfId="40863"/>
    <cellStyle name="20% - Accent6 6 2 3 7" xfId="31219"/>
    <cellStyle name="20% - Accent6 6 2 4" xfId="4930"/>
    <cellStyle name="20% - Accent6 6 2 4 2" xfId="4931"/>
    <cellStyle name="20% - Accent6 6 2 4 2 2" xfId="4932"/>
    <cellStyle name="20% - Accent6 6 2 4 2 2 2" xfId="4933"/>
    <cellStyle name="20% - Accent6 6 2 4 2 3" xfId="4934"/>
    <cellStyle name="20% - Accent6 6 2 4 3" xfId="4935"/>
    <cellStyle name="20% - Accent6 6 2 4 3 2" xfId="4936"/>
    <cellStyle name="20% - Accent6 6 2 4 4" xfId="4937"/>
    <cellStyle name="20% - Accent6 6 2 5" xfId="4938"/>
    <cellStyle name="20% - Accent6 6 2 5 2" xfId="4939"/>
    <cellStyle name="20% - Accent6 6 2 5 2 2" xfId="4940"/>
    <cellStyle name="20% - Accent6 6 2 5 3" xfId="4941"/>
    <cellStyle name="20% - Accent6 6 2 6" xfId="4942"/>
    <cellStyle name="20% - Accent6 6 2 6 2" xfId="4943"/>
    <cellStyle name="20% - Accent6 6 2 7" xfId="4944"/>
    <cellStyle name="20% - Accent6 6 2 8" xfId="4945"/>
    <cellStyle name="20% - Accent6 6 2 9" xfId="4946"/>
    <cellStyle name="20% - Accent6 6 3" xfId="856"/>
    <cellStyle name="20% - Accent6 6 3 2" xfId="4947"/>
    <cellStyle name="20% - Accent6 6 3 2 2" xfId="4948"/>
    <cellStyle name="20% - Accent6 6 3 2 2 2" xfId="4949"/>
    <cellStyle name="20% - Accent6 6 3 2 3" xfId="4950"/>
    <cellStyle name="20% - Accent6 6 3 3" xfId="4951"/>
    <cellStyle name="20% - Accent6 6 3 3 2" xfId="4952"/>
    <cellStyle name="20% - Accent6 6 3 4" xfId="4953"/>
    <cellStyle name="20% - Accent6 6 3 5" xfId="15506"/>
    <cellStyle name="20% - Accent6 6 3 5 2" xfId="20378"/>
    <cellStyle name="20% - Accent6 6 3 5 2 2" xfId="30092"/>
    <cellStyle name="20% - Accent6 6 3 5 2 2 2" xfId="49845"/>
    <cellStyle name="20% - Accent6 6 3 5 2 3" xfId="40201"/>
    <cellStyle name="20% - Accent6 6 3 5 3" xfId="25280"/>
    <cellStyle name="20% - Accent6 6 3 5 3 2" xfId="45034"/>
    <cellStyle name="20% - Accent6 6 3 5 4" xfId="35390"/>
    <cellStyle name="20% - Accent6 6 3 6" xfId="16203"/>
    <cellStyle name="20% - Accent6 6 3 6 2" xfId="25919"/>
    <cellStyle name="20% - Accent6 6 3 6 2 2" xfId="45673"/>
    <cellStyle name="20% - Accent6 6 3 6 3" xfId="36029"/>
    <cellStyle name="20% - Accent6 6 3 7" xfId="21109"/>
    <cellStyle name="20% - Accent6 6 3 7 2" xfId="40864"/>
    <cellStyle name="20% - Accent6 6 3 8" xfId="30519"/>
    <cellStyle name="20% - Accent6 6 3 8 2" xfId="50267"/>
    <cellStyle name="20% - Accent6 6 3 9" xfId="31220"/>
    <cellStyle name="20% - Accent6 6 4" xfId="857"/>
    <cellStyle name="20% - Accent6 6 4 2" xfId="4954"/>
    <cellStyle name="20% - Accent6 6 4 2 2" xfId="4955"/>
    <cellStyle name="20% - Accent6 6 4 2 2 2" xfId="4956"/>
    <cellStyle name="20% - Accent6 6 4 2 3" xfId="4957"/>
    <cellStyle name="20% - Accent6 6 4 3" xfId="4958"/>
    <cellStyle name="20% - Accent6 6 4 3 2" xfId="4959"/>
    <cellStyle name="20% - Accent6 6 4 4" xfId="4960"/>
    <cellStyle name="20% - Accent6 6 4 5" xfId="16204"/>
    <cellStyle name="20% - Accent6 6 4 5 2" xfId="25920"/>
    <cellStyle name="20% - Accent6 6 4 5 2 2" xfId="45674"/>
    <cellStyle name="20% - Accent6 6 4 5 3" xfId="36030"/>
    <cellStyle name="20% - Accent6 6 4 6" xfId="21110"/>
    <cellStyle name="20% - Accent6 6 4 6 2" xfId="40865"/>
    <cellStyle name="20% - Accent6 6 4 7" xfId="31221"/>
    <cellStyle name="20% - Accent6 6 5" xfId="4961"/>
    <cellStyle name="20% - Accent6 6 5 2" xfId="4962"/>
    <cellStyle name="20% - Accent6 6 5 2 2" xfId="4963"/>
    <cellStyle name="20% - Accent6 6 5 2 2 2" xfId="4964"/>
    <cellStyle name="20% - Accent6 6 5 2 3" xfId="4965"/>
    <cellStyle name="20% - Accent6 6 5 3" xfId="4966"/>
    <cellStyle name="20% - Accent6 6 5 3 2" xfId="4967"/>
    <cellStyle name="20% - Accent6 6 5 4" xfId="4968"/>
    <cellStyle name="20% - Accent6 6 6" xfId="4969"/>
    <cellStyle name="20% - Accent6 6 6 2" xfId="4970"/>
    <cellStyle name="20% - Accent6 6 6 2 2" xfId="4971"/>
    <cellStyle name="20% - Accent6 6 6 3" xfId="4972"/>
    <cellStyle name="20% - Accent6 6 7" xfId="4973"/>
    <cellStyle name="20% - Accent6 6 7 2" xfId="4974"/>
    <cellStyle name="20% - Accent6 6 8" xfId="4975"/>
    <cellStyle name="20% - Accent6 6 8 2" xfId="4976"/>
    <cellStyle name="20% - Accent6 6 9" xfId="4977"/>
    <cellStyle name="20% - Accent6 7" xfId="114"/>
    <cellStyle name="20% - Accent6 7 10" xfId="30888"/>
    <cellStyle name="20% - Accent6 7 2" xfId="115"/>
    <cellStyle name="20% - Accent6 7 2 2" xfId="858"/>
    <cellStyle name="20% - Accent6 7 2 2 2" xfId="4978"/>
    <cellStyle name="20% - Accent6 7 2 2 2 2" xfId="4979"/>
    <cellStyle name="20% - Accent6 7 2 2 3" xfId="4980"/>
    <cellStyle name="20% - Accent6 7 2 2 4" xfId="15509"/>
    <cellStyle name="20% - Accent6 7 2 2 4 2" xfId="20381"/>
    <cellStyle name="20% - Accent6 7 2 2 4 2 2" xfId="30095"/>
    <cellStyle name="20% - Accent6 7 2 2 4 2 2 2" xfId="49848"/>
    <cellStyle name="20% - Accent6 7 2 2 4 2 3" xfId="40204"/>
    <cellStyle name="20% - Accent6 7 2 2 4 3" xfId="25283"/>
    <cellStyle name="20% - Accent6 7 2 2 4 3 2" xfId="45037"/>
    <cellStyle name="20% - Accent6 7 2 2 4 4" xfId="35393"/>
    <cellStyle name="20% - Accent6 7 2 2 5" xfId="16205"/>
    <cellStyle name="20% - Accent6 7 2 2 5 2" xfId="25921"/>
    <cellStyle name="20% - Accent6 7 2 2 5 2 2" xfId="45675"/>
    <cellStyle name="20% - Accent6 7 2 2 5 3" xfId="36031"/>
    <cellStyle name="20% - Accent6 7 2 2 6" xfId="21111"/>
    <cellStyle name="20% - Accent6 7 2 2 6 2" xfId="40866"/>
    <cellStyle name="20% - Accent6 7 2 2 7" xfId="30522"/>
    <cellStyle name="20% - Accent6 7 2 2 7 2" xfId="50270"/>
    <cellStyle name="20% - Accent6 7 2 2 8" xfId="31222"/>
    <cellStyle name="20% - Accent6 7 2 3" xfId="859"/>
    <cellStyle name="20% - Accent6 7 2 3 2" xfId="4981"/>
    <cellStyle name="20% - Accent6 7 2 3 3" xfId="16206"/>
    <cellStyle name="20% - Accent6 7 2 3 3 2" xfId="25922"/>
    <cellStyle name="20% - Accent6 7 2 3 3 2 2" xfId="45676"/>
    <cellStyle name="20% - Accent6 7 2 3 3 3" xfId="36032"/>
    <cellStyle name="20% - Accent6 7 2 3 4" xfId="21112"/>
    <cellStyle name="20% - Accent6 7 2 3 4 2" xfId="40867"/>
    <cellStyle name="20% - Accent6 7 2 3 5" xfId="31223"/>
    <cellStyle name="20% - Accent6 7 2 4" xfId="4982"/>
    <cellStyle name="20% - Accent6 7 2 5" xfId="15508"/>
    <cellStyle name="20% - Accent6 7 2 5 2" xfId="20380"/>
    <cellStyle name="20% - Accent6 7 2 5 2 2" xfId="30094"/>
    <cellStyle name="20% - Accent6 7 2 5 2 2 2" xfId="49847"/>
    <cellStyle name="20% - Accent6 7 2 5 2 3" xfId="40203"/>
    <cellStyle name="20% - Accent6 7 2 5 3" xfId="25282"/>
    <cellStyle name="20% - Accent6 7 2 5 3 2" xfId="45036"/>
    <cellStyle name="20% - Accent6 7 2 5 4" xfId="35392"/>
    <cellStyle name="20% - Accent6 7 2 6" xfId="15902"/>
    <cellStyle name="20% - Accent6 7 2 6 2" xfId="25618"/>
    <cellStyle name="20% - Accent6 7 2 6 2 2" xfId="45372"/>
    <cellStyle name="20% - Accent6 7 2 6 3" xfId="35728"/>
    <cellStyle name="20% - Accent6 7 2 7" xfId="20778"/>
    <cellStyle name="20% - Accent6 7 2 7 2" xfId="40558"/>
    <cellStyle name="20% - Accent6 7 2 8" xfId="30521"/>
    <cellStyle name="20% - Accent6 7 2 8 2" xfId="50269"/>
    <cellStyle name="20% - Accent6 7 2 9" xfId="30889"/>
    <cellStyle name="20% - Accent6 7 3" xfId="860"/>
    <cellStyle name="20% - Accent6 7 3 2" xfId="4983"/>
    <cellStyle name="20% - Accent6 7 3 2 2" xfId="4984"/>
    <cellStyle name="20% - Accent6 7 3 3" xfId="4985"/>
    <cellStyle name="20% - Accent6 7 3 4" xfId="15510"/>
    <cellStyle name="20% - Accent6 7 3 4 2" xfId="20382"/>
    <cellStyle name="20% - Accent6 7 3 4 2 2" xfId="30096"/>
    <cellStyle name="20% - Accent6 7 3 4 2 2 2" xfId="49849"/>
    <cellStyle name="20% - Accent6 7 3 4 2 3" xfId="40205"/>
    <cellStyle name="20% - Accent6 7 3 4 3" xfId="25284"/>
    <cellStyle name="20% - Accent6 7 3 4 3 2" xfId="45038"/>
    <cellStyle name="20% - Accent6 7 3 4 4" xfId="35394"/>
    <cellStyle name="20% - Accent6 7 3 5" xfId="16207"/>
    <cellStyle name="20% - Accent6 7 3 5 2" xfId="25923"/>
    <cellStyle name="20% - Accent6 7 3 5 2 2" xfId="45677"/>
    <cellStyle name="20% - Accent6 7 3 5 3" xfId="36033"/>
    <cellStyle name="20% - Accent6 7 3 6" xfId="21113"/>
    <cellStyle name="20% - Accent6 7 3 6 2" xfId="40868"/>
    <cellStyle name="20% - Accent6 7 3 7" xfId="30523"/>
    <cellStyle name="20% - Accent6 7 3 7 2" xfId="50271"/>
    <cellStyle name="20% - Accent6 7 3 8" xfId="31224"/>
    <cellStyle name="20% - Accent6 7 4" xfId="861"/>
    <cellStyle name="20% - Accent6 7 4 2" xfId="4986"/>
    <cellStyle name="20% - Accent6 7 4 3" xfId="16208"/>
    <cellStyle name="20% - Accent6 7 4 3 2" xfId="25924"/>
    <cellStyle name="20% - Accent6 7 4 3 2 2" xfId="45678"/>
    <cellStyle name="20% - Accent6 7 4 3 3" xfId="36034"/>
    <cellStyle name="20% - Accent6 7 4 4" xfId="21114"/>
    <cellStyle name="20% - Accent6 7 4 4 2" xfId="40869"/>
    <cellStyle name="20% - Accent6 7 4 5" xfId="31225"/>
    <cellStyle name="20% - Accent6 7 5" xfId="4987"/>
    <cellStyle name="20% - Accent6 7 6" xfId="15507"/>
    <cellStyle name="20% - Accent6 7 6 2" xfId="20379"/>
    <cellStyle name="20% - Accent6 7 6 2 2" xfId="30093"/>
    <cellStyle name="20% - Accent6 7 6 2 2 2" xfId="49846"/>
    <cellStyle name="20% - Accent6 7 6 2 3" xfId="40202"/>
    <cellStyle name="20% - Accent6 7 6 3" xfId="25281"/>
    <cellStyle name="20% - Accent6 7 6 3 2" xfId="45035"/>
    <cellStyle name="20% - Accent6 7 6 4" xfId="35391"/>
    <cellStyle name="20% - Accent6 7 7" xfId="15901"/>
    <cellStyle name="20% - Accent6 7 7 2" xfId="25617"/>
    <cellStyle name="20% - Accent6 7 7 2 2" xfId="45371"/>
    <cellStyle name="20% - Accent6 7 7 3" xfId="35727"/>
    <cellStyle name="20% - Accent6 7 8" xfId="20777"/>
    <cellStyle name="20% - Accent6 7 8 2" xfId="40557"/>
    <cellStyle name="20% - Accent6 7 9" xfId="30520"/>
    <cellStyle name="20% - Accent6 7 9 2" xfId="50268"/>
    <cellStyle name="20% - Accent6 8" xfId="116"/>
    <cellStyle name="20% - Accent6 8 10" xfId="30890"/>
    <cellStyle name="20% - Accent6 8 2" xfId="117"/>
    <cellStyle name="20% - Accent6 8 2 2" xfId="862"/>
    <cellStyle name="20% - Accent6 8 2 2 2" xfId="4988"/>
    <cellStyle name="20% - Accent6 8 2 2 2 2" xfId="4989"/>
    <cellStyle name="20% - Accent6 8 2 2 3" xfId="4990"/>
    <cellStyle name="20% - Accent6 8 2 2 4" xfId="15513"/>
    <cellStyle name="20% - Accent6 8 2 2 4 2" xfId="20385"/>
    <cellStyle name="20% - Accent6 8 2 2 4 2 2" xfId="30099"/>
    <cellStyle name="20% - Accent6 8 2 2 4 2 2 2" xfId="49852"/>
    <cellStyle name="20% - Accent6 8 2 2 4 2 3" xfId="40208"/>
    <cellStyle name="20% - Accent6 8 2 2 4 3" xfId="25287"/>
    <cellStyle name="20% - Accent6 8 2 2 4 3 2" xfId="45041"/>
    <cellStyle name="20% - Accent6 8 2 2 4 4" xfId="35397"/>
    <cellStyle name="20% - Accent6 8 2 2 5" xfId="16209"/>
    <cellStyle name="20% - Accent6 8 2 2 5 2" xfId="25925"/>
    <cellStyle name="20% - Accent6 8 2 2 5 2 2" xfId="45679"/>
    <cellStyle name="20% - Accent6 8 2 2 5 3" xfId="36035"/>
    <cellStyle name="20% - Accent6 8 2 2 6" xfId="21115"/>
    <cellStyle name="20% - Accent6 8 2 2 6 2" xfId="40870"/>
    <cellStyle name="20% - Accent6 8 2 2 7" xfId="30526"/>
    <cellStyle name="20% - Accent6 8 2 2 7 2" xfId="50274"/>
    <cellStyle name="20% - Accent6 8 2 2 8" xfId="31226"/>
    <cellStyle name="20% - Accent6 8 2 3" xfId="863"/>
    <cellStyle name="20% - Accent6 8 2 3 2" xfId="4991"/>
    <cellStyle name="20% - Accent6 8 2 3 3" xfId="16210"/>
    <cellStyle name="20% - Accent6 8 2 3 3 2" xfId="25926"/>
    <cellStyle name="20% - Accent6 8 2 3 3 2 2" xfId="45680"/>
    <cellStyle name="20% - Accent6 8 2 3 3 3" xfId="36036"/>
    <cellStyle name="20% - Accent6 8 2 3 4" xfId="21116"/>
    <cellStyle name="20% - Accent6 8 2 3 4 2" xfId="40871"/>
    <cellStyle name="20% - Accent6 8 2 3 5" xfId="31227"/>
    <cellStyle name="20% - Accent6 8 2 4" xfId="4992"/>
    <cellStyle name="20% - Accent6 8 2 5" xfId="15512"/>
    <cellStyle name="20% - Accent6 8 2 5 2" xfId="20384"/>
    <cellStyle name="20% - Accent6 8 2 5 2 2" xfId="30098"/>
    <cellStyle name="20% - Accent6 8 2 5 2 2 2" xfId="49851"/>
    <cellStyle name="20% - Accent6 8 2 5 2 3" xfId="40207"/>
    <cellStyle name="20% - Accent6 8 2 5 3" xfId="25286"/>
    <cellStyle name="20% - Accent6 8 2 5 3 2" xfId="45040"/>
    <cellStyle name="20% - Accent6 8 2 5 4" xfId="35396"/>
    <cellStyle name="20% - Accent6 8 2 6" xfId="15904"/>
    <cellStyle name="20% - Accent6 8 2 6 2" xfId="25620"/>
    <cellStyle name="20% - Accent6 8 2 6 2 2" xfId="45374"/>
    <cellStyle name="20% - Accent6 8 2 6 3" xfId="35730"/>
    <cellStyle name="20% - Accent6 8 2 7" xfId="20780"/>
    <cellStyle name="20% - Accent6 8 2 7 2" xfId="40560"/>
    <cellStyle name="20% - Accent6 8 2 8" xfId="30525"/>
    <cellStyle name="20% - Accent6 8 2 8 2" xfId="50273"/>
    <cellStyle name="20% - Accent6 8 2 9" xfId="30891"/>
    <cellStyle name="20% - Accent6 8 3" xfId="864"/>
    <cellStyle name="20% - Accent6 8 3 2" xfId="4993"/>
    <cellStyle name="20% - Accent6 8 3 2 2" xfId="4994"/>
    <cellStyle name="20% - Accent6 8 3 3" xfId="4995"/>
    <cellStyle name="20% - Accent6 8 3 4" xfId="15514"/>
    <cellStyle name="20% - Accent6 8 3 4 2" xfId="20386"/>
    <cellStyle name="20% - Accent6 8 3 4 2 2" xfId="30100"/>
    <cellStyle name="20% - Accent6 8 3 4 2 2 2" xfId="49853"/>
    <cellStyle name="20% - Accent6 8 3 4 2 3" xfId="40209"/>
    <cellStyle name="20% - Accent6 8 3 4 3" xfId="25288"/>
    <cellStyle name="20% - Accent6 8 3 4 3 2" xfId="45042"/>
    <cellStyle name="20% - Accent6 8 3 4 4" xfId="35398"/>
    <cellStyle name="20% - Accent6 8 3 5" xfId="16211"/>
    <cellStyle name="20% - Accent6 8 3 5 2" xfId="25927"/>
    <cellStyle name="20% - Accent6 8 3 5 2 2" xfId="45681"/>
    <cellStyle name="20% - Accent6 8 3 5 3" xfId="36037"/>
    <cellStyle name="20% - Accent6 8 3 6" xfId="21117"/>
    <cellStyle name="20% - Accent6 8 3 6 2" xfId="40872"/>
    <cellStyle name="20% - Accent6 8 3 7" xfId="30527"/>
    <cellStyle name="20% - Accent6 8 3 7 2" xfId="50275"/>
    <cellStyle name="20% - Accent6 8 3 8" xfId="31228"/>
    <cellStyle name="20% - Accent6 8 4" xfId="865"/>
    <cellStyle name="20% - Accent6 8 4 2" xfId="4996"/>
    <cellStyle name="20% - Accent6 8 4 3" xfId="16212"/>
    <cellStyle name="20% - Accent6 8 4 3 2" xfId="25928"/>
    <cellStyle name="20% - Accent6 8 4 3 2 2" xfId="45682"/>
    <cellStyle name="20% - Accent6 8 4 3 3" xfId="36038"/>
    <cellStyle name="20% - Accent6 8 4 4" xfId="21118"/>
    <cellStyle name="20% - Accent6 8 4 4 2" xfId="40873"/>
    <cellStyle name="20% - Accent6 8 4 5" xfId="31229"/>
    <cellStyle name="20% - Accent6 8 5" xfId="4997"/>
    <cellStyle name="20% - Accent6 8 6" xfId="15511"/>
    <cellStyle name="20% - Accent6 8 6 2" xfId="20383"/>
    <cellStyle name="20% - Accent6 8 6 2 2" xfId="30097"/>
    <cellStyle name="20% - Accent6 8 6 2 2 2" xfId="49850"/>
    <cellStyle name="20% - Accent6 8 6 2 3" xfId="40206"/>
    <cellStyle name="20% - Accent6 8 6 3" xfId="25285"/>
    <cellStyle name="20% - Accent6 8 6 3 2" xfId="45039"/>
    <cellStyle name="20% - Accent6 8 6 4" xfId="35395"/>
    <cellStyle name="20% - Accent6 8 7" xfId="15903"/>
    <cellStyle name="20% - Accent6 8 7 2" xfId="25619"/>
    <cellStyle name="20% - Accent6 8 7 2 2" xfId="45373"/>
    <cellStyle name="20% - Accent6 8 7 3" xfId="35729"/>
    <cellStyle name="20% - Accent6 8 8" xfId="20779"/>
    <cellStyle name="20% - Accent6 8 8 2" xfId="40559"/>
    <cellStyle name="20% - Accent6 8 9" xfId="30524"/>
    <cellStyle name="20% - Accent6 8 9 2" xfId="50272"/>
    <cellStyle name="20% - Accent6 9" xfId="118"/>
    <cellStyle name="20% - Accent6 9 2" xfId="866"/>
    <cellStyle name="20% - Accent6 9 2 2" xfId="4998"/>
    <cellStyle name="20% - Accent6 9 2 2 2" xfId="4999"/>
    <cellStyle name="20% - Accent6 9 2 3" xfId="5000"/>
    <cellStyle name="20% - Accent6 9 2 4" xfId="15516"/>
    <cellStyle name="20% - Accent6 9 2 4 2" xfId="20388"/>
    <cellStyle name="20% - Accent6 9 2 4 2 2" xfId="30102"/>
    <cellStyle name="20% - Accent6 9 2 4 2 2 2" xfId="49855"/>
    <cellStyle name="20% - Accent6 9 2 4 2 3" xfId="40211"/>
    <cellStyle name="20% - Accent6 9 2 4 3" xfId="25290"/>
    <cellStyle name="20% - Accent6 9 2 4 3 2" xfId="45044"/>
    <cellStyle name="20% - Accent6 9 2 4 4" xfId="35400"/>
    <cellStyle name="20% - Accent6 9 2 5" xfId="16213"/>
    <cellStyle name="20% - Accent6 9 2 5 2" xfId="25929"/>
    <cellStyle name="20% - Accent6 9 2 5 2 2" xfId="45683"/>
    <cellStyle name="20% - Accent6 9 2 5 3" xfId="36039"/>
    <cellStyle name="20% - Accent6 9 2 6" xfId="21119"/>
    <cellStyle name="20% - Accent6 9 2 6 2" xfId="40874"/>
    <cellStyle name="20% - Accent6 9 2 7" xfId="30529"/>
    <cellStyle name="20% - Accent6 9 2 7 2" xfId="50277"/>
    <cellStyle name="20% - Accent6 9 2 8" xfId="31230"/>
    <cellStyle name="20% - Accent6 9 3" xfId="867"/>
    <cellStyle name="20% - Accent6 9 3 2" xfId="5001"/>
    <cellStyle name="20% - Accent6 9 3 3" xfId="16214"/>
    <cellStyle name="20% - Accent6 9 3 3 2" xfId="25930"/>
    <cellStyle name="20% - Accent6 9 3 3 2 2" xfId="45684"/>
    <cellStyle name="20% - Accent6 9 3 3 3" xfId="36040"/>
    <cellStyle name="20% - Accent6 9 3 4" xfId="21120"/>
    <cellStyle name="20% - Accent6 9 3 4 2" xfId="40875"/>
    <cellStyle name="20% - Accent6 9 3 5" xfId="31231"/>
    <cellStyle name="20% - Accent6 9 4" xfId="5002"/>
    <cellStyle name="20% - Accent6 9 5" xfId="15515"/>
    <cellStyle name="20% - Accent6 9 5 2" xfId="20387"/>
    <cellStyle name="20% - Accent6 9 5 2 2" xfId="30101"/>
    <cellStyle name="20% - Accent6 9 5 2 2 2" xfId="49854"/>
    <cellStyle name="20% - Accent6 9 5 2 3" xfId="40210"/>
    <cellStyle name="20% - Accent6 9 5 3" xfId="25289"/>
    <cellStyle name="20% - Accent6 9 5 3 2" xfId="45043"/>
    <cellStyle name="20% - Accent6 9 5 4" xfId="35399"/>
    <cellStyle name="20% - Accent6 9 6" xfId="15905"/>
    <cellStyle name="20% - Accent6 9 6 2" xfId="25621"/>
    <cellStyle name="20% - Accent6 9 6 2 2" xfId="45375"/>
    <cellStyle name="20% - Accent6 9 6 3" xfId="35731"/>
    <cellStyle name="20% - Accent6 9 7" xfId="20781"/>
    <cellStyle name="20% - Accent6 9 7 2" xfId="40561"/>
    <cellStyle name="20% - Accent6 9 8" xfId="30528"/>
    <cellStyle name="20% - Accent6 9 8 2" xfId="50276"/>
    <cellStyle name="20% - Accent6 9 9" xfId="30892"/>
    <cellStyle name="40% - Accent1" xfId="119" builtinId="31" customBuiltin="1"/>
    <cellStyle name="40% - Accent1 10" xfId="120"/>
    <cellStyle name="40% - Accent1 10 2" xfId="868"/>
    <cellStyle name="40% - Accent1 10 2 2" xfId="5003"/>
    <cellStyle name="40% - Accent1 10 2 2 2" xfId="5004"/>
    <cellStyle name="40% - Accent1 10 2 3" xfId="5005"/>
    <cellStyle name="40% - Accent1 10 2 4" xfId="16215"/>
    <cellStyle name="40% - Accent1 10 2 4 2" xfId="25931"/>
    <cellStyle name="40% - Accent1 10 2 4 2 2" xfId="45685"/>
    <cellStyle name="40% - Accent1 10 2 4 3" xfId="36041"/>
    <cellStyle name="40% - Accent1 10 2 5" xfId="21121"/>
    <cellStyle name="40% - Accent1 10 2 5 2" xfId="40876"/>
    <cellStyle name="40% - Accent1 10 2 6" xfId="31232"/>
    <cellStyle name="40% - Accent1 10 3" xfId="869"/>
    <cellStyle name="40% - Accent1 10 3 2" xfId="5006"/>
    <cellStyle name="40% - Accent1 10 3 3" xfId="16216"/>
    <cellStyle name="40% - Accent1 10 3 3 2" xfId="25932"/>
    <cellStyle name="40% - Accent1 10 3 3 2 2" xfId="45686"/>
    <cellStyle name="40% - Accent1 10 3 3 3" xfId="36042"/>
    <cellStyle name="40% - Accent1 10 3 4" xfId="21122"/>
    <cellStyle name="40% - Accent1 10 3 4 2" xfId="40877"/>
    <cellStyle name="40% - Accent1 10 3 5" xfId="31233"/>
    <cellStyle name="40% - Accent1 10 4" xfId="5007"/>
    <cellStyle name="40% - Accent1 10 5" xfId="15518"/>
    <cellStyle name="40% - Accent1 10 5 2" xfId="20390"/>
    <cellStyle name="40% - Accent1 10 5 2 2" xfId="30104"/>
    <cellStyle name="40% - Accent1 10 5 2 2 2" xfId="49857"/>
    <cellStyle name="40% - Accent1 10 5 2 3" xfId="40213"/>
    <cellStyle name="40% - Accent1 10 5 3" xfId="25292"/>
    <cellStyle name="40% - Accent1 10 5 3 2" xfId="45046"/>
    <cellStyle name="40% - Accent1 10 5 4" xfId="35402"/>
    <cellStyle name="40% - Accent1 10 6" xfId="15907"/>
    <cellStyle name="40% - Accent1 10 6 2" xfId="25623"/>
    <cellStyle name="40% - Accent1 10 6 2 2" xfId="45377"/>
    <cellStyle name="40% - Accent1 10 6 3" xfId="35733"/>
    <cellStyle name="40% - Accent1 10 7" xfId="20783"/>
    <cellStyle name="40% - Accent1 10 7 2" xfId="40563"/>
    <cellStyle name="40% - Accent1 10 8" xfId="30530"/>
    <cellStyle name="40% - Accent1 10 8 2" xfId="50278"/>
    <cellStyle name="40% - Accent1 10 9" xfId="30894"/>
    <cellStyle name="40% - Accent1 11" xfId="121"/>
    <cellStyle name="40% - Accent1 12" xfId="122"/>
    <cellStyle name="40% - Accent1 12 2" xfId="870"/>
    <cellStyle name="40% - Accent1 12 2 2" xfId="16217"/>
    <cellStyle name="40% - Accent1 12 2 2 2" xfId="25933"/>
    <cellStyle name="40% - Accent1 12 2 2 2 2" xfId="45687"/>
    <cellStyle name="40% - Accent1 12 2 2 3" xfId="36043"/>
    <cellStyle name="40% - Accent1 12 2 3" xfId="21123"/>
    <cellStyle name="40% - Accent1 12 2 3 2" xfId="40878"/>
    <cellStyle name="40% - Accent1 12 2 4" xfId="31234"/>
    <cellStyle name="40% - Accent1 12 3" xfId="15519"/>
    <cellStyle name="40% - Accent1 12 3 2" xfId="20391"/>
    <cellStyle name="40% - Accent1 12 3 2 2" xfId="30105"/>
    <cellStyle name="40% - Accent1 12 3 2 2 2" xfId="49858"/>
    <cellStyle name="40% - Accent1 12 3 2 3" xfId="40214"/>
    <cellStyle name="40% - Accent1 12 3 3" xfId="25293"/>
    <cellStyle name="40% - Accent1 12 3 3 2" xfId="45047"/>
    <cellStyle name="40% - Accent1 12 3 4" xfId="35403"/>
    <cellStyle name="40% - Accent1 12 4" xfId="15906"/>
    <cellStyle name="40% - Accent1 12 4 2" xfId="25622"/>
    <cellStyle name="40% - Accent1 12 4 2 2" xfId="45376"/>
    <cellStyle name="40% - Accent1 12 4 3" xfId="35732"/>
    <cellStyle name="40% - Accent1 12 5" xfId="20784"/>
    <cellStyle name="40% - Accent1 12 5 2" xfId="40564"/>
    <cellStyle name="40% - Accent1 12 6" xfId="30531"/>
    <cellStyle name="40% - Accent1 12 6 2" xfId="50279"/>
    <cellStyle name="40% - Accent1 12 7" xfId="30895"/>
    <cellStyle name="40% - Accent1 13" xfId="871"/>
    <cellStyle name="40% - Accent1 13 2" xfId="16218"/>
    <cellStyle name="40% - Accent1 13 2 2" xfId="25934"/>
    <cellStyle name="40% - Accent1 13 2 2 2" xfId="45688"/>
    <cellStyle name="40% - Accent1 13 2 3" xfId="36044"/>
    <cellStyle name="40% - Accent1 13 3" xfId="21124"/>
    <cellStyle name="40% - Accent1 13 3 2" xfId="40879"/>
    <cellStyle name="40% - Accent1 13 4" xfId="31235"/>
    <cellStyle name="40% - Accent1 14" xfId="872"/>
    <cellStyle name="40% - Accent1 14 2" xfId="16219"/>
    <cellStyle name="40% - Accent1 14 2 2" xfId="25935"/>
    <cellStyle name="40% - Accent1 14 2 2 2" xfId="45689"/>
    <cellStyle name="40% - Accent1 14 2 3" xfId="36045"/>
    <cellStyle name="40% - Accent1 14 3" xfId="21125"/>
    <cellStyle name="40% - Accent1 14 3 2" xfId="40880"/>
    <cellStyle name="40% - Accent1 14 4" xfId="31236"/>
    <cellStyle name="40% - Accent1 15" xfId="873"/>
    <cellStyle name="40% - Accent1 15 2" xfId="16220"/>
    <cellStyle name="40% - Accent1 15 2 2" xfId="25936"/>
    <cellStyle name="40% - Accent1 15 2 2 2" xfId="45690"/>
    <cellStyle name="40% - Accent1 15 2 3" xfId="36046"/>
    <cellStyle name="40% - Accent1 15 3" xfId="21126"/>
    <cellStyle name="40% - Accent1 15 3 2" xfId="40881"/>
    <cellStyle name="40% - Accent1 15 4" xfId="31237"/>
    <cellStyle name="40% - Accent1 16" xfId="15321"/>
    <cellStyle name="40% - Accent1 16 2" xfId="20218"/>
    <cellStyle name="40% - Accent1 16 2 2" xfId="29932"/>
    <cellStyle name="40% - Accent1 16 2 2 2" xfId="49685"/>
    <cellStyle name="40% - Accent1 16 2 3" xfId="40041"/>
    <cellStyle name="40% - Accent1 16 3" xfId="25120"/>
    <cellStyle name="40% - Accent1 16 3 2" xfId="44874"/>
    <cellStyle name="40% - Accent1 16 4" xfId="35230"/>
    <cellStyle name="40% - Accent1 17" xfId="15517"/>
    <cellStyle name="40% - Accent1 17 2" xfId="20389"/>
    <cellStyle name="40% - Accent1 17 2 2" xfId="30103"/>
    <cellStyle name="40% - Accent1 17 2 2 2" xfId="49856"/>
    <cellStyle name="40% - Accent1 17 2 3" xfId="40212"/>
    <cellStyle name="40% - Accent1 17 3" xfId="25291"/>
    <cellStyle name="40% - Accent1 17 3 2" xfId="45045"/>
    <cellStyle name="40% - Accent1 17 4" xfId="35401"/>
    <cellStyle name="40% - Accent1 18" xfId="15801"/>
    <cellStyle name="40% - Accent1 18 2" xfId="25517"/>
    <cellStyle name="40% - Accent1 18 2 2" xfId="45271"/>
    <cellStyle name="40% - Accent1 18 3" xfId="35627"/>
    <cellStyle name="40% - Accent1 19" xfId="20647"/>
    <cellStyle name="40% - Accent1 19 2" xfId="30331"/>
    <cellStyle name="40% - Accent1 19 2 2" xfId="50083"/>
    <cellStyle name="40% - Accent1 19 3" xfId="40439"/>
    <cellStyle name="40% - Accent1 2" xfId="123"/>
    <cellStyle name="40% - Accent1 2 10" xfId="5008"/>
    <cellStyle name="40% - Accent1 2 10 2" xfId="5009"/>
    <cellStyle name="40% - Accent1 2 11" xfId="5010"/>
    <cellStyle name="40% - Accent1 2 12" xfId="5011"/>
    <cellStyle name="40% - Accent1 2 13" xfId="5012"/>
    <cellStyle name="40% - Accent1 2 2" xfId="124"/>
    <cellStyle name="40% - Accent1 2 2 10" xfId="5013"/>
    <cellStyle name="40% - Accent1 2 2 11" xfId="5014"/>
    <cellStyle name="40% - Accent1 2 2 12" xfId="5015"/>
    <cellStyle name="40% - Accent1 2 2 2" xfId="5016"/>
    <cellStyle name="40% - Accent1 2 2 2 10" xfId="5017"/>
    <cellStyle name="40% - Accent1 2 2 2 2" xfId="5018"/>
    <cellStyle name="40% - Accent1 2 2 2 2 2" xfId="5019"/>
    <cellStyle name="40% - Accent1 2 2 2 2 2 2" xfId="5020"/>
    <cellStyle name="40% - Accent1 2 2 2 2 2 2 2" xfId="5021"/>
    <cellStyle name="40% - Accent1 2 2 2 2 2 2 2 2" xfId="5022"/>
    <cellStyle name="40% - Accent1 2 2 2 2 2 2 3" xfId="5023"/>
    <cellStyle name="40% - Accent1 2 2 2 2 2 3" xfId="5024"/>
    <cellStyle name="40% - Accent1 2 2 2 2 2 3 2" xfId="5025"/>
    <cellStyle name="40% - Accent1 2 2 2 2 2 4" xfId="5026"/>
    <cellStyle name="40% - Accent1 2 2 2 2 3" xfId="5027"/>
    <cellStyle name="40% - Accent1 2 2 2 2 3 2" xfId="5028"/>
    <cellStyle name="40% - Accent1 2 2 2 2 3 2 2" xfId="5029"/>
    <cellStyle name="40% - Accent1 2 2 2 2 3 3" xfId="5030"/>
    <cellStyle name="40% - Accent1 2 2 2 2 4" xfId="5031"/>
    <cellStyle name="40% - Accent1 2 2 2 2 4 2" xfId="5032"/>
    <cellStyle name="40% - Accent1 2 2 2 2 5" xfId="5033"/>
    <cellStyle name="40% - Accent1 2 2 2 2 6" xfId="5034"/>
    <cellStyle name="40% - Accent1 2 2 2 2 7" xfId="5035"/>
    <cellStyle name="40% - Accent1 2 2 2 3" xfId="5036"/>
    <cellStyle name="40% - Accent1 2 2 2 3 2" xfId="5037"/>
    <cellStyle name="40% - Accent1 2 2 2 3 2 2" xfId="5038"/>
    <cellStyle name="40% - Accent1 2 2 2 3 2 2 2" xfId="5039"/>
    <cellStyle name="40% - Accent1 2 2 2 3 2 3" xfId="5040"/>
    <cellStyle name="40% - Accent1 2 2 2 3 3" xfId="5041"/>
    <cellStyle name="40% - Accent1 2 2 2 3 3 2" xfId="5042"/>
    <cellStyle name="40% - Accent1 2 2 2 3 4" xfId="5043"/>
    <cellStyle name="40% - Accent1 2 2 2 4" xfId="5044"/>
    <cellStyle name="40% - Accent1 2 2 2 4 2" xfId="5045"/>
    <cellStyle name="40% - Accent1 2 2 2 4 2 2" xfId="5046"/>
    <cellStyle name="40% - Accent1 2 2 2 4 2 2 2" xfId="5047"/>
    <cellStyle name="40% - Accent1 2 2 2 4 2 3" xfId="5048"/>
    <cellStyle name="40% - Accent1 2 2 2 4 3" xfId="5049"/>
    <cellStyle name="40% - Accent1 2 2 2 4 3 2" xfId="5050"/>
    <cellStyle name="40% - Accent1 2 2 2 4 4" xfId="5051"/>
    <cellStyle name="40% - Accent1 2 2 2 5" xfId="5052"/>
    <cellStyle name="40% - Accent1 2 2 2 5 2" xfId="5053"/>
    <cellStyle name="40% - Accent1 2 2 2 5 2 2" xfId="5054"/>
    <cellStyle name="40% - Accent1 2 2 2 5 3" xfId="5055"/>
    <cellStyle name="40% - Accent1 2 2 2 6" xfId="5056"/>
    <cellStyle name="40% - Accent1 2 2 2 6 2" xfId="5057"/>
    <cellStyle name="40% - Accent1 2 2 2 7" xfId="5058"/>
    <cellStyle name="40% - Accent1 2 2 2 7 2" xfId="5059"/>
    <cellStyle name="40% - Accent1 2 2 2 8" xfId="5060"/>
    <cellStyle name="40% - Accent1 2 2 2 9" xfId="5061"/>
    <cellStyle name="40% - Accent1 2 2 3" xfId="5062"/>
    <cellStyle name="40% - Accent1 2 2 3 2" xfId="5063"/>
    <cellStyle name="40% - Accent1 2 2 3 2 2" xfId="5064"/>
    <cellStyle name="40% - Accent1 2 2 3 2 2 2" xfId="5065"/>
    <cellStyle name="40% - Accent1 2 2 3 2 2 2 2" xfId="5066"/>
    <cellStyle name="40% - Accent1 2 2 3 2 2 3" xfId="5067"/>
    <cellStyle name="40% - Accent1 2 2 3 2 3" xfId="5068"/>
    <cellStyle name="40% - Accent1 2 2 3 2 3 2" xfId="5069"/>
    <cellStyle name="40% - Accent1 2 2 3 2 4" xfId="5070"/>
    <cellStyle name="40% - Accent1 2 2 3 3" xfId="5071"/>
    <cellStyle name="40% - Accent1 2 2 3 3 2" xfId="5072"/>
    <cellStyle name="40% - Accent1 2 2 3 3 2 2" xfId="5073"/>
    <cellStyle name="40% - Accent1 2 2 3 3 3" xfId="5074"/>
    <cellStyle name="40% - Accent1 2 2 3 4" xfId="5075"/>
    <cellStyle name="40% - Accent1 2 2 3 4 2" xfId="5076"/>
    <cellStyle name="40% - Accent1 2 2 3 5" xfId="5077"/>
    <cellStyle name="40% - Accent1 2 2 3 6" xfId="5078"/>
    <cellStyle name="40% - Accent1 2 2 3 7" xfId="5079"/>
    <cellStyle name="40% - Accent1 2 2 4" xfId="5080"/>
    <cellStyle name="40% - Accent1 2 2 4 2" xfId="5081"/>
    <cellStyle name="40% - Accent1 2 2 4 2 2" xfId="5082"/>
    <cellStyle name="40% - Accent1 2 2 4 2 2 2" xfId="5083"/>
    <cellStyle name="40% - Accent1 2 2 4 2 3" xfId="5084"/>
    <cellStyle name="40% - Accent1 2 2 4 3" xfId="5085"/>
    <cellStyle name="40% - Accent1 2 2 4 3 2" xfId="5086"/>
    <cellStyle name="40% - Accent1 2 2 4 4" xfId="5087"/>
    <cellStyle name="40% - Accent1 2 2 5" xfId="5088"/>
    <cellStyle name="40% - Accent1 2 2 5 2" xfId="5089"/>
    <cellStyle name="40% - Accent1 2 2 5 2 2" xfId="5090"/>
    <cellStyle name="40% - Accent1 2 2 5 2 2 2" xfId="5091"/>
    <cellStyle name="40% - Accent1 2 2 5 2 3" xfId="5092"/>
    <cellStyle name="40% - Accent1 2 2 5 3" xfId="5093"/>
    <cellStyle name="40% - Accent1 2 2 5 3 2" xfId="5094"/>
    <cellStyle name="40% - Accent1 2 2 5 4" xfId="5095"/>
    <cellStyle name="40% - Accent1 2 2 6" xfId="5096"/>
    <cellStyle name="40% - Accent1 2 2 6 2" xfId="5097"/>
    <cellStyle name="40% - Accent1 2 2 7" xfId="5098"/>
    <cellStyle name="40% - Accent1 2 2 7 2" xfId="5099"/>
    <cellStyle name="40% - Accent1 2 2 7 2 2" xfId="5100"/>
    <cellStyle name="40% - Accent1 2 2 7 3" xfId="5101"/>
    <cellStyle name="40% - Accent1 2 2 8" xfId="5102"/>
    <cellStyle name="40% - Accent1 2 2 8 2" xfId="5103"/>
    <cellStyle name="40% - Accent1 2 2 9" xfId="5104"/>
    <cellStyle name="40% - Accent1 2 2 9 2" xfId="5105"/>
    <cellStyle name="40% - Accent1 2 3" xfId="125"/>
    <cellStyle name="40% - Accent1 2 3 10" xfId="5106"/>
    <cellStyle name="40% - Accent1 2 3 11" xfId="15520"/>
    <cellStyle name="40% - Accent1 2 3 11 2" xfId="20392"/>
    <cellStyle name="40% - Accent1 2 3 11 2 2" xfId="30106"/>
    <cellStyle name="40% - Accent1 2 3 11 2 2 2" xfId="49859"/>
    <cellStyle name="40% - Accent1 2 3 11 2 3" xfId="40215"/>
    <cellStyle name="40% - Accent1 2 3 11 3" xfId="25294"/>
    <cellStyle name="40% - Accent1 2 3 11 3 2" xfId="45048"/>
    <cellStyle name="40% - Accent1 2 3 11 4" xfId="35404"/>
    <cellStyle name="40% - Accent1 2 3 12" xfId="15908"/>
    <cellStyle name="40% - Accent1 2 3 12 2" xfId="25624"/>
    <cellStyle name="40% - Accent1 2 3 12 2 2" xfId="45378"/>
    <cellStyle name="40% - Accent1 2 3 12 3" xfId="35734"/>
    <cellStyle name="40% - Accent1 2 3 13" xfId="20785"/>
    <cellStyle name="40% - Accent1 2 3 13 2" xfId="40565"/>
    <cellStyle name="40% - Accent1 2 3 14" xfId="30532"/>
    <cellStyle name="40% - Accent1 2 3 14 2" xfId="50280"/>
    <cellStyle name="40% - Accent1 2 3 15" xfId="30896"/>
    <cellStyle name="40% - Accent1 2 3 2" xfId="874"/>
    <cellStyle name="40% - Accent1 2 3 2 10" xfId="31238"/>
    <cellStyle name="40% - Accent1 2 3 2 2" xfId="5107"/>
    <cellStyle name="40% - Accent1 2 3 2 2 2" xfId="5108"/>
    <cellStyle name="40% - Accent1 2 3 2 2 2 2" xfId="5109"/>
    <cellStyle name="40% - Accent1 2 3 2 2 2 2 2" xfId="5110"/>
    <cellStyle name="40% - Accent1 2 3 2 2 2 3" xfId="5111"/>
    <cellStyle name="40% - Accent1 2 3 2 2 3" xfId="5112"/>
    <cellStyle name="40% - Accent1 2 3 2 2 3 2" xfId="5113"/>
    <cellStyle name="40% - Accent1 2 3 2 2 4" xfId="5114"/>
    <cellStyle name="40% - Accent1 2 3 2 3" xfId="5115"/>
    <cellStyle name="40% - Accent1 2 3 2 3 2" xfId="5116"/>
    <cellStyle name="40% - Accent1 2 3 2 3 2 2" xfId="5117"/>
    <cellStyle name="40% - Accent1 2 3 2 3 3" xfId="5118"/>
    <cellStyle name="40% - Accent1 2 3 2 4" xfId="5119"/>
    <cellStyle name="40% - Accent1 2 3 2 4 2" xfId="5120"/>
    <cellStyle name="40% - Accent1 2 3 2 5" xfId="5121"/>
    <cellStyle name="40% - Accent1 2 3 2 6" xfId="5122"/>
    <cellStyle name="40% - Accent1 2 3 2 7" xfId="5123"/>
    <cellStyle name="40% - Accent1 2 3 2 8" xfId="16221"/>
    <cellStyle name="40% - Accent1 2 3 2 8 2" xfId="25937"/>
    <cellStyle name="40% - Accent1 2 3 2 8 2 2" xfId="45691"/>
    <cellStyle name="40% - Accent1 2 3 2 8 3" xfId="36047"/>
    <cellStyle name="40% - Accent1 2 3 2 9" xfId="21127"/>
    <cellStyle name="40% - Accent1 2 3 2 9 2" xfId="40882"/>
    <cellStyle name="40% - Accent1 2 3 3" xfId="5124"/>
    <cellStyle name="40% - Accent1 2 3 3 2" xfId="5125"/>
    <cellStyle name="40% - Accent1 2 3 3 2 2" xfId="5126"/>
    <cellStyle name="40% - Accent1 2 3 3 2 2 2" xfId="5127"/>
    <cellStyle name="40% - Accent1 2 3 3 2 3" xfId="5128"/>
    <cellStyle name="40% - Accent1 2 3 3 3" xfId="5129"/>
    <cellStyle name="40% - Accent1 2 3 3 3 2" xfId="5130"/>
    <cellStyle name="40% - Accent1 2 3 3 4" xfId="5131"/>
    <cellStyle name="40% - Accent1 2 3 4" xfId="5132"/>
    <cellStyle name="40% - Accent1 2 3 4 2" xfId="5133"/>
    <cellStyle name="40% - Accent1 2 3 4 2 2" xfId="5134"/>
    <cellStyle name="40% - Accent1 2 3 4 2 2 2" xfId="5135"/>
    <cellStyle name="40% - Accent1 2 3 4 2 3" xfId="5136"/>
    <cellStyle name="40% - Accent1 2 3 4 3" xfId="5137"/>
    <cellStyle name="40% - Accent1 2 3 4 3 2" xfId="5138"/>
    <cellStyle name="40% - Accent1 2 3 4 4" xfId="5139"/>
    <cellStyle name="40% - Accent1 2 3 5" xfId="5140"/>
    <cellStyle name="40% - Accent1 2 3 5 2" xfId="5141"/>
    <cellStyle name="40% - Accent1 2 3 5 2 2" xfId="5142"/>
    <cellStyle name="40% - Accent1 2 3 5 3" xfId="5143"/>
    <cellStyle name="40% - Accent1 2 3 6" xfId="5144"/>
    <cellStyle name="40% - Accent1 2 3 6 2" xfId="5145"/>
    <cellStyle name="40% - Accent1 2 3 7" xfId="5146"/>
    <cellStyle name="40% - Accent1 2 3 7 2" xfId="5147"/>
    <cellStyle name="40% - Accent1 2 3 8" xfId="5148"/>
    <cellStyle name="40% - Accent1 2 3 9" xfId="5149"/>
    <cellStyle name="40% - Accent1 2 4" xfId="875"/>
    <cellStyle name="40% - Accent1 2 4 2" xfId="5150"/>
    <cellStyle name="40% - Accent1 2 4 2 2" xfId="5151"/>
    <cellStyle name="40% - Accent1 2 4 2 2 2" xfId="5152"/>
    <cellStyle name="40% - Accent1 2 4 2 2 2 2" xfId="5153"/>
    <cellStyle name="40% - Accent1 2 4 2 2 3" xfId="5154"/>
    <cellStyle name="40% - Accent1 2 4 2 3" xfId="5155"/>
    <cellStyle name="40% - Accent1 2 4 2 3 2" xfId="5156"/>
    <cellStyle name="40% - Accent1 2 4 2 4" xfId="5157"/>
    <cellStyle name="40% - Accent1 2 4 3" xfId="5158"/>
    <cellStyle name="40% - Accent1 2 4 3 2" xfId="5159"/>
    <cellStyle name="40% - Accent1 2 4 3 2 2" xfId="5160"/>
    <cellStyle name="40% - Accent1 2 4 3 3" xfId="5161"/>
    <cellStyle name="40% - Accent1 2 4 4" xfId="5162"/>
    <cellStyle name="40% - Accent1 2 4 4 2" xfId="5163"/>
    <cellStyle name="40% - Accent1 2 4 5" xfId="5164"/>
    <cellStyle name="40% - Accent1 2 4 6" xfId="5165"/>
    <cellStyle name="40% - Accent1 2 4 7" xfId="5166"/>
    <cellStyle name="40% - Accent1 2 5" xfId="5167"/>
    <cellStyle name="40% - Accent1 2 5 2" xfId="5168"/>
    <cellStyle name="40% - Accent1 2 5 2 2" xfId="5169"/>
    <cellStyle name="40% - Accent1 2 5 2 2 2" xfId="5170"/>
    <cellStyle name="40% - Accent1 2 5 2 3" xfId="5171"/>
    <cellStyle name="40% - Accent1 2 5 3" xfId="5172"/>
    <cellStyle name="40% - Accent1 2 5 3 2" xfId="5173"/>
    <cellStyle name="40% - Accent1 2 5 4" xfId="5174"/>
    <cellStyle name="40% - Accent1 2 6" xfId="5175"/>
    <cellStyle name="40% - Accent1 2 6 2" xfId="5176"/>
    <cellStyle name="40% - Accent1 2 6 2 2" xfId="5177"/>
    <cellStyle name="40% - Accent1 2 6 2 2 2" xfId="5178"/>
    <cellStyle name="40% - Accent1 2 6 2 3" xfId="5179"/>
    <cellStyle name="40% - Accent1 2 6 3" xfId="5180"/>
    <cellStyle name="40% - Accent1 2 6 3 2" xfId="5181"/>
    <cellStyle name="40% - Accent1 2 6 4" xfId="5182"/>
    <cellStyle name="40% - Accent1 2 7" xfId="5183"/>
    <cellStyle name="40% - Accent1 2 7 2" xfId="5184"/>
    <cellStyle name="40% - Accent1 2 8" xfId="5185"/>
    <cellStyle name="40% - Accent1 2 8 2" xfId="5186"/>
    <cellStyle name="40% - Accent1 2 8 2 2" xfId="5187"/>
    <cellStyle name="40% - Accent1 2 8 3" xfId="5188"/>
    <cellStyle name="40% - Accent1 2 9" xfId="5189"/>
    <cellStyle name="40% - Accent1 2 9 2" xfId="5190"/>
    <cellStyle name="40% - Accent1 20" xfId="20666"/>
    <cellStyle name="40% - Accent1 20 2" xfId="30343"/>
    <cellStyle name="40% - Accent1 20 2 2" xfId="50092"/>
    <cellStyle name="40% - Accent1 20 3" xfId="40448"/>
    <cellStyle name="40% - Accent1 21" xfId="20782"/>
    <cellStyle name="40% - Accent1 21 2" xfId="40562"/>
    <cellStyle name="40% - Accent1 22" xfId="30358"/>
    <cellStyle name="40% - Accent1 22 2" xfId="50107"/>
    <cellStyle name="40% - Accent1 23" xfId="30768"/>
    <cellStyle name="40% - Accent1 23 2" xfId="50507"/>
    <cellStyle name="40% - Accent1 24" xfId="30893"/>
    <cellStyle name="40% - Accent1 25" xfId="30782"/>
    <cellStyle name="40% - Accent1 26" xfId="50523"/>
    <cellStyle name="40% - Accent1 3" xfId="126"/>
    <cellStyle name="40% - Accent1 3 10" xfId="5191"/>
    <cellStyle name="40% - Accent1 3 10 2" xfId="5192"/>
    <cellStyle name="40% - Accent1 3 11" xfId="5193"/>
    <cellStyle name="40% - Accent1 3 12" xfId="5194"/>
    <cellStyle name="40% - Accent1 3 13" xfId="5195"/>
    <cellStyle name="40% - Accent1 3 2" xfId="5196"/>
    <cellStyle name="40% - Accent1 3 2 10" xfId="5197"/>
    <cellStyle name="40% - Accent1 3 2 11" xfId="5198"/>
    <cellStyle name="40% - Accent1 3 2 2" xfId="5199"/>
    <cellStyle name="40% - Accent1 3 2 2 10" xfId="5200"/>
    <cellStyle name="40% - Accent1 3 2 2 2" xfId="5201"/>
    <cellStyle name="40% - Accent1 3 2 2 2 2" xfId="5202"/>
    <cellStyle name="40% - Accent1 3 2 2 2 2 2" xfId="5203"/>
    <cellStyle name="40% - Accent1 3 2 2 2 2 2 2" xfId="5204"/>
    <cellStyle name="40% - Accent1 3 2 2 2 2 2 2 2" xfId="5205"/>
    <cellStyle name="40% - Accent1 3 2 2 2 2 2 3" xfId="5206"/>
    <cellStyle name="40% - Accent1 3 2 2 2 2 3" xfId="5207"/>
    <cellStyle name="40% - Accent1 3 2 2 2 2 3 2" xfId="5208"/>
    <cellStyle name="40% - Accent1 3 2 2 2 2 4" xfId="5209"/>
    <cellStyle name="40% - Accent1 3 2 2 2 3" xfId="5210"/>
    <cellStyle name="40% - Accent1 3 2 2 2 3 2" xfId="5211"/>
    <cellStyle name="40% - Accent1 3 2 2 2 3 2 2" xfId="5212"/>
    <cellStyle name="40% - Accent1 3 2 2 2 3 3" xfId="5213"/>
    <cellStyle name="40% - Accent1 3 2 2 2 4" xfId="5214"/>
    <cellStyle name="40% - Accent1 3 2 2 2 4 2" xfId="5215"/>
    <cellStyle name="40% - Accent1 3 2 2 2 5" xfId="5216"/>
    <cellStyle name="40% - Accent1 3 2 2 2 6" xfId="5217"/>
    <cellStyle name="40% - Accent1 3 2 2 2 7" xfId="5218"/>
    <cellStyle name="40% - Accent1 3 2 2 3" xfId="5219"/>
    <cellStyle name="40% - Accent1 3 2 2 3 2" xfId="5220"/>
    <cellStyle name="40% - Accent1 3 2 2 3 2 2" xfId="5221"/>
    <cellStyle name="40% - Accent1 3 2 2 3 2 2 2" xfId="5222"/>
    <cellStyle name="40% - Accent1 3 2 2 3 2 3" xfId="5223"/>
    <cellStyle name="40% - Accent1 3 2 2 3 3" xfId="5224"/>
    <cellStyle name="40% - Accent1 3 2 2 3 3 2" xfId="5225"/>
    <cellStyle name="40% - Accent1 3 2 2 3 4" xfId="5226"/>
    <cellStyle name="40% - Accent1 3 2 2 4" xfId="5227"/>
    <cellStyle name="40% - Accent1 3 2 2 4 2" xfId="5228"/>
    <cellStyle name="40% - Accent1 3 2 2 4 2 2" xfId="5229"/>
    <cellStyle name="40% - Accent1 3 2 2 4 2 2 2" xfId="5230"/>
    <cellStyle name="40% - Accent1 3 2 2 4 2 3" xfId="5231"/>
    <cellStyle name="40% - Accent1 3 2 2 4 3" xfId="5232"/>
    <cellStyle name="40% - Accent1 3 2 2 4 3 2" xfId="5233"/>
    <cellStyle name="40% - Accent1 3 2 2 4 4" xfId="5234"/>
    <cellStyle name="40% - Accent1 3 2 2 5" xfId="5235"/>
    <cellStyle name="40% - Accent1 3 2 2 5 2" xfId="5236"/>
    <cellStyle name="40% - Accent1 3 2 2 5 2 2" xfId="5237"/>
    <cellStyle name="40% - Accent1 3 2 2 5 3" xfId="5238"/>
    <cellStyle name="40% - Accent1 3 2 2 6" xfId="5239"/>
    <cellStyle name="40% - Accent1 3 2 2 6 2" xfId="5240"/>
    <cellStyle name="40% - Accent1 3 2 2 7" xfId="5241"/>
    <cellStyle name="40% - Accent1 3 2 2 7 2" xfId="5242"/>
    <cellStyle name="40% - Accent1 3 2 2 8" xfId="5243"/>
    <cellStyle name="40% - Accent1 3 2 2 9" xfId="5244"/>
    <cellStyle name="40% - Accent1 3 2 3" xfId="5245"/>
    <cellStyle name="40% - Accent1 3 2 3 2" xfId="5246"/>
    <cellStyle name="40% - Accent1 3 2 3 2 2" xfId="5247"/>
    <cellStyle name="40% - Accent1 3 2 3 2 2 2" xfId="5248"/>
    <cellStyle name="40% - Accent1 3 2 3 2 2 2 2" xfId="5249"/>
    <cellStyle name="40% - Accent1 3 2 3 2 2 3" xfId="5250"/>
    <cellStyle name="40% - Accent1 3 2 3 2 3" xfId="5251"/>
    <cellStyle name="40% - Accent1 3 2 3 2 3 2" xfId="5252"/>
    <cellStyle name="40% - Accent1 3 2 3 2 4" xfId="5253"/>
    <cellStyle name="40% - Accent1 3 2 3 3" xfId="5254"/>
    <cellStyle name="40% - Accent1 3 2 3 3 2" xfId="5255"/>
    <cellStyle name="40% - Accent1 3 2 3 3 2 2" xfId="5256"/>
    <cellStyle name="40% - Accent1 3 2 3 3 3" xfId="5257"/>
    <cellStyle name="40% - Accent1 3 2 3 4" xfId="5258"/>
    <cellStyle name="40% - Accent1 3 2 3 4 2" xfId="5259"/>
    <cellStyle name="40% - Accent1 3 2 3 5" xfId="5260"/>
    <cellStyle name="40% - Accent1 3 2 3 6" xfId="5261"/>
    <cellStyle name="40% - Accent1 3 2 3 7" xfId="5262"/>
    <cellStyle name="40% - Accent1 3 2 4" xfId="5263"/>
    <cellStyle name="40% - Accent1 3 2 4 2" xfId="5264"/>
    <cellStyle name="40% - Accent1 3 2 4 2 2" xfId="5265"/>
    <cellStyle name="40% - Accent1 3 2 4 2 2 2" xfId="5266"/>
    <cellStyle name="40% - Accent1 3 2 4 2 3" xfId="5267"/>
    <cellStyle name="40% - Accent1 3 2 4 3" xfId="5268"/>
    <cellStyle name="40% - Accent1 3 2 4 3 2" xfId="5269"/>
    <cellStyle name="40% - Accent1 3 2 4 4" xfId="5270"/>
    <cellStyle name="40% - Accent1 3 2 5" xfId="5271"/>
    <cellStyle name="40% - Accent1 3 2 5 2" xfId="5272"/>
    <cellStyle name="40% - Accent1 3 2 5 2 2" xfId="5273"/>
    <cellStyle name="40% - Accent1 3 2 5 2 2 2" xfId="5274"/>
    <cellStyle name="40% - Accent1 3 2 5 2 3" xfId="5275"/>
    <cellStyle name="40% - Accent1 3 2 5 3" xfId="5276"/>
    <cellStyle name="40% - Accent1 3 2 5 3 2" xfId="5277"/>
    <cellStyle name="40% - Accent1 3 2 5 4" xfId="5278"/>
    <cellStyle name="40% - Accent1 3 2 6" xfId="5279"/>
    <cellStyle name="40% - Accent1 3 2 6 2" xfId="5280"/>
    <cellStyle name="40% - Accent1 3 2 6 2 2" xfId="5281"/>
    <cellStyle name="40% - Accent1 3 2 6 3" xfId="5282"/>
    <cellStyle name="40% - Accent1 3 2 7" xfId="5283"/>
    <cellStyle name="40% - Accent1 3 2 7 2" xfId="5284"/>
    <cellStyle name="40% - Accent1 3 2 8" xfId="5285"/>
    <cellStyle name="40% - Accent1 3 2 8 2" xfId="5286"/>
    <cellStyle name="40% - Accent1 3 2 9" xfId="5287"/>
    <cellStyle name="40% - Accent1 3 3" xfId="5288"/>
    <cellStyle name="40% - Accent1 3 3 10" xfId="5289"/>
    <cellStyle name="40% - Accent1 3 3 2" xfId="5290"/>
    <cellStyle name="40% - Accent1 3 3 2 2" xfId="5291"/>
    <cellStyle name="40% - Accent1 3 3 2 2 2" xfId="5292"/>
    <cellStyle name="40% - Accent1 3 3 2 2 2 2" xfId="5293"/>
    <cellStyle name="40% - Accent1 3 3 2 2 2 2 2" xfId="5294"/>
    <cellStyle name="40% - Accent1 3 3 2 2 2 3" xfId="5295"/>
    <cellStyle name="40% - Accent1 3 3 2 2 3" xfId="5296"/>
    <cellStyle name="40% - Accent1 3 3 2 2 3 2" xfId="5297"/>
    <cellStyle name="40% - Accent1 3 3 2 2 4" xfId="5298"/>
    <cellStyle name="40% - Accent1 3 3 2 3" xfId="5299"/>
    <cellStyle name="40% - Accent1 3 3 2 3 2" xfId="5300"/>
    <cellStyle name="40% - Accent1 3 3 2 3 2 2" xfId="5301"/>
    <cellStyle name="40% - Accent1 3 3 2 3 3" xfId="5302"/>
    <cellStyle name="40% - Accent1 3 3 2 4" xfId="5303"/>
    <cellStyle name="40% - Accent1 3 3 2 4 2" xfId="5304"/>
    <cellStyle name="40% - Accent1 3 3 2 5" xfId="5305"/>
    <cellStyle name="40% - Accent1 3 3 2 6" xfId="5306"/>
    <cellStyle name="40% - Accent1 3 3 2 7" xfId="5307"/>
    <cellStyle name="40% - Accent1 3 3 3" xfId="5308"/>
    <cellStyle name="40% - Accent1 3 3 3 2" xfId="5309"/>
    <cellStyle name="40% - Accent1 3 3 3 2 2" xfId="5310"/>
    <cellStyle name="40% - Accent1 3 3 3 2 2 2" xfId="5311"/>
    <cellStyle name="40% - Accent1 3 3 3 2 3" xfId="5312"/>
    <cellStyle name="40% - Accent1 3 3 3 3" xfId="5313"/>
    <cellStyle name="40% - Accent1 3 3 3 3 2" xfId="5314"/>
    <cellStyle name="40% - Accent1 3 3 3 4" xfId="5315"/>
    <cellStyle name="40% - Accent1 3 3 4" xfId="5316"/>
    <cellStyle name="40% - Accent1 3 3 4 2" xfId="5317"/>
    <cellStyle name="40% - Accent1 3 3 4 2 2" xfId="5318"/>
    <cellStyle name="40% - Accent1 3 3 4 2 2 2" xfId="5319"/>
    <cellStyle name="40% - Accent1 3 3 4 2 3" xfId="5320"/>
    <cellStyle name="40% - Accent1 3 3 4 3" xfId="5321"/>
    <cellStyle name="40% - Accent1 3 3 4 3 2" xfId="5322"/>
    <cellStyle name="40% - Accent1 3 3 4 4" xfId="5323"/>
    <cellStyle name="40% - Accent1 3 3 5" xfId="5324"/>
    <cellStyle name="40% - Accent1 3 3 5 2" xfId="5325"/>
    <cellStyle name="40% - Accent1 3 3 5 2 2" xfId="5326"/>
    <cellStyle name="40% - Accent1 3 3 5 3" xfId="5327"/>
    <cellStyle name="40% - Accent1 3 3 6" xfId="5328"/>
    <cellStyle name="40% - Accent1 3 3 6 2" xfId="5329"/>
    <cellStyle name="40% - Accent1 3 3 7" xfId="5330"/>
    <cellStyle name="40% - Accent1 3 3 7 2" xfId="5331"/>
    <cellStyle name="40% - Accent1 3 3 8" xfId="5332"/>
    <cellStyle name="40% - Accent1 3 3 9" xfId="5333"/>
    <cellStyle name="40% - Accent1 3 4" xfId="5334"/>
    <cellStyle name="40% - Accent1 3 4 2" xfId="5335"/>
    <cellStyle name="40% - Accent1 3 4 2 2" xfId="5336"/>
    <cellStyle name="40% - Accent1 3 4 2 2 2" xfId="5337"/>
    <cellStyle name="40% - Accent1 3 4 2 2 2 2" xfId="5338"/>
    <cellStyle name="40% - Accent1 3 4 2 2 3" xfId="5339"/>
    <cellStyle name="40% - Accent1 3 4 2 3" xfId="5340"/>
    <cellStyle name="40% - Accent1 3 4 2 3 2" xfId="5341"/>
    <cellStyle name="40% - Accent1 3 4 2 4" xfId="5342"/>
    <cellStyle name="40% - Accent1 3 4 3" xfId="5343"/>
    <cellStyle name="40% - Accent1 3 4 3 2" xfId="5344"/>
    <cellStyle name="40% - Accent1 3 4 3 2 2" xfId="5345"/>
    <cellStyle name="40% - Accent1 3 4 3 3" xfId="5346"/>
    <cellStyle name="40% - Accent1 3 4 4" xfId="5347"/>
    <cellStyle name="40% - Accent1 3 4 4 2" xfId="5348"/>
    <cellStyle name="40% - Accent1 3 4 5" xfId="5349"/>
    <cellStyle name="40% - Accent1 3 4 6" xfId="5350"/>
    <cellStyle name="40% - Accent1 3 4 7" xfId="5351"/>
    <cellStyle name="40% - Accent1 3 5" xfId="5352"/>
    <cellStyle name="40% - Accent1 3 5 2" xfId="5353"/>
    <cellStyle name="40% - Accent1 3 5 2 2" xfId="5354"/>
    <cellStyle name="40% - Accent1 3 5 2 2 2" xfId="5355"/>
    <cellStyle name="40% - Accent1 3 5 2 3" xfId="5356"/>
    <cellStyle name="40% - Accent1 3 5 3" xfId="5357"/>
    <cellStyle name="40% - Accent1 3 5 3 2" xfId="5358"/>
    <cellStyle name="40% - Accent1 3 5 4" xfId="5359"/>
    <cellStyle name="40% - Accent1 3 6" xfId="5360"/>
    <cellStyle name="40% - Accent1 3 6 2" xfId="5361"/>
    <cellStyle name="40% - Accent1 3 6 2 2" xfId="5362"/>
    <cellStyle name="40% - Accent1 3 6 2 2 2" xfId="5363"/>
    <cellStyle name="40% - Accent1 3 6 2 3" xfId="5364"/>
    <cellStyle name="40% - Accent1 3 6 3" xfId="5365"/>
    <cellStyle name="40% - Accent1 3 6 3 2" xfId="5366"/>
    <cellStyle name="40% - Accent1 3 6 4" xfId="5367"/>
    <cellStyle name="40% - Accent1 3 7" xfId="5368"/>
    <cellStyle name="40% - Accent1 3 7 2" xfId="5369"/>
    <cellStyle name="40% - Accent1 3 8" xfId="5370"/>
    <cellStyle name="40% - Accent1 3 8 2" xfId="5371"/>
    <cellStyle name="40% - Accent1 3 8 2 2" xfId="5372"/>
    <cellStyle name="40% - Accent1 3 8 3" xfId="5373"/>
    <cellStyle name="40% - Accent1 3 9" xfId="5374"/>
    <cellStyle name="40% - Accent1 3 9 2" xfId="5375"/>
    <cellStyle name="40% - Accent1 4" xfId="127"/>
    <cellStyle name="40% - Accent1 4 10" xfId="5376"/>
    <cellStyle name="40% - Accent1 4 11" xfId="5377"/>
    <cellStyle name="40% - Accent1 4 12" xfId="5378"/>
    <cellStyle name="40% - Accent1 4 13" xfId="15521"/>
    <cellStyle name="40% - Accent1 4 13 2" xfId="20393"/>
    <cellStyle name="40% - Accent1 4 13 2 2" xfId="30107"/>
    <cellStyle name="40% - Accent1 4 13 2 2 2" xfId="49860"/>
    <cellStyle name="40% - Accent1 4 13 2 3" xfId="40216"/>
    <cellStyle name="40% - Accent1 4 13 3" xfId="25295"/>
    <cellStyle name="40% - Accent1 4 13 3 2" xfId="45049"/>
    <cellStyle name="40% - Accent1 4 13 4" xfId="35405"/>
    <cellStyle name="40% - Accent1 4 14" xfId="15909"/>
    <cellStyle name="40% - Accent1 4 14 2" xfId="25625"/>
    <cellStyle name="40% - Accent1 4 14 2 2" xfId="45379"/>
    <cellStyle name="40% - Accent1 4 14 3" xfId="35735"/>
    <cellStyle name="40% - Accent1 4 15" xfId="20786"/>
    <cellStyle name="40% - Accent1 4 15 2" xfId="40566"/>
    <cellStyle name="40% - Accent1 4 16" xfId="30533"/>
    <cellStyle name="40% - Accent1 4 16 2" xfId="50281"/>
    <cellStyle name="40% - Accent1 4 17" xfId="30897"/>
    <cellStyle name="40% - Accent1 4 2" xfId="128"/>
    <cellStyle name="40% - Accent1 4 2 10" xfId="5379"/>
    <cellStyle name="40% - Accent1 4 2 11" xfId="5380"/>
    <cellStyle name="40% - Accent1 4 2 12" xfId="15522"/>
    <cellStyle name="40% - Accent1 4 2 12 2" xfId="20394"/>
    <cellStyle name="40% - Accent1 4 2 12 2 2" xfId="30108"/>
    <cellStyle name="40% - Accent1 4 2 12 2 2 2" xfId="49861"/>
    <cellStyle name="40% - Accent1 4 2 12 2 3" xfId="40217"/>
    <cellStyle name="40% - Accent1 4 2 12 3" xfId="25296"/>
    <cellStyle name="40% - Accent1 4 2 12 3 2" xfId="45050"/>
    <cellStyle name="40% - Accent1 4 2 12 4" xfId="35406"/>
    <cellStyle name="40% - Accent1 4 2 13" xfId="15910"/>
    <cellStyle name="40% - Accent1 4 2 13 2" xfId="25626"/>
    <cellStyle name="40% - Accent1 4 2 13 2 2" xfId="45380"/>
    <cellStyle name="40% - Accent1 4 2 13 3" xfId="35736"/>
    <cellStyle name="40% - Accent1 4 2 14" xfId="20787"/>
    <cellStyle name="40% - Accent1 4 2 14 2" xfId="40567"/>
    <cellStyle name="40% - Accent1 4 2 15" xfId="30534"/>
    <cellStyle name="40% - Accent1 4 2 15 2" xfId="50282"/>
    <cellStyle name="40% - Accent1 4 2 16" xfId="30898"/>
    <cellStyle name="40% - Accent1 4 2 2" xfId="129"/>
    <cellStyle name="40% - Accent1 4 2 2 10" xfId="15523"/>
    <cellStyle name="40% - Accent1 4 2 2 10 2" xfId="20395"/>
    <cellStyle name="40% - Accent1 4 2 2 10 2 2" xfId="30109"/>
    <cellStyle name="40% - Accent1 4 2 2 10 2 2 2" xfId="49862"/>
    <cellStyle name="40% - Accent1 4 2 2 10 2 3" xfId="40218"/>
    <cellStyle name="40% - Accent1 4 2 2 10 3" xfId="25297"/>
    <cellStyle name="40% - Accent1 4 2 2 10 3 2" xfId="45051"/>
    <cellStyle name="40% - Accent1 4 2 2 10 4" xfId="35407"/>
    <cellStyle name="40% - Accent1 4 2 2 11" xfId="15911"/>
    <cellStyle name="40% - Accent1 4 2 2 11 2" xfId="25627"/>
    <cellStyle name="40% - Accent1 4 2 2 11 2 2" xfId="45381"/>
    <cellStyle name="40% - Accent1 4 2 2 11 3" xfId="35737"/>
    <cellStyle name="40% - Accent1 4 2 2 12" xfId="20788"/>
    <cellStyle name="40% - Accent1 4 2 2 12 2" xfId="40568"/>
    <cellStyle name="40% - Accent1 4 2 2 13" xfId="30535"/>
    <cellStyle name="40% - Accent1 4 2 2 13 2" xfId="50283"/>
    <cellStyle name="40% - Accent1 4 2 2 14" xfId="30899"/>
    <cellStyle name="40% - Accent1 4 2 2 2" xfId="876"/>
    <cellStyle name="40% - Accent1 4 2 2 2 2" xfId="5381"/>
    <cellStyle name="40% - Accent1 4 2 2 2 2 2" xfId="5382"/>
    <cellStyle name="40% - Accent1 4 2 2 2 2 2 2" xfId="5383"/>
    <cellStyle name="40% - Accent1 4 2 2 2 2 3" xfId="5384"/>
    <cellStyle name="40% - Accent1 4 2 2 2 3" xfId="5385"/>
    <cellStyle name="40% - Accent1 4 2 2 2 3 2" xfId="5386"/>
    <cellStyle name="40% - Accent1 4 2 2 2 4" xfId="5387"/>
    <cellStyle name="40% - Accent1 4 2 2 2 5" xfId="15524"/>
    <cellStyle name="40% - Accent1 4 2 2 2 5 2" xfId="20396"/>
    <cellStyle name="40% - Accent1 4 2 2 2 5 2 2" xfId="30110"/>
    <cellStyle name="40% - Accent1 4 2 2 2 5 2 2 2" xfId="49863"/>
    <cellStyle name="40% - Accent1 4 2 2 2 5 2 3" xfId="40219"/>
    <cellStyle name="40% - Accent1 4 2 2 2 5 3" xfId="25298"/>
    <cellStyle name="40% - Accent1 4 2 2 2 5 3 2" xfId="45052"/>
    <cellStyle name="40% - Accent1 4 2 2 2 5 4" xfId="35408"/>
    <cellStyle name="40% - Accent1 4 2 2 2 6" xfId="16222"/>
    <cellStyle name="40% - Accent1 4 2 2 2 6 2" xfId="25938"/>
    <cellStyle name="40% - Accent1 4 2 2 2 6 2 2" xfId="45692"/>
    <cellStyle name="40% - Accent1 4 2 2 2 6 3" xfId="36048"/>
    <cellStyle name="40% - Accent1 4 2 2 2 7" xfId="21128"/>
    <cellStyle name="40% - Accent1 4 2 2 2 7 2" xfId="40883"/>
    <cellStyle name="40% - Accent1 4 2 2 2 8" xfId="30536"/>
    <cellStyle name="40% - Accent1 4 2 2 2 8 2" xfId="50284"/>
    <cellStyle name="40% - Accent1 4 2 2 2 9" xfId="31239"/>
    <cellStyle name="40% - Accent1 4 2 2 3" xfId="877"/>
    <cellStyle name="40% - Accent1 4 2 2 3 2" xfId="5388"/>
    <cellStyle name="40% - Accent1 4 2 2 3 2 2" xfId="5389"/>
    <cellStyle name="40% - Accent1 4 2 2 3 2 2 2" xfId="5390"/>
    <cellStyle name="40% - Accent1 4 2 2 3 2 3" xfId="5391"/>
    <cellStyle name="40% - Accent1 4 2 2 3 3" xfId="5392"/>
    <cellStyle name="40% - Accent1 4 2 2 3 3 2" xfId="5393"/>
    <cellStyle name="40% - Accent1 4 2 2 3 4" xfId="5394"/>
    <cellStyle name="40% - Accent1 4 2 2 3 5" xfId="16223"/>
    <cellStyle name="40% - Accent1 4 2 2 3 5 2" xfId="25939"/>
    <cellStyle name="40% - Accent1 4 2 2 3 5 2 2" xfId="45693"/>
    <cellStyle name="40% - Accent1 4 2 2 3 5 3" xfId="36049"/>
    <cellStyle name="40% - Accent1 4 2 2 3 6" xfId="21129"/>
    <cellStyle name="40% - Accent1 4 2 2 3 6 2" xfId="40884"/>
    <cellStyle name="40% - Accent1 4 2 2 3 7" xfId="31240"/>
    <cellStyle name="40% - Accent1 4 2 2 4" xfId="5395"/>
    <cellStyle name="40% - Accent1 4 2 2 4 2" xfId="5396"/>
    <cellStyle name="40% - Accent1 4 2 2 4 2 2" xfId="5397"/>
    <cellStyle name="40% - Accent1 4 2 2 4 2 2 2" xfId="5398"/>
    <cellStyle name="40% - Accent1 4 2 2 4 2 3" xfId="5399"/>
    <cellStyle name="40% - Accent1 4 2 2 4 3" xfId="5400"/>
    <cellStyle name="40% - Accent1 4 2 2 4 3 2" xfId="5401"/>
    <cellStyle name="40% - Accent1 4 2 2 4 4" xfId="5402"/>
    <cellStyle name="40% - Accent1 4 2 2 5" xfId="5403"/>
    <cellStyle name="40% - Accent1 4 2 2 5 2" xfId="5404"/>
    <cellStyle name="40% - Accent1 4 2 2 5 2 2" xfId="5405"/>
    <cellStyle name="40% - Accent1 4 2 2 5 3" xfId="5406"/>
    <cellStyle name="40% - Accent1 4 2 2 6" xfId="5407"/>
    <cellStyle name="40% - Accent1 4 2 2 6 2" xfId="5408"/>
    <cellStyle name="40% - Accent1 4 2 2 7" xfId="5409"/>
    <cellStyle name="40% - Accent1 4 2 2 8" xfId="5410"/>
    <cellStyle name="40% - Accent1 4 2 2 9" xfId="5411"/>
    <cellStyle name="40% - Accent1 4 2 3" xfId="878"/>
    <cellStyle name="40% - Accent1 4 2 3 2" xfId="5412"/>
    <cellStyle name="40% - Accent1 4 2 3 2 2" xfId="5413"/>
    <cellStyle name="40% - Accent1 4 2 3 2 2 2" xfId="5414"/>
    <cellStyle name="40% - Accent1 4 2 3 2 3" xfId="5415"/>
    <cellStyle name="40% - Accent1 4 2 3 3" xfId="5416"/>
    <cellStyle name="40% - Accent1 4 2 3 3 2" xfId="5417"/>
    <cellStyle name="40% - Accent1 4 2 3 4" xfId="5418"/>
    <cellStyle name="40% - Accent1 4 2 3 5" xfId="15525"/>
    <cellStyle name="40% - Accent1 4 2 3 5 2" xfId="20397"/>
    <cellStyle name="40% - Accent1 4 2 3 5 2 2" xfId="30111"/>
    <cellStyle name="40% - Accent1 4 2 3 5 2 2 2" xfId="49864"/>
    <cellStyle name="40% - Accent1 4 2 3 5 2 3" xfId="40220"/>
    <cellStyle name="40% - Accent1 4 2 3 5 3" xfId="25299"/>
    <cellStyle name="40% - Accent1 4 2 3 5 3 2" xfId="45053"/>
    <cellStyle name="40% - Accent1 4 2 3 5 4" xfId="35409"/>
    <cellStyle name="40% - Accent1 4 2 3 6" xfId="16224"/>
    <cellStyle name="40% - Accent1 4 2 3 6 2" xfId="25940"/>
    <cellStyle name="40% - Accent1 4 2 3 6 2 2" xfId="45694"/>
    <cellStyle name="40% - Accent1 4 2 3 6 3" xfId="36050"/>
    <cellStyle name="40% - Accent1 4 2 3 7" xfId="21130"/>
    <cellStyle name="40% - Accent1 4 2 3 7 2" xfId="40885"/>
    <cellStyle name="40% - Accent1 4 2 3 8" xfId="30537"/>
    <cellStyle name="40% - Accent1 4 2 3 8 2" xfId="50285"/>
    <cellStyle name="40% - Accent1 4 2 3 9" xfId="31241"/>
    <cellStyle name="40% - Accent1 4 2 4" xfId="879"/>
    <cellStyle name="40% - Accent1 4 2 4 2" xfId="5419"/>
    <cellStyle name="40% - Accent1 4 2 4 2 2" xfId="5420"/>
    <cellStyle name="40% - Accent1 4 2 4 2 2 2" xfId="5421"/>
    <cellStyle name="40% - Accent1 4 2 4 2 3" xfId="5422"/>
    <cellStyle name="40% - Accent1 4 2 4 3" xfId="5423"/>
    <cellStyle name="40% - Accent1 4 2 4 3 2" xfId="5424"/>
    <cellStyle name="40% - Accent1 4 2 4 4" xfId="5425"/>
    <cellStyle name="40% - Accent1 4 2 4 5" xfId="16225"/>
    <cellStyle name="40% - Accent1 4 2 4 5 2" xfId="25941"/>
    <cellStyle name="40% - Accent1 4 2 4 5 2 2" xfId="45695"/>
    <cellStyle name="40% - Accent1 4 2 4 5 3" xfId="36051"/>
    <cellStyle name="40% - Accent1 4 2 4 6" xfId="21131"/>
    <cellStyle name="40% - Accent1 4 2 4 6 2" xfId="40886"/>
    <cellStyle name="40% - Accent1 4 2 4 7" xfId="31242"/>
    <cellStyle name="40% - Accent1 4 2 5" xfId="5426"/>
    <cellStyle name="40% - Accent1 4 2 5 2" xfId="5427"/>
    <cellStyle name="40% - Accent1 4 2 5 2 2" xfId="5428"/>
    <cellStyle name="40% - Accent1 4 2 5 2 2 2" xfId="5429"/>
    <cellStyle name="40% - Accent1 4 2 5 2 3" xfId="5430"/>
    <cellStyle name="40% - Accent1 4 2 5 3" xfId="5431"/>
    <cellStyle name="40% - Accent1 4 2 5 3 2" xfId="5432"/>
    <cellStyle name="40% - Accent1 4 2 5 4" xfId="5433"/>
    <cellStyle name="40% - Accent1 4 2 6" xfId="5434"/>
    <cellStyle name="40% - Accent1 4 2 6 2" xfId="5435"/>
    <cellStyle name="40% - Accent1 4 2 6 2 2" xfId="5436"/>
    <cellStyle name="40% - Accent1 4 2 6 3" xfId="5437"/>
    <cellStyle name="40% - Accent1 4 2 7" xfId="5438"/>
    <cellStyle name="40% - Accent1 4 2 7 2" xfId="5439"/>
    <cellStyle name="40% - Accent1 4 2 8" xfId="5440"/>
    <cellStyle name="40% - Accent1 4 2 8 2" xfId="5441"/>
    <cellStyle name="40% - Accent1 4 2 9" xfId="5442"/>
    <cellStyle name="40% - Accent1 4 3" xfId="130"/>
    <cellStyle name="40% - Accent1 4 3 10" xfId="15526"/>
    <cellStyle name="40% - Accent1 4 3 10 2" xfId="20398"/>
    <cellStyle name="40% - Accent1 4 3 10 2 2" xfId="30112"/>
    <cellStyle name="40% - Accent1 4 3 10 2 2 2" xfId="49865"/>
    <cellStyle name="40% - Accent1 4 3 10 2 3" xfId="40221"/>
    <cellStyle name="40% - Accent1 4 3 10 3" xfId="25300"/>
    <cellStyle name="40% - Accent1 4 3 10 3 2" xfId="45054"/>
    <cellStyle name="40% - Accent1 4 3 10 4" xfId="35410"/>
    <cellStyle name="40% - Accent1 4 3 11" xfId="15912"/>
    <cellStyle name="40% - Accent1 4 3 11 2" xfId="25628"/>
    <cellStyle name="40% - Accent1 4 3 11 2 2" xfId="45382"/>
    <cellStyle name="40% - Accent1 4 3 11 3" xfId="35738"/>
    <cellStyle name="40% - Accent1 4 3 12" xfId="20789"/>
    <cellStyle name="40% - Accent1 4 3 12 2" xfId="40569"/>
    <cellStyle name="40% - Accent1 4 3 13" xfId="30538"/>
    <cellStyle name="40% - Accent1 4 3 13 2" xfId="50286"/>
    <cellStyle name="40% - Accent1 4 3 14" xfId="30900"/>
    <cellStyle name="40% - Accent1 4 3 2" xfId="880"/>
    <cellStyle name="40% - Accent1 4 3 2 2" xfId="5443"/>
    <cellStyle name="40% - Accent1 4 3 2 2 2" xfId="5444"/>
    <cellStyle name="40% - Accent1 4 3 2 2 2 2" xfId="5445"/>
    <cellStyle name="40% - Accent1 4 3 2 2 3" xfId="5446"/>
    <cellStyle name="40% - Accent1 4 3 2 3" xfId="5447"/>
    <cellStyle name="40% - Accent1 4 3 2 3 2" xfId="5448"/>
    <cellStyle name="40% - Accent1 4 3 2 4" xfId="5449"/>
    <cellStyle name="40% - Accent1 4 3 2 5" xfId="15527"/>
    <cellStyle name="40% - Accent1 4 3 2 5 2" xfId="20399"/>
    <cellStyle name="40% - Accent1 4 3 2 5 2 2" xfId="30113"/>
    <cellStyle name="40% - Accent1 4 3 2 5 2 2 2" xfId="49866"/>
    <cellStyle name="40% - Accent1 4 3 2 5 2 3" xfId="40222"/>
    <cellStyle name="40% - Accent1 4 3 2 5 3" xfId="25301"/>
    <cellStyle name="40% - Accent1 4 3 2 5 3 2" xfId="45055"/>
    <cellStyle name="40% - Accent1 4 3 2 5 4" xfId="35411"/>
    <cellStyle name="40% - Accent1 4 3 2 6" xfId="16226"/>
    <cellStyle name="40% - Accent1 4 3 2 6 2" xfId="25942"/>
    <cellStyle name="40% - Accent1 4 3 2 6 2 2" xfId="45696"/>
    <cellStyle name="40% - Accent1 4 3 2 6 3" xfId="36052"/>
    <cellStyle name="40% - Accent1 4 3 2 7" xfId="21132"/>
    <cellStyle name="40% - Accent1 4 3 2 7 2" xfId="40887"/>
    <cellStyle name="40% - Accent1 4 3 2 8" xfId="30539"/>
    <cellStyle name="40% - Accent1 4 3 2 8 2" xfId="50287"/>
    <cellStyle name="40% - Accent1 4 3 2 9" xfId="31243"/>
    <cellStyle name="40% - Accent1 4 3 3" xfId="881"/>
    <cellStyle name="40% - Accent1 4 3 3 2" xfId="5450"/>
    <cellStyle name="40% - Accent1 4 3 3 2 2" xfId="5451"/>
    <cellStyle name="40% - Accent1 4 3 3 2 2 2" xfId="5452"/>
    <cellStyle name="40% - Accent1 4 3 3 2 3" xfId="5453"/>
    <cellStyle name="40% - Accent1 4 3 3 3" xfId="5454"/>
    <cellStyle name="40% - Accent1 4 3 3 3 2" xfId="5455"/>
    <cellStyle name="40% - Accent1 4 3 3 4" xfId="5456"/>
    <cellStyle name="40% - Accent1 4 3 3 5" xfId="16227"/>
    <cellStyle name="40% - Accent1 4 3 3 5 2" xfId="25943"/>
    <cellStyle name="40% - Accent1 4 3 3 5 2 2" xfId="45697"/>
    <cellStyle name="40% - Accent1 4 3 3 5 3" xfId="36053"/>
    <cellStyle name="40% - Accent1 4 3 3 6" xfId="21133"/>
    <cellStyle name="40% - Accent1 4 3 3 6 2" xfId="40888"/>
    <cellStyle name="40% - Accent1 4 3 3 7" xfId="31244"/>
    <cellStyle name="40% - Accent1 4 3 4" xfId="5457"/>
    <cellStyle name="40% - Accent1 4 3 4 2" xfId="5458"/>
    <cellStyle name="40% - Accent1 4 3 4 2 2" xfId="5459"/>
    <cellStyle name="40% - Accent1 4 3 4 2 2 2" xfId="5460"/>
    <cellStyle name="40% - Accent1 4 3 4 2 3" xfId="5461"/>
    <cellStyle name="40% - Accent1 4 3 4 3" xfId="5462"/>
    <cellStyle name="40% - Accent1 4 3 4 3 2" xfId="5463"/>
    <cellStyle name="40% - Accent1 4 3 4 4" xfId="5464"/>
    <cellStyle name="40% - Accent1 4 3 5" xfId="5465"/>
    <cellStyle name="40% - Accent1 4 3 5 2" xfId="5466"/>
    <cellStyle name="40% - Accent1 4 3 5 2 2" xfId="5467"/>
    <cellStyle name="40% - Accent1 4 3 5 3" xfId="5468"/>
    <cellStyle name="40% - Accent1 4 3 6" xfId="5469"/>
    <cellStyle name="40% - Accent1 4 3 6 2" xfId="5470"/>
    <cellStyle name="40% - Accent1 4 3 7" xfId="5471"/>
    <cellStyle name="40% - Accent1 4 3 8" xfId="5472"/>
    <cellStyle name="40% - Accent1 4 3 9" xfId="5473"/>
    <cellStyle name="40% - Accent1 4 4" xfId="882"/>
    <cellStyle name="40% - Accent1 4 4 2" xfId="5474"/>
    <cellStyle name="40% - Accent1 4 4 2 2" xfId="5475"/>
    <cellStyle name="40% - Accent1 4 4 2 2 2" xfId="5476"/>
    <cellStyle name="40% - Accent1 4 4 2 3" xfId="5477"/>
    <cellStyle name="40% - Accent1 4 4 3" xfId="5478"/>
    <cellStyle name="40% - Accent1 4 4 3 2" xfId="5479"/>
    <cellStyle name="40% - Accent1 4 4 4" xfId="5480"/>
    <cellStyle name="40% - Accent1 4 4 5" xfId="15528"/>
    <cellStyle name="40% - Accent1 4 4 5 2" xfId="20400"/>
    <cellStyle name="40% - Accent1 4 4 5 2 2" xfId="30114"/>
    <cellStyle name="40% - Accent1 4 4 5 2 2 2" xfId="49867"/>
    <cellStyle name="40% - Accent1 4 4 5 2 3" xfId="40223"/>
    <cellStyle name="40% - Accent1 4 4 5 3" xfId="25302"/>
    <cellStyle name="40% - Accent1 4 4 5 3 2" xfId="45056"/>
    <cellStyle name="40% - Accent1 4 4 5 4" xfId="35412"/>
    <cellStyle name="40% - Accent1 4 4 6" xfId="16228"/>
    <cellStyle name="40% - Accent1 4 4 6 2" xfId="25944"/>
    <cellStyle name="40% - Accent1 4 4 6 2 2" xfId="45698"/>
    <cellStyle name="40% - Accent1 4 4 6 3" xfId="36054"/>
    <cellStyle name="40% - Accent1 4 4 7" xfId="21134"/>
    <cellStyle name="40% - Accent1 4 4 7 2" xfId="40889"/>
    <cellStyle name="40% - Accent1 4 4 8" xfId="30540"/>
    <cellStyle name="40% - Accent1 4 4 8 2" xfId="50288"/>
    <cellStyle name="40% - Accent1 4 4 9" xfId="31245"/>
    <cellStyle name="40% - Accent1 4 5" xfId="883"/>
    <cellStyle name="40% - Accent1 4 5 2" xfId="5481"/>
    <cellStyle name="40% - Accent1 4 5 2 2" xfId="5482"/>
    <cellStyle name="40% - Accent1 4 5 2 2 2" xfId="5483"/>
    <cellStyle name="40% - Accent1 4 5 2 3" xfId="5484"/>
    <cellStyle name="40% - Accent1 4 5 3" xfId="5485"/>
    <cellStyle name="40% - Accent1 4 5 3 2" xfId="5486"/>
    <cellStyle name="40% - Accent1 4 5 4" xfId="5487"/>
    <cellStyle name="40% - Accent1 4 5 5" xfId="16229"/>
    <cellStyle name="40% - Accent1 4 5 5 2" xfId="25945"/>
    <cellStyle name="40% - Accent1 4 5 5 2 2" xfId="45699"/>
    <cellStyle name="40% - Accent1 4 5 5 3" xfId="36055"/>
    <cellStyle name="40% - Accent1 4 5 6" xfId="21135"/>
    <cellStyle name="40% - Accent1 4 5 6 2" xfId="40890"/>
    <cellStyle name="40% - Accent1 4 5 7" xfId="31246"/>
    <cellStyle name="40% - Accent1 4 6" xfId="5488"/>
    <cellStyle name="40% - Accent1 4 6 2" xfId="5489"/>
    <cellStyle name="40% - Accent1 4 6 2 2" xfId="5490"/>
    <cellStyle name="40% - Accent1 4 6 2 2 2" xfId="5491"/>
    <cellStyle name="40% - Accent1 4 6 2 3" xfId="5492"/>
    <cellStyle name="40% - Accent1 4 6 3" xfId="5493"/>
    <cellStyle name="40% - Accent1 4 6 3 2" xfId="5494"/>
    <cellStyle name="40% - Accent1 4 6 4" xfId="5495"/>
    <cellStyle name="40% - Accent1 4 7" xfId="5496"/>
    <cellStyle name="40% - Accent1 4 7 2" xfId="5497"/>
    <cellStyle name="40% - Accent1 4 7 2 2" xfId="5498"/>
    <cellStyle name="40% - Accent1 4 7 3" xfId="5499"/>
    <cellStyle name="40% - Accent1 4 8" xfId="5500"/>
    <cellStyle name="40% - Accent1 4 8 2" xfId="5501"/>
    <cellStyle name="40% - Accent1 4 9" xfId="5502"/>
    <cellStyle name="40% - Accent1 4 9 2" xfId="5503"/>
    <cellStyle name="40% - Accent1 5" xfId="131"/>
    <cellStyle name="40% - Accent1 5 10" xfId="5504"/>
    <cellStyle name="40% - Accent1 5 11" xfId="5505"/>
    <cellStyle name="40% - Accent1 5 12" xfId="15529"/>
    <cellStyle name="40% - Accent1 5 12 2" xfId="20401"/>
    <cellStyle name="40% - Accent1 5 12 2 2" xfId="30115"/>
    <cellStyle name="40% - Accent1 5 12 2 2 2" xfId="49868"/>
    <cellStyle name="40% - Accent1 5 12 2 3" xfId="40224"/>
    <cellStyle name="40% - Accent1 5 12 3" xfId="25303"/>
    <cellStyle name="40% - Accent1 5 12 3 2" xfId="45057"/>
    <cellStyle name="40% - Accent1 5 12 4" xfId="35413"/>
    <cellStyle name="40% - Accent1 5 13" xfId="15913"/>
    <cellStyle name="40% - Accent1 5 13 2" xfId="25629"/>
    <cellStyle name="40% - Accent1 5 13 2 2" xfId="45383"/>
    <cellStyle name="40% - Accent1 5 13 3" xfId="35739"/>
    <cellStyle name="40% - Accent1 5 14" xfId="20790"/>
    <cellStyle name="40% - Accent1 5 14 2" xfId="40570"/>
    <cellStyle name="40% - Accent1 5 15" xfId="30541"/>
    <cellStyle name="40% - Accent1 5 15 2" xfId="50289"/>
    <cellStyle name="40% - Accent1 5 16" xfId="30901"/>
    <cellStyle name="40% - Accent1 5 2" xfId="132"/>
    <cellStyle name="40% - Accent1 5 2 10" xfId="15530"/>
    <cellStyle name="40% - Accent1 5 2 10 2" xfId="20402"/>
    <cellStyle name="40% - Accent1 5 2 10 2 2" xfId="30116"/>
    <cellStyle name="40% - Accent1 5 2 10 2 2 2" xfId="49869"/>
    <cellStyle name="40% - Accent1 5 2 10 2 3" xfId="40225"/>
    <cellStyle name="40% - Accent1 5 2 10 3" xfId="25304"/>
    <cellStyle name="40% - Accent1 5 2 10 3 2" xfId="45058"/>
    <cellStyle name="40% - Accent1 5 2 10 4" xfId="35414"/>
    <cellStyle name="40% - Accent1 5 2 11" xfId="15914"/>
    <cellStyle name="40% - Accent1 5 2 11 2" xfId="25630"/>
    <cellStyle name="40% - Accent1 5 2 11 2 2" xfId="45384"/>
    <cellStyle name="40% - Accent1 5 2 11 3" xfId="35740"/>
    <cellStyle name="40% - Accent1 5 2 12" xfId="20791"/>
    <cellStyle name="40% - Accent1 5 2 12 2" xfId="40571"/>
    <cellStyle name="40% - Accent1 5 2 13" xfId="30542"/>
    <cellStyle name="40% - Accent1 5 2 13 2" xfId="50290"/>
    <cellStyle name="40% - Accent1 5 2 14" xfId="30902"/>
    <cellStyle name="40% - Accent1 5 2 2" xfId="884"/>
    <cellStyle name="40% - Accent1 5 2 2 2" xfId="5506"/>
    <cellStyle name="40% - Accent1 5 2 2 2 2" xfId="5507"/>
    <cellStyle name="40% - Accent1 5 2 2 2 2 2" xfId="5508"/>
    <cellStyle name="40% - Accent1 5 2 2 2 3" xfId="5509"/>
    <cellStyle name="40% - Accent1 5 2 2 3" xfId="5510"/>
    <cellStyle name="40% - Accent1 5 2 2 3 2" xfId="5511"/>
    <cellStyle name="40% - Accent1 5 2 2 4" xfId="5512"/>
    <cellStyle name="40% - Accent1 5 2 2 5" xfId="15531"/>
    <cellStyle name="40% - Accent1 5 2 2 5 2" xfId="20403"/>
    <cellStyle name="40% - Accent1 5 2 2 5 2 2" xfId="30117"/>
    <cellStyle name="40% - Accent1 5 2 2 5 2 2 2" xfId="49870"/>
    <cellStyle name="40% - Accent1 5 2 2 5 2 3" xfId="40226"/>
    <cellStyle name="40% - Accent1 5 2 2 5 3" xfId="25305"/>
    <cellStyle name="40% - Accent1 5 2 2 5 3 2" xfId="45059"/>
    <cellStyle name="40% - Accent1 5 2 2 5 4" xfId="35415"/>
    <cellStyle name="40% - Accent1 5 2 2 6" xfId="16230"/>
    <cellStyle name="40% - Accent1 5 2 2 6 2" xfId="25946"/>
    <cellStyle name="40% - Accent1 5 2 2 6 2 2" xfId="45700"/>
    <cellStyle name="40% - Accent1 5 2 2 6 3" xfId="36056"/>
    <cellStyle name="40% - Accent1 5 2 2 7" xfId="21136"/>
    <cellStyle name="40% - Accent1 5 2 2 7 2" xfId="40891"/>
    <cellStyle name="40% - Accent1 5 2 2 8" xfId="30543"/>
    <cellStyle name="40% - Accent1 5 2 2 8 2" xfId="50291"/>
    <cellStyle name="40% - Accent1 5 2 2 9" xfId="31247"/>
    <cellStyle name="40% - Accent1 5 2 3" xfId="885"/>
    <cellStyle name="40% - Accent1 5 2 3 2" xfId="5513"/>
    <cellStyle name="40% - Accent1 5 2 3 2 2" xfId="5514"/>
    <cellStyle name="40% - Accent1 5 2 3 2 2 2" xfId="5515"/>
    <cellStyle name="40% - Accent1 5 2 3 2 3" xfId="5516"/>
    <cellStyle name="40% - Accent1 5 2 3 3" xfId="5517"/>
    <cellStyle name="40% - Accent1 5 2 3 3 2" xfId="5518"/>
    <cellStyle name="40% - Accent1 5 2 3 4" xfId="5519"/>
    <cellStyle name="40% - Accent1 5 2 3 5" xfId="16231"/>
    <cellStyle name="40% - Accent1 5 2 3 5 2" xfId="25947"/>
    <cellStyle name="40% - Accent1 5 2 3 5 2 2" xfId="45701"/>
    <cellStyle name="40% - Accent1 5 2 3 5 3" xfId="36057"/>
    <cellStyle name="40% - Accent1 5 2 3 6" xfId="21137"/>
    <cellStyle name="40% - Accent1 5 2 3 6 2" xfId="40892"/>
    <cellStyle name="40% - Accent1 5 2 3 7" xfId="31248"/>
    <cellStyle name="40% - Accent1 5 2 4" xfId="5520"/>
    <cellStyle name="40% - Accent1 5 2 4 2" xfId="5521"/>
    <cellStyle name="40% - Accent1 5 2 4 2 2" xfId="5522"/>
    <cellStyle name="40% - Accent1 5 2 4 2 2 2" xfId="5523"/>
    <cellStyle name="40% - Accent1 5 2 4 2 3" xfId="5524"/>
    <cellStyle name="40% - Accent1 5 2 4 3" xfId="5525"/>
    <cellStyle name="40% - Accent1 5 2 4 3 2" xfId="5526"/>
    <cellStyle name="40% - Accent1 5 2 4 4" xfId="5527"/>
    <cellStyle name="40% - Accent1 5 2 5" xfId="5528"/>
    <cellStyle name="40% - Accent1 5 2 5 2" xfId="5529"/>
    <cellStyle name="40% - Accent1 5 2 5 2 2" xfId="5530"/>
    <cellStyle name="40% - Accent1 5 2 5 3" xfId="5531"/>
    <cellStyle name="40% - Accent1 5 2 6" xfId="5532"/>
    <cellStyle name="40% - Accent1 5 2 6 2" xfId="5533"/>
    <cellStyle name="40% - Accent1 5 2 7" xfId="5534"/>
    <cellStyle name="40% - Accent1 5 2 8" xfId="5535"/>
    <cellStyle name="40% - Accent1 5 2 9" xfId="5536"/>
    <cellStyle name="40% - Accent1 5 3" xfId="886"/>
    <cellStyle name="40% - Accent1 5 3 2" xfId="5537"/>
    <cellStyle name="40% - Accent1 5 3 2 2" xfId="5538"/>
    <cellStyle name="40% - Accent1 5 3 2 2 2" xfId="5539"/>
    <cellStyle name="40% - Accent1 5 3 2 3" xfId="5540"/>
    <cellStyle name="40% - Accent1 5 3 3" xfId="5541"/>
    <cellStyle name="40% - Accent1 5 3 3 2" xfId="5542"/>
    <cellStyle name="40% - Accent1 5 3 4" xfId="5543"/>
    <cellStyle name="40% - Accent1 5 3 5" xfId="15532"/>
    <cellStyle name="40% - Accent1 5 3 5 2" xfId="20404"/>
    <cellStyle name="40% - Accent1 5 3 5 2 2" xfId="30118"/>
    <cellStyle name="40% - Accent1 5 3 5 2 2 2" xfId="49871"/>
    <cellStyle name="40% - Accent1 5 3 5 2 3" xfId="40227"/>
    <cellStyle name="40% - Accent1 5 3 5 3" xfId="25306"/>
    <cellStyle name="40% - Accent1 5 3 5 3 2" xfId="45060"/>
    <cellStyle name="40% - Accent1 5 3 5 4" xfId="35416"/>
    <cellStyle name="40% - Accent1 5 3 6" xfId="16232"/>
    <cellStyle name="40% - Accent1 5 3 6 2" xfId="25948"/>
    <cellStyle name="40% - Accent1 5 3 6 2 2" xfId="45702"/>
    <cellStyle name="40% - Accent1 5 3 6 3" xfId="36058"/>
    <cellStyle name="40% - Accent1 5 3 7" xfId="21138"/>
    <cellStyle name="40% - Accent1 5 3 7 2" xfId="40893"/>
    <cellStyle name="40% - Accent1 5 3 8" xfId="30544"/>
    <cellStyle name="40% - Accent1 5 3 8 2" xfId="50292"/>
    <cellStyle name="40% - Accent1 5 3 9" xfId="31249"/>
    <cellStyle name="40% - Accent1 5 4" xfId="887"/>
    <cellStyle name="40% - Accent1 5 4 2" xfId="5544"/>
    <cellStyle name="40% - Accent1 5 4 2 2" xfId="5545"/>
    <cellStyle name="40% - Accent1 5 4 2 2 2" xfId="5546"/>
    <cellStyle name="40% - Accent1 5 4 2 3" xfId="5547"/>
    <cellStyle name="40% - Accent1 5 4 3" xfId="5548"/>
    <cellStyle name="40% - Accent1 5 4 3 2" xfId="5549"/>
    <cellStyle name="40% - Accent1 5 4 4" xfId="5550"/>
    <cellStyle name="40% - Accent1 5 4 5" xfId="16233"/>
    <cellStyle name="40% - Accent1 5 4 5 2" xfId="25949"/>
    <cellStyle name="40% - Accent1 5 4 5 2 2" xfId="45703"/>
    <cellStyle name="40% - Accent1 5 4 5 3" xfId="36059"/>
    <cellStyle name="40% - Accent1 5 4 6" xfId="21139"/>
    <cellStyle name="40% - Accent1 5 4 6 2" xfId="40894"/>
    <cellStyle name="40% - Accent1 5 4 7" xfId="31250"/>
    <cellStyle name="40% - Accent1 5 5" xfId="5551"/>
    <cellStyle name="40% - Accent1 5 5 2" xfId="5552"/>
    <cellStyle name="40% - Accent1 5 5 2 2" xfId="5553"/>
    <cellStyle name="40% - Accent1 5 5 2 2 2" xfId="5554"/>
    <cellStyle name="40% - Accent1 5 5 2 3" xfId="5555"/>
    <cellStyle name="40% - Accent1 5 5 3" xfId="5556"/>
    <cellStyle name="40% - Accent1 5 5 3 2" xfId="5557"/>
    <cellStyle name="40% - Accent1 5 5 4" xfId="5558"/>
    <cellStyle name="40% - Accent1 5 6" xfId="5559"/>
    <cellStyle name="40% - Accent1 5 6 2" xfId="5560"/>
    <cellStyle name="40% - Accent1 5 6 2 2" xfId="5561"/>
    <cellStyle name="40% - Accent1 5 6 3" xfId="5562"/>
    <cellStyle name="40% - Accent1 5 7" xfId="5563"/>
    <cellStyle name="40% - Accent1 5 7 2" xfId="5564"/>
    <cellStyle name="40% - Accent1 5 8" xfId="5565"/>
    <cellStyle name="40% - Accent1 5 8 2" xfId="5566"/>
    <cellStyle name="40% - Accent1 5 9" xfId="5567"/>
    <cellStyle name="40% - Accent1 6" xfId="133"/>
    <cellStyle name="40% - Accent1 6 10" xfId="5568"/>
    <cellStyle name="40% - Accent1 6 11" xfId="5569"/>
    <cellStyle name="40% - Accent1 6 12" xfId="15533"/>
    <cellStyle name="40% - Accent1 6 12 2" xfId="20405"/>
    <cellStyle name="40% - Accent1 6 12 2 2" xfId="30119"/>
    <cellStyle name="40% - Accent1 6 12 2 2 2" xfId="49872"/>
    <cellStyle name="40% - Accent1 6 12 2 3" xfId="40228"/>
    <cellStyle name="40% - Accent1 6 12 3" xfId="25307"/>
    <cellStyle name="40% - Accent1 6 12 3 2" xfId="45061"/>
    <cellStyle name="40% - Accent1 6 12 4" xfId="35417"/>
    <cellStyle name="40% - Accent1 6 13" xfId="15915"/>
    <cellStyle name="40% - Accent1 6 13 2" xfId="25631"/>
    <cellStyle name="40% - Accent1 6 13 2 2" xfId="45385"/>
    <cellStyle name="40% - Accent1 6 13 3" xfId="35741"/>
    <cellStyle name="40% - Accent1 6 14" xfId="20792"/>
    <cellStyle name="40% - Accent1 6 14 2" xfId="40572"/>
    <cellStyle name="40% - Accent1 6 15" xfId="30545"/>
    <cellStyle name="40% - Accent1 6 15 2" xfId="50293"/>
    <cellStyle name="40% - Accent1 6 16" xfId="30903"/>
    <cellStyle name="40% - Accent1 6 2" xfId="134"/>
    <cellStyle name="40% - Accent1 6 2 10" xfId="15534"/>
    <cellStyle name="40% - Accent1 6 2 10 2" xfId="20406"/>
    <cellStyle name="40% - Accent1 6 2 10 2 2" xfId="30120"/>
    <cellStyle name="40% - Accent1 6 2 10 2 2 2" xfId="49873"/>
    <cellStyle name="40% - Accent1 6 2 10 2 3" xfId="40229"/>
    <cellStyle name="40% - Accent1 6 2 10 3" xfId="25308"/>
    <cellStyle name="40% - Accent1 6 2 10 3 2" xfId="45062"/>
    <cellStyle name="40% - Accent1 6 2 10 4" xfId="35418"/>
    <cellStyle name="40% - Accent1 6 2 11" xfId="15916"/>
    <cellStyle name="40% - Accent1 6 2 11 2" xfId="25632"/>
    <cellStyle name="40% - Accent1 6 2 11 2 2" xfId="45386"/>
    <cellStyle name="40% - Accent1 6 2 11 3" xfId="35742"/>
    <cellStyle name="40% - Accent1 6 2 12" xfId="20793"/>
    <cellStyle name="40% - Accent1 6 2 12 2" xfId="40573"/>
    <cellStyle name="40% - Accent1 6 2 13" xfId="30546"/>
    <cellStyle name="40% - Accent1 6 2 13 2" xfId="50294"/>
    <cellStyle name="40% - Accent1 6 2 14" xfId="30904"/>
    <cellStyle name="40% - Accent1 6 2 2" xfId="888"/>
    <cellStyle name="40% - Accent1 6 2 2 2" xfId="5570"/>
    <cellStyle name="40% - Accent1 6 2 2 2 2" xfId="5571"/>
    <cellStyle name="40% - Accent1 6 2 2 2 2 2" xfId="5572"/>
    <cellStyle name="40% - Accent1 6 2 2 2 3" xfId="5573"/>
    <cellStyle name="40% - Accent1 6 2 2 3" xfId="5574"/>
    <cellStyle name="40% - Accent1 6 2 2 3 2" xfId="5575"/>
    <cellStyle name="40% - Accent1 6 2 2 4" xfId="5576"/>
    <cellStyle name="40% - Accent1 6 2 2 5" xfId="15535"/>
    <cellStyle name="40% - Accent1 6 2 2 5 2" xfId="20407"/>
    <cellStyle name="40% - Accent1 6 2 2 5 2 2" xfId="30121"/>
    <cellStyle name="40% - Accent1 6 2 2 5 2 2 2" xfId="49874"/>
    <cellStyle name="40% - Accent1 6 2 2 5 2 3" xfId="40230"/>
    <cellStyle name="40% - Accent1 6 2 2 5 3" xfId="25309"/>
    <cellStyle name="40% - Accent1 6 2 2 5 3 2" xfId="45063"/>
    <cellStyle name="40% - Accent1 6 2 2 5 4" xfId="35419"/>
    <cellStyle name="40% - Accent1 6 2 2 6" xfId="16234"/>
    <cellStyle name="40% - Accent1 6 2 2 6 2" xfId="25950"/>
    <cellStyle name="40% - Accent1 6 2 2 6 2 2" xfId="45704"/>
    <cellStyle name="40% - Accent1 6 2 2 6 3" xfId="36060"/>
    <cellStyle name="40% - Accent1 6 2 2 7" xfId="21140"/>
    <cellStyle name="40% - Accent1 6 2 2 7 2" xfId="40895"/>
    <cellStyle name="40% - Accent1 6 2 2 8" xfId="30547"/>
    <cellStyle name="40% - Accent1 6 2 2 8 2" xfId="50295"/>
    <cellStyle name="40% - Accent1 6 2 2 9" xfId="31251"/>
    <cellStyle name="40% - Accent1 6 2 3" xfId="889"/>
    <cellStyle name="40% - Accent1 6 2 3 2" xfId="5577"/>
    <cellStyle name="40% - Accent1 6 2 3 2 2" xfId="5578"/>
    <cellStyle name="40% - Accent1 6 2 3 2 2 2" xfId="5579"/>
    <cellStyle name="40% - Accent1 6 2 3 2 3" xfId="5580"/>
    <cellStyle name="40% - Accent1 6 2 3 3" xfId="5581"/>
    <cellStyle name="40% - Accent1 6 2 3 3 2" xfId="5582"/>
    <cellStyle name="40% - Accent1 6 2 3 4" xfId="5583"/>
    <cellStyle name="40% - Accent1 6 2 3 5" xfId="16235"/>
    <cellStyle name="40% - Accent1 6 2 3 5 2" xfId="25951"/>
    <cellStyle name="40% - Accent1 6 2 3 5 2 2" xfId="45705"/>
    <cellStyle name="40% - Accent1 6 2 3 5 3" xfId="36061"/>
    <cellStyle name="40% - Accent1 6 2 3 6" xfId="21141"/>
    <cellStyle name="40% - Accent1 6 2 3 6 2" xfId="40896"/>
    <cellStyle name="40% - Accent1 6 2 3 7" xfId="31252"/>
    <cellStyle name="40% - Accent1 6 2 4" xfId="5584"/>
    <cellStyle name="40% - Accent1 6 2 4 2" xfId="5585"/>
    <cellStyle name="40% - Accent1 6 2 4 2 2" xfId="5586"/>
    <cellStyle name="40% - Accent1 6 2 4 2 2 2" xfId="5587"/>
    <cellStyle name="40% - Accent1 6 2 4 2 3" xfId="5588"/>
    <cellStyle name="40% - Accent1 6 2 4 3" xfId="5589"/>
    <cellStyle name="40% - Accent1 6 2 4 3 2" xfId="5590"/>
    <cellStyle name="40% - Accent1 6 2 4 4" xfId="5591"/>
    <cellStyle name="40% - Accent1 6 2 5" xfId="5592"/>
    <cellStyle name="40% - Accent1 6 2 5 2" xfId="5593"/>
    <cellStyle name="40% - Accent1 6 2 5 2 2" xfId="5594"/>
    <cellStyle name="40% - Accent1 6 2 5 3" xfId="5595"/>
    <cellStyle name="40% - Accent1 6 2 6" xfId="5596"/>
    <cellStyle name="40% - Accent1 6 2 6 2" xfId="5597"/>
    <cellStyle name="40% - Accent1 6 2 7" xfId="5598"/>
    <cellStyle name="40% - Accent1 6 2 8" xfId="5599"/>
    <cellStyle name="40% - Accent1 6 2 9" xfId="5600"/>
    <cellStyle name="40% - Accent1 6 3" xfId="890"/>
    <cellStyle name="40% - Accent1 6 3 2" xfId="5601"/>
    <cellStyle name="40% - Accent1 6 3 2 2" xfId="5602"/>
    <cellStyle name="40% - Accent1 6 3 2 2 2" xfId="5603"/>
    <cellStyle name="40% - Accent1 6 3 2 3" xfId="5604"/>
    <cellStyle name="40% - Accent1 6 3 3" xfId="5605"/>
    <cellStyle name="40% - Accent1 6 3 3 2" xfId="5606"/>
    <cellStyle name="40% - Accent1 6 3 4" xfId="5607"/>
    <cellStyle name="40% - Accent1 6 3 5" xfId="15536"/>
    <cellStyle name="40% - Accent1 6 3 5 2" xfId="20408"/>
    <cellStyle name="40% - Accent1 6 3 5 2 2" xfId="30122"/>
    <cellStyle name="40% - Accent1 6 3 5 2 2 2" xfId="49875"/>
    <cellStyle name="40% - Accent1 6 3 5 2 3" xfId="40231"/>
    <cellStyle name="40% - Accent1 6 3 5 3" xfId="25310"/>
    <cellStyle name="40% - Accent1 6 3 5 3 2" xfId="45064"/>
    <cellStyle name="40% - Accent1 6 3 5 4" xfId="35420"/>
    <cellStyle name="40% - Accent1 6 3 6" xfId="16236"/>
    <cellStyle name="40% - Accent1 6 3 6 2" xfId="25952"/>
    <cellStyle name="40% - Accent1 6 3 6 2 2" xfId="45706"/>
    <cellStyle name="40% - Accent1 6 3 6 3" xfId="36062"/>
    <cellStyle name="40% - Accent1 6 3 7" xfId="21142"/>
    <cellStyle name="40% - Accent1 6 3 7 2" xfId="40897"/>
    <cellStyle name="40% - Accent1 6 3 8" xfId="30548"/>
    <cellStyle name="40% - Accent1 6 3 8 2" xfId="50296"/>
    <cellStyle name="40% - Accent1 6 3 9" xfId="31253"/>
    <cellStyle name="40% - Accent1 6 4" xfId="891"/>
    <cellStyle name="40% - Accent1 6 4 2" xfId="5608"/>
    <cellStyle name="40% - Accent1 6 4 2 2" xfId="5609"/>
    <cellStyle name="40% - Accent1 6 4 2 2 2" xfId="5610"/>
    <cellStyle name="40% - Accent1 6 4 2 3" xfId="5611"/>
    <cellStyle name="40% - Accent1 6 4 3" xfId="5612"/>
    <cellStyle name="40% - Accent1 6 4 3 2" xfId="5613"/>
    <cellStyle name="40% - Accent1 6 4 4" xfId="5614"/>
    <cellStyle name="40% - Accent1 6 4 5" xfId="16237"/>
    <cellStyle name="40% - Accent1 6 4 5 2" xfId="25953"/>
    <cellStyle name="40% - Accent1 6 4 5 2 2" xfId="45707"/>
    <cellStyle name="40% - Accent1 6 4 5 3" xfId="36063"/>
    <cellStyle name="40% - Accent1 6 4 6" xfId="21143"/>
    <cellStyle name="40% - Accent1 6 4 6 2" xfId="40898"/>
    <cellStyle name="40% - Accent1 6 4 7" xfId="31254"/>
    <cellStyle name="40% - Accent1 6 5" xfId="5615"/>
    <cellStyle name="40% - Accent1 6 5 2" xfId="5616"/>
    <cellStyle name="40% - Accent1 6 5 2 2" xfId="5617"/>
    <cellStyle name="40% - Accent1 6 5 2 2 2" xfId="5618"/>
    <cellStyle name="40% - Accent1 6 5 2 3" xfId="5619"/>
    <cellStyle name="40% - Accent1 6 5 3" xfId="5620"/>
    <cellStyle name="40% - Accent1 6 5 3 2" xfId="5621"/>
    <cellStyle name="40% - Accent1 6 5 4" xfId="5622"/>
    <cellStyle name="40% - Accent1 6 6" xfId="5623"/>
    <cellStyle name="40% - Accent1 6 6 2" xfId="5624"/>
    <cellStyle name="40% - Accent1 6 6 2 2" xfId="5625"/>
    <cellStyle name="40% - Accent1 6 6 3" xfId="5626"/>
    <cellStyle name="40% - Accent1 6 7" xfId="5627"/>
    <cellStyle name="40% - Accent1 6 7 2" xfId="5628"/>
    <cellStyle name="40% - Accent1 6 8" xfId="5629"/>
    <cellStyle name="40% - Accent1 6 8 2" xfId="5630"/>
    <cellStyle name="40% - Accent1 6 9" xfId="5631"/>
    <cellStyle name="40% - Accent1 7" xfId="135"/>
    <cellStyle name="40% - Accent1 7 10" xfId="30905"/>
    <cellStyle name="40% - Accent1 7 2" xfId="136"/>
    <cellStyle name="40% - Accent1 7 2 2" xfId="892"/>
    <cellStyle name="40% - Accent1 7 2 2 2" xfId="5632"/>
    <cellStyle name="40% - Accent1 7 2 2 2 2" xfId="5633"/>
    <cellStyle name="40% - Accent1 7 2 2 3" xfId="5634"/>
    <cellStyle name="40% - Accent1 7 2 2 4" xfId="15539"/>
    <cellStyle name="40% - Accent1 7 2 2 4 2" xfId="20411"/>
    <cellStyle name="40% - Accent1 7 2 2 4 2 2" xfId="30125"/>
    <cellStyle name="40% - Accent1 7 2 2 4 2 2 2" xfId="49878"/>
    <cellStyle name="40% - Accent1 7 2 2 4 2 3" xfId="40234"/>
    <cellStyle name="40% - Accent1 7 2 2 4 3" xfId="25313"/>
    <cellStyle name="40% - Accent1 7 2 2 4 3 2" xfId="45067"/>
    <cellStyle name="40% - Accent1 7 2 2 4 4" xfId="35423"/>
    <cellStyle name="40% - Accent1 7 2 2 5" xfId="16238"/>
    <cellStyle name="40% - Accent1 7 2 2 5 2" xfId="25954"/>
    <cellStyle name="40% - Accent1 7 2 2 5 2 2" xfId="45708"/>
    <cellStyle name="40% - Accent1 7 2 2 5 3" xfId="36064"/>
    <cellStyle name="40% - Accent1 7 2 2 6" xfId="21144"/>
    <cellStyle name="40% - Accent1 7 2 2 6 2" xfId="40899"/>
    <cellStyle name="40% - Accent1 7 2 2 7" xfId="30551"/>
    <cellStyle name="40% - Accent1 7 2 2 7 2" xfId="50299"/>
    <cellStyle name="40% - Accent1 7 2 2 8" xfId="31255"/>
    <cellStyle name="40% - Accent1 7 2 3" xfId="893"/>
    <cellStyle name="40% - Accent1 7 2 3 2" xfId="5635"/>
    <cellStyle name="40% - Accent1 7 2 3 3" xfId="16239"/>
    <cellStyle name="40% - Accent1 7 2 3 3 2" xfId="25955"/>
    <cellStyle name="40% - Accent1 7 2 3 3 2 2" xfId="45709"/>
    <cellStyle name="40% - Accent1 7 2 3 3 3" xfId="36065"/>
    <cellStyle name="40% - Accent1 7 2 3 4" xfId="21145"/>
    <cellStyle name="40% - Accent1 7 2 3 4 2" xfId="40900"/>
    <cellStyle name="40% - Accent1 7 2 3 5" xfId="31256"/>
    <cellStyle name="40% - Accent1 7 2 4" xfId="5636"/>
    <cellStyle name="40% - Accent1 7 2 5" xfId="15538"/>
    <cellStyle name="40% - Accent1 7 2 5 2" xfId="20410"/>
    <cellStyle name="40% - Accent1 7 2 5 2 2" xfId="30124"/>
    <cellStyle name="40% - Accent1 7 2 5 2 2 2" xfId="49877"/>
    <cellStyle name="40% - Accent1 7 2 5 2 3" xfId="40233"/>
    <cellStyle name="40% - Accent1 7 2 5 3" xfId="25312"/>
    <cellStyle name="40% - Accent1 7 2 5 3 2" xfId="45066"/>
    <cellStyle name="40% - Accent1 7 2 5 4" xfId="35422"/>
    <cellStyle name="40% - Accent1 7 2 6" xfId="15918"/>
    <cellStyle name="40% - Accent1 7 2 6 2" xfId="25634"/>
    <cellStyle name="40% - Accent1 7 2 6 2 2" xfId="45388"/>
    <cellStyle name="40% - Accent1 7 2 6 3" xfId="35744"/>
    <cellStyle name="40% - Accent1 7 2 7" xfId="20795"/>
    <cellStyle name="40% - Accent1 7 2 7 2" xfId="40575"/>
    <cellStyle name="40% - Accent1 7 2 8" xfId="30550"/>
    <cellStyle name="40% - Accent1 7 2 8 2" xfId="50298"/>
    <cellStyle name="40% - Accent1 7 2 9" xfId="30906"/>
    <cellStyle name="40% - Accent1 7 3" xfId="894"/>
    <cellStyle name="40% - Accent1 7 3 2" xfId="5637"/>
    <cellStyle name="40% - Accent1 7 3 2 2" xfId="5638"/>
    <cellStyle name="40% - Accent1 7 3 3" xfId="5639"/>
    <cellStyle name="40% - Accent1 7 3 4" xfId="15540"/>
    <cellStyle name="40% - Accent1 7 3 4 2" xfId="20412"/>
    <cellStyle name="40% - Accent1 7 3 4 2 2" xfId="30126"/>
    <cellStyle name="40% - Accent1 7 3 4 2 2 2" xfId="49879"/>
    <cellStyle name="40% - Accent1 7 3 4 2 3" xfId="40235"/>
    <cellStyle name="40% - Accent1 7 3 4 3" xfId="25314"/>
    <cellStyle name="40% - Accent1 7 3 4 3 2" xfId="45068"/>
    <cellStyle name="40% - Accent1 7 3 4 4" xfId="35424"/>
    <cellStyle name="40% - Accent1 7 3 5" xfId="16240"/>
    <cellStyle name="40% - Accent1 7 3 5 2" xfId="25956"/>
    <cellStyle name="40% - Accent1 7 3 5 2 2" xfId="45710"/>
    <cellStyle name="40% - Accent1 7 3 5 3" xfId="36066"/>
    <cellStyle name="40% - Accent1 7 3 6" xfId="21146"/>
    <cellStyle name="40% - Accent1 7 3 6 2" xfId="40901"/>
    <cellStyle name="40% - Accent1 7 3 7" xfId="30552"/>
    <cellStyle name="40% - Accent1 7 3 7 2" xfId="50300"/>
    <cellStyle name="40% - Accent1 7 3 8" xfId="31257"/>
    <cellStyle name="40% - Accent1 7 4" xfId="895"/>
    <cellStyle name="40% - Accent1 7 4 2" xfId="5640"/>
    <cellStyle name="40% - Accent1 7 4 3" xfId="16241"/>
    <cellStyle name="40% - Accent1 7 4 3 2" xfId="25957"/>
    <cellStyle name="40% - Accent1 7 4 3 2 2" xfId="45711"/>
    <cellStyle name="40% - Accent1 7 4 3 3" xfId="36067"/>
    <cellStyle name="40% - Accent1 7 4 4" xfId="21147"/>
    <cellStyle name="40% - Accent1 7 4 4 2" xfId="40902"/>
    <cellStyle name="40% - Accent1 7 4 5" xfId="31258"/>
    <cellStyle name="40% - Accent1 7 5" xfId="5641"/>
    <cellStyle name="40% - Accent1 7 6" xfId="15537"/>
    <cellStyle name="40% - Accent1 7 6 2" xfId="20409"/>
    <cellStyle name="40% - Accent1 7 6 2 2" xfId="30123"/>
    <cellStyle name="40% - Accent1 7 6 2 2 2" xfId="49876"/>
    <cellStyle name="40% - Accent1 7 6 2 3" xfId="40232"/>
    <cellStyle name="40% - Accent1 7 6 3" xfId="25311"/>
    <cellStyle name="40% - Accent1 7 6 3 2" xfId="45065"/>
    <cellStyle name="40% - Accent1 7 6 4" xfId="35421"/>
    <cellStyle name="40% - Accent1 7 7" xfId="15917"/>
    <cellStyle name="40% - Accent1 7 7 2" xfId="25633"/>
    <cellStyle name="40% - Accent1 7 7 2 2" xfId="45387"/>
    <cellStyle name="40% - Accent1 7 7 3" xfId="35743"/>
    <cellStyle name="40% - Accent1 7 8" xfId="20794"/>
    <cellStyle name="40% - Accent1 7 8 2" xfId="40574"/>
    <cellStyle name="40% - Accent1 7 9" xfId="30549"/>
    <cellStyle name="40% - Accent1 7 9 2" xfId="50297"/>
    <cellStyle name="40% - Accent1 8" xfId="137"/>
    <cellStyle name="40% - Accent1 8 10" xfId="30907"/>
    <cellStyle name="40% - Accent1 8 2" xfId="138"/>
    <cellStyle name="40% - Accent1 8 2 2" xfId="896"/>
    <cellStyle name="40% - Accent1 8 2 2 2" xfId="5642"/>
    <cellStyle name="40% - Accent1 8 2 2 2 2" xfId="5643"/>
    <cellStyle name="40% - Accent1 8 2 2 3" xfId="5644"/>
    <cellStyle name="40% - Accent1 8 2 2 4" xfId="15543"/>
    <cellStyle name="40% - Accent1 8 2 2 4 2" xfId="20415"/>
    <cellStyle name="40% - Accent1 8 2 2 4 2 2" xfId="30129"/>
    <cellStyle name="40% - Accent1 8 2 2 4 2 2 2" xfId="49882"/>
    <cellStyle name="40% - Accent1 8 2 2 4 2 3" xfId="40238"/>
    <cellStyle name="40% - Accent1 8 2 2 4 3" xfId="25317"/>
    <cellStyle name="40% - Accent1 8 2 2 4 3 2" xfId="45071"/>
    <cellStyle name="40% - Accent1 8 2 2 4 4" xfId="35427"/>
    <cellStyle name="40% - Accent1 8 2 2 5" xfId="16242"/>
    <cellStyle name="40% - Accent1 8 2 2 5 2" xfId="25958"/>
    <cellStyle name="40% - Accent1 8 2 2 5 2 2" xfId="45712"/>
    <cellStyle name="40% - Accent1 8 2 2 5 3" xfId="36068"/>
    <cellStyle name="40% - Accent1 8 2 2 6" xfId="21148"/>
    <cellStyle name="40% - Accent1 8 2 2 6 2" xfId="40903"/>
    <cellStyle name="40% - Accent1 8 2 2 7" xfId="30555"/>
    <cellStyle name="40% - Accent1 8 2 2 7 2" xfId="50303"/>
    <cellStyle name="40% - Accent1 8 2 2 8" xfId="31259"/>
    <cellStyle name="40% - Accent1 8 2 3" xfId="897"/>
    <cellStyle name="40% - Accent1 8 2 3 2" xfId="5645"/>
    <cellStyle name="40% - Accent1 8 2 3 3" xfId="16243"/>
    <cellStyle name="40% - Accent1 8 2 3 3 2" xfId="25959"/>
    <cellStyle name="40% - Accent1 8 2 3 3 2 2" xfId="45713"/>
    <cellStyle name="40% - Accent1 8 2 3 3 3" xfId="36069"/>
    <cellStyle name="40% - Accent1 8 2 3 4" xfId="21149"/>
    <cellStyle name="40% - Accent1 8 2 3 4 2" xfId="40904"/>
    <cellStyle name="40% - Accent1 8 2 3 5" xfId="31260"/>
    <cellStyle name="40% - Accent1 8 2 4" xfId="5646"/>
    <cellStyle name="40% - Accent1 8 2 5" xfId="15542"/>
    <cellStyle name="40% - Accent1 8 2 5 2" xfId="20414"/>
    <cellStyle name="40% - Accent1 8 2 5 2 2" xfId="30128"/>
    <cellStyle name="40% - Accent1 8 2 5 2 2 2" xfId="49881"/>
    <cellStyle name="40% - Accent1 8 2 5 2 3" xfId="40237"/>
    <cellStyle name="40% - Accent1 8 2 5 3" xfId="25316"/>
    <cellStyle name="40% - Accent1 8 2 5 3 2" xfId="45070"/>
    <cellStyle name="40% - Accent1 8 2 5 4" xfId="35426"/>
    <cellStyle name="40% - Accent1 8 2 6" xfId="15920"/>
    <cellStyle name="40% - Accent1 8 2 6 2" xfId="25636"/>
    <cellStyle name="40% - Accent1 8 2 6 2 2" xfId="45390"/>
    <cellStyle name="40% - Accent1 8 2 6 3" xfId="35746"/>
    <cellStyle name="40% - Accent1 8 2 7" xfId="20797"/>
    <cellStyle name="40% - Accent1 8 2 7 2" xfId="40577"/>
    <cellStyle name="40% - Accent1 8 2 8" xfId="30554"/>
    <cellStyle name="40% - Accent1 8 2 8 2" xfId="50302"/>
    <cellStyle name="40% - Accent1 8 2 9" xfId="30908"/>
    <cellStyle name="40% - Accent1 8 3" xfId="898"/>
    <cellStyle name="40% - Accent1 8 3 2" xfId="5647"/>
    <cellStyle name="40% - Accent1 8 3 2 2" xfId="5648"/>
    <cellStyle name="40% - Accent1 8 3 3" xfId="5649"/>
    <cellStyle name="40% - Accent1 8 3 4" xfId="15544"/>
    <cellStyle name="40% - Accent1 8 3 4 2" xfId="20416"/>
    <cellStyle name="40% - Accent1 8 3 4 2 2" xfId="30130"/>
    <cellStyle name="40% - Accent1 8 3 4 2 2 2" xfId="49883"/>
    <cellStyle name="40% - Accent1 8 3 4 2 3" xfId="40239"/>
    <cellStyle name="40% - Accent1 8 3 4 3" xfId="25318"/>
    <cellStyle name="40% - Accent1 8 3 4 3 2" xfId="45072"/>
    <cellStyle name="40% - Accent1 8 3 4 4" xfId="35428"/>
    <cellStyle name="40% - Accent1 8 3 5" xfId="16244"/>
    <cellStyle name="40% - Accent1 8 3 5 2" xfId="25960"/>
    <cellStyle name="40% - Accent1 8 3 5 2 2" xfId="45714"/>
    <cellStyle name="40% - Accent1 8 3 5 3" xfId="36070"/>
    <cellStyle name="40% - Accent1 8 3 6" xfId="21150"/>
    <cellStyle name="40% - Accent1 8 3 6 2" xfId="40905"/>
    <cellStyle name="40% - Accent1 8 3 7" xfId="30556"/>
    <cellStyle name="40% - Accent1 8 3 7 2" xfId="50304"/>
    <cellStyle name="40% - Accent1 8 3 8" xfId="31261"/>
    <cellStyle name="40% - Accent1 8 4" xfId="899"/>
    <cellStyle name="40% - Accent1 8 4 2" xfId="5650"/>
    <cellStyle name="40% - Accent1 8 4 3" xfId="16245"/>
    <cellStyle name="40% - Accent1 8 4 3 2" xfId="25961"/>
    <cellStyle name="40% - Accent1 8 4 3 2 2" xfId="45715"/>
    <cellStyle name="40% - Accent1 8 4 3 3" xfId="36071"/>
    <cellStyle name="40% - Accent1 8 4 4" xfId="21151"/>
    <cellStyle name="40% - Accent1 8 4 4 2" xfId="40906"/>
    <cellStyle name="40% - Accent1 8 4 5" xfId="31262"/>
    <cellStyle name="40% - Accent1 8 5" xfId="5651"/>
    <cellStyle name="40% - Accent1 8 6" xfId="15541"/>
    <cellStyle name="40% - Accent1 8 6 2" xfId="20413"/>
    <cellStyle name="40% - Accent1 8 6 2 2" xfId="30127"/>
    <cellStyle name="40% - Accent1 8 6 2 2 2" xfId="49880"/>
    <cellStyle name="40% - Accent1 8 6 2 3" xfId="40236"/>
    <cellStyle name="40% - Accent1 8 6 3" xfId="25315"/>
    <cellStyle name="40% - Accent1 8 6 3 2" xfId="45069"/>
    <cellStyle name="40% - Accent1 8 6 4" xfId="35425"/>
    <cellStyle name="40% - Accent1 8 7" xfId="15919"/>
    <cellStyle name="40% - Accent1 8 7 2" xfId="25635"/>
    <cellStyle name="40% - Accent1 8 7 2 2" xfId="45389"/>
    <cellStyle name="40% - Accent1 8 7 3" xfId="35745"/>
    <cellStyle name="40% - Accent1 8 8" xfId="20796"/>
    <cellStyle name="40% - Accent1 8 8 2" xfId="40576"/>
    <cellStyle name="40% - Accent1 8 9" xfId="30553"/>
    <cellStyle name="40% - Accent1 8 9 2" xfId="50301"/>
    <cellStyle name="40% - Accent1 9" xfId="139"/>
    <cellStyle name="40% - Accent1 9 2" xfId="900"/>
    <cellStyle name="40% - Accent1 9 2 2" xfId="5652"/>
    <cellStyle name="40% - Accent1 9 2 2 2" xfId="5653"/>
    <cellStyle name="40% - Accent1 9 2 3" xfId="5654"/>
    <cellStyle name="40% - Accent1 9 2 4" xfId="15546"/>
    <cellStyle name="40% - Accent1 9 2 4 2" xfId="20418"/>
    <cellStyle name="40% - Accent1 9 2 4 2 2" xfId="30132"/>
    <cellStyle name="40% - Accent1 9 2 4 2 2 2" xfId="49885"/>
    <cellStyle name="40% - Accent1 9 2 4 2 3" xfId="40241"/>
    <cellStyle name="40% - Accent1 9 2 4 3" xfId="25320"/>
    <cellStyle name="40% - Accent1 9 2 4 3 2" xfId="45074"/>
    <cellStyle name="40% - Accent1 9 2 4 4" xfId="35430"/>
    <cellStyle name="40% - Accent1 9 2 5" xfId="16246"/>
    <cellStyle name="40% - Accent1 9 2 5 2" xfId="25962"/>
    <cellStyle name="40% - Accent1 9 2 5 2 2" xfId="45716"/>
    <cellStyle name="40% - Accent1 9 2 5 3" xfId="36072"/>
    <cellStyle name="40% - Accent1 9 2 6" xfId="21152"/>
    <cellStyle name="40% - Accent1 9 2 6 2" xfId="40907"/>
    <cellStyle name="40% - Accent1 9 2 7" xfId="30558"/>
    <cellStyle name="40% - Accent1 9 2 7 2" xfId="50306"/>
    <cellStyle name="40% - Accent1 9 2 8" xfId="31263"/>
    <cellStyle name="40% - Accent1 9 3" xfId="901"/>
    <cellStyle name="40% - Accent1 9 3 2" xfId="5655"/>
    <cellStyle name="40% - Accent1 9 3 3" xfId="16247"/>
    <cellStyle name="40% - Accent1 9 3 3 2" xfId="25963"/>
    <cellStyle name="40% - Accent1 9 3 3 2 2" xfId="45717"/>
    <cellStyle name="40% - Accent1 9 3 3 3" xfId="36073"/>
    <cellStyle name="40% - Accent1 9 3 4" xfId="21153"/>
    <cellStyle name="40% - Accent1 9 3 4 2" xfId="40908"/>
    <cellStyle name="40% - Accent1 9 3 5" xfId="31264"/>
    <cellStyle name="40% - Accent1 9 4" xfId="5656"/>
    <cellStyle name="40% - Accent1 9 5" xfId="15545"/>
    <cellStyle name="40% - Accent1 9 5 2" xfId="20417"/>
    <cellStyle name="40% - Accent1 9 5 2 2" xfId="30131"/>
    <cellStyle name="40% - Accent1 9 5 2 2 2" xfId="49884"/>
    <cellStyle name="40% - Accent1 9 5 2 3" xfId="40240"/>
    <cellStyle name="40% - Accent1 9 5 3" xfId="25319"/>
    <cellStyle name="40% - Accent1 9 5 3 2" xfId="45073"/>
    <cellStyle name="40% - Accent1 9 5 4" xfId="35429"/>
    <cellStyle name="40% - Accent1 9 6" xfId="15921"/>
    <cellStyle name="40% - Accent1 9 6 2" xfId="25637"/>
    <cellStyle name="40% - Accent1 9 6 2 2" xfId="45391"/>
    <cellStyle name="40% - Accent1 9 6 3" xfId="35747"/>
    <cellStyle name="40% - Accent1 9 7" xfId="20798"/>
    <cellStyle name="40% - Accent1 9 7 2" xfId="40578"/>
    <cellStyle name="40% - Accent1 9 8" xfId="30557"/>
    <cellStyle name="40% - Accent1 9 8 2" xfId="50305"/>
    <cellStyle name="40% - Accent1 9 9" xfId="30909"/>
    <cellStyle name="40% - Accent2" xfId="140" builtinId="35" customBuiltin="1"/>
    <cellStyle name="40% - Accent2 10" xfId="902"/>
    <cellStyle name="40% - Accent2 10 2" xfId="5657"/>
    <cellStyle name="40% - Accent2 10 2 2" xfId="5658"/>
    <cellStyle name="40% - Accent2 10 3" xfId="5659"/>
    <cellStyle name="40% - Accent2 10 4" xfId="15548"/>
    <cellStyle name="40% - Accent2 10 4 2" xfId="20420"/>
    <cellStyle name="40% - Accent2 10 4 2 2" xfId="30134"/>
    <cellStyle name="40% - Accent2 10 4 2 2 2" xfId="49887"/>
    <cellStyle name="40% - Accent2 10 4 2 3" xfId="40243"/>
    <cellStyle name="40% - Accent2 10 4 3" xfId="25322"/>
    <cellStyle name="40% - Accent2 10 4 3 2" xfId="45076"/>
    <cellStyle name="40% - Accent2 10 4 4" xfId="35432"/>
    <cellStyle name="40% - Accent2 10 5" xfId="16248"/>
    <cellStyle name="40% - Accent2 10 5 2" xfId="25964"/>
    <cellStyle name="40% - Accent2 10 5 2 2" xfId="45718"/>
    <cellStyle name="40% - Accent2 10 5 3" xfId="36074"/>
    <cellStyle name="40% - Accent2 10 6" xfId="21154"/>
    <cellStyle name="40% - Accent2 10 6 2" xfId="40909"/>
    <cellStyle name="40% - Accent2 10 7" xfId="30559"/>
    <cellStyle name="40% - Accent2 10 7 2" xfId="50307"/>
    <cellStyle name="40% - Accent2 10 8" xfId="31265"/>
    <cellStyle name="40% - Accent2 11" xfId="903"/>
    <cellStyle name="40% - Accent2 11 2" xfId="5660"/>
    <cellStyle name="40% - Accent2 11 3" xfId="16249"/>
    <cellStyle name="40% - Accent2 11 3 2" xfId="25965"/>
    <cellStyle name="40% - Accent2 11 3 2 2" xfId="45719"/>
    <cellStyle name="40% - Accent2 11 3 3" xfId="36075"/>
    <cellStyle name="40% - Accent2 11 4" xfId="21155"/>
    <cellStyle name="40% - Accent2 11 4 2" xfId="40910"/>
    <cellStyle name="40% - Accent2 11 5" xfId="31266"/>
    <cellStyle name="40% - Accent2 12" xfId="904"/>
    <cellStyle name="40% - Accent2 12 2" xfId="16250"/>
    <cellStyle name="40% - Accent2 12 2 2" xfId="25966"/>
    <cellStyle name="40% - Accent2 12 2 2 2" xfId="45720"/>
    <cellStyle name="40% - Accent2 12 2 3" xfId="36076"/>
    <cellStyle name="40% - Accent2 12 3" xfId="21156"/>
    <cellStyle name="40% - Accent2 12 3 2" xfId="40911"/>
    <cellStyle name="40% - Accent2 12 4" xfId="31267"/>
    <cellStyle name="40% - Accent2 13" xfId="905"/>
    <cellStyle name="40% - Accent2 13 2" xfId="16251"/>
    <cellStyle name="40% - Accent2 13 2 2" xfId="25967"/>
    <cellStyle name="40% - Accent2 13 2 2 2" xfId="45721"/>
    <cellStyle name="40% - Accent2 13 2 3" xfId="36077"/>
    <cellStyle name="40% - Accent2 13 3" xfId="21157"/>
    <cellStyle name="40% - Accent2 13 3 2" xfId="40912"/>
    <cellStyle name="40% - Accent2 13 4" xfId="31268"/>
    <cellStyle name="40% - Accent2 14" xfId="15547"/>
    <cellStyle name="40% - Accent2 14 2" xfId="20419"/>
    <cellStyle name="40% - Accent2 14 2 2" xfId="30133"/>
    <cellStyle name="40% - Accent2 14 2 2 2" xfId="49886"/>
    <cellStyle name="40% - Accent2 14 2 3" xfId="40242"/>
    <cellStyle name="40% - Accent2 14 3" xfId="25321"/>
    <cellStyle name="40% - Accent2 14 3 2" xfId="45075"/>
    <cellStyle name="40% - Accent2 14 4" xfId="35431"/>
    <cellStyle name="40% - Accent2 15" xfId="15803"/>
    <cellStyle name="40% - Accent2 15 2" xfId="25519"/>
    <cellStyle name="40% - Accent2 15 2 2" xfId="45273"/>
    <cellStyle name="40% - Accent2 15 3" xfId="35629"/>
    <cellStyle name="40% - Accent2 16" xfId="20668"/>
    <cellStyle name="40% - Accent2 16 2" xfId="30345"/>
    <cellStyle name="40% - Accent2 16 2 2" xfId="50094"/>
    <cellStyle name="40% - Accent2 16 3" xfId="40450"/>
    <cellStyle name="40% - Accent2 17" xfId="20680"/>
    <cellStyle name="40% - Accent2 17 2" xfId="40461"/>
    <cellStyle name="40% - Accent2 18" xfId="30360"/>
    <cellStyle name="40% - Accent2 18 2" xfId="50109"/>
    <cellStyle name="40% - Accent2 19" xfId="30770"/>
    <cellStyle name="40% - Accent2 19 2" xfId="50509"/>
    <cellStyle name="40% - Accent2 2" xfId="141"/>
    <cellStyle name="40% - Accent2 2 10" xfId="5661"/>
    <cellStyle name="40% - Accent2 2 10 2" xfId="5662"/>
    <cellStyle name="40% - Accent2 2 11" xfId="5663"/>
    <cellStyle name="40% - Accent2 2 12" xfId="5664"/>
    <cellStyle name="40% - Accent2 2 13" xfId="5665"/>
    <cellStyle name="40% - Accent2 2 2" xfId="142"/>
    <cellStyle name="40% - Accent2 2 2 10" xfId="5666"/>
    <cellStyle name="40% - Accent2 2 2 11" xfId="5667"/>
    <cellStyle name="40% - Accent2 2 2 12" xfId="5668"/>
    <cellStyle name="40% - Accent2 2 2 2" xfId="5669"/>
    <cellStyle name="40% - Accent2 2 2 2 10" xfId="5670"/>
    <cellStyle name="40% - Accent2 2 2 2 2" xfId="5671"/>
    <cellStyle name="40% - Accent2 2 2 2 2 2" xfId="5672"/>
    <cellStyle name="40% - Accent2 2 2 2 2 2 2" xfId="5673"/>
    <cellStyle name="40% - Accent2 2 2 2 2 2 2 2" xfId="5674"/>
    <cellStyle name="40% - Accent2 2 2 2 2 2 2 2 2" xfId="5675"/>
    <cellStyle name="40% - Accent2 2 2 2 2 2 2 3" xfId="5676"/>
    <cellStyle name="40% - Accent2 2 2 2 2 2 3" xfId="5677"/>
    <cellStyle name="40% - Accent2 2 2 2 2 2 3 2" xfId="5678"/>
    <cellStyle name="40% - Accent2 2 2 2 2 2 4" xfId="5679"/>
    <cellStyle name="40% - Accent2 2 2 2 2 3" xfId="5680"/>
    <cellStyle name="40% - Accent2 2 2 2 2 3 2" xfId="5681"/>
    <cellStyle name="40% - Accent2 2 2 2 2 3 2 2" xfId="5682"/>
    <cellStyle name="40% - Accent2 2 2 2 2 3 3" xfId="5683"/>
    <cellStyle name="40% - Accent2 2 2 2 2 4" xfId="5684"/>
    <cellStyle name="40% - Accent2 2 2 2 2 4 2" xfId="5685"/>
    <cellStyle name="40% - Accent2 2 2 2 2 5" xfId="5686"/>
    <cellStyle name="40% - Accent2 2 2 2 2 6" xfId="5687"/>
    <cellStyle name="40% - Accent2 2 2 2 2 7" xfId="5688"/>
    <cellStyle name="40% - Accent2 2 2 2 3" xfId="5689"/>
    <cellStyle name="40% - Accent2 2 2 2 3 2" xfId="5690"/>
    <cellStyle name="40% - Accent2 2 2 2 3 2 2" xfId="5691"/>
    <cellStyle name="40% - Accent2 2 2 2 3 2 2 2" xfId="5692"/>
    <cellStyle name="40% - Accent2 2 2 2 3 2 3" xfId="5693"/>
    <cellStyle name="40% - Accent2 2 2 2 3 3" xfId="5694"/>
    <cellStyle name="40% - Accent2 2 2 2 3 3 2" xfId="5695"/>
    <cellStyle name="40% - Accent2 2 2 2 3 4" xfId="5696"/>
    <cellStyle name="40% - Accent2 2 2 2 4" xfId="5697"/>
    <cellStyle name="40% - Accent2 2 2 2 4 2" xfId="5698"/>
    <cellStyle name="40% - Accent2 2 2 2 4 2 2" xfId="5699"/>
    <cellStyle name="40% - Accent2 2 2 2 4 2 2 2" xfId="5700"/>
    <cellStyle name="40% - Accent2 2 2 2 4 2 3" xfId="5701"/>
    <cellStyle name="40% - Accent2 2 2 2 4 3" xfId="5702"/>
    <cellStyle name="40% - Accent2 2 2 2 4 3 2" xfId="5703"/>
    <cellStyle name="40% - Accent2 2 2 2 4 4" xfId="5704"/>
    <cellStyle name="40% - Accent2 2 2 2 5" xfId="5705"/>
    <cellStyle name="40% - Accent2 2 2 2 5 2" xfId="5706"/>
    <cellStyle name="40% - Accent2 2 2 2 5 2 2" xfId="5707"/>
    <cellStyle name="40% - Accent2 2 2 2 5 3" xfId="5708"/>
    <cellStyle name="40% - Accent2 2 2 2 6" xfId="5709"/>
    <cellStyle name="40% - Accent2 2 2 2 6 2" xfId="5710"/>
    <cellStyle name="40% - Accent2 2 2 2 7" xfId="5711"/>
    <cellStyle name="40% - Accent2 2 2 2 7 2" xfId="5712"/>
    <cellStyle name="40% - Accent2 2 2 2 8" xfId="5713"/>
    <cellStyle name="40% - Accent2 2 2 2 9" xfId="5714"/>
    <cellStyle name="40% - Accent2 2 2 3" xfId="5715"/>
    <cellStyle name="40% - Accent2 2 2 3 2" xfId="5716"/>
    <cellStyle name="40% - Accent2 2 2 3 2 2" xfId="5717"/>
    <cellStyle name="40% - Accent2 2 2 3 2 2 2" xfId="5718"/>
    <cellStyle name="40% - Accent2 2 2 3 2 2 2 2" xfId="5719"/>
    <cellStyle name="40% - Accent2 2 2 3 2 2 3" xfId="5720"/>
    <cellStyle name="40% - Accent2 2 2 3 2 3" xfId="5721"/>
    <cellStyle name="40% - Accent2 2 2 3 2 3 2" xfId="5722"/>
    <cellStyle name="40% - Accent2 2 2 3 2 4" xfId="5723"/>
    <cellStyle name="40% - Accent2 2 2 3 3" xfId="5724"/>
    <cellStyle name="40% - Accent2 2 2 3 3 2" xfId="5725"/>
    <cellStyle name="40% - Accent2 2 2 3 3 2 2" xfId="5726"/>
    <cellStyle name="40% - Accent2 2 2 3 3 3" xfId="5727"/>
    <cellStyle name="40% - Accent2 2 2 3 4" xfId="5728"/>
    <cellStyle name="40% - Accent2 2 2 3 4 2" xfId="5729"/>
    <cellStyle name="40% - Accent2 2 2 3 5" xfId="5730"/>
    <cellStyle name="40% - Accent2 2 2 3 6" xfId="5731"/>
    <cellStyle name="40% - Accent2 2 2 3 7" xfId="5732"/>
    <cellStyle name="40% - Accent2 2 2 4" xfId="5733"/>
    <cellStyle name="40% - Accent2 2 2 4 2" xfId="5734"/>
    <cellStyle name="40% - Accent2 2 2 4 2 2" xfId="5735"/>
    <cellStyle name="40% - Accent2 2 2 4 2 2 2" xfId="5736"/>
    <cellStyle name="40% - Accent2 2 2 4 2 3" xfId="5737"/>
    <cellStyle name="40% - Accent2 2 2 4 3" xfId="5738"/>
    <cellStyle name="40% - Accent2 2 2 4 3 2" xfId="5739"/>
    <cellStyle name="40% - Accent2 2 2 4 4" xfId="5740"/>
    <cellStyle name="40% - Accent2 2 2 5" xfId="5741"/>
    <cellStyle name="40% - Accent2 2 2 5 2" xfId="5742"/>
    <cellStyle name="40% - Accent2 2 2 5 2 2" xfId="5743"/>
    <cellStyle name="40% - Accent2 2 2 5 2 2 2" xfId="5744"/>
    <cellStyle name="40% - Accent2 2 2 5 2 3" xfId="5745"/>
    <cellStyle name="40% - Accent2 2 2 5 3" xfId="5746"/>
    <cellStyle name="40% - Accent2 2 2 5 3 2" xfId="5747"/>
    <cellStyle name="40% - Accent2 2 2 5 4" xfId="5748"/>
    <cellStyle name="40% - Accent2 2 2 6" xfId="5749"/>
    <cellStyle name="40% - Accent2 2 2 6 2" xfId="5750"/>
    <cellStyle name="40% - Accent2 2 2 7" xfId="5751"/>
    <cellStyle name="40% - Accent2 2 2 7 2" xfId="5752"/>
    <cellStyle name="40% - Accent2 2 2 7 2 2" xfId="5753"/>
    <cellStyle name="40% - Accent2 2 2 7 3" xfId="5754"/>
    <cellStyle name="40% - Accent2 2 2 8" xfId="5755"/>
    <cellStyle name="40% - Accent2 2 2 8 2" xfId="5756"/>
    <cellStyle name="40% - Accent2 2 2 9" xfId="5757"/>
    <cellStyle name="40% - Accent2 2 2 9 2" xfId="5758"/>
    <cellStyle name="40% - Accent2 2 3" xfId="143"/>
    <cellStyle name="40% - Accent2 2 3 10" xfId="5759"/>
    <cellStyle name="40% - Accent2 2 3 11" xfId="15549"/>
    <cellStyle name="40% - Accent2 2 3 11 2" xfId="20421"/>
    <cellStyle name="40% - Accent2 2 3 11 2 2" xfId="30135"/>
    <cellStyle name="40% - Accent2 2 3 11 2 2 2" xfId="49888"/>
    <cellStyle name="40% - Accent2 2 3 11 2 3" xfId="40244"/>
    <cellStyle name="40% - Accent2 2 3 11 3" xfId="25323"/>
    <cellStyle name="40% - Accent2 2 3 11 3 2" xfId="45077"/>
    <cellStyle name="40% - Accent2 2 3 11 4" xfId="35433"/>
    <cellStyle name="40% - Accent2 2 3 12" xfId="15922"/>
    <cellStyle name="40% - Accent2 2 3 12 2" xfId="25638"/>
    <cellStyle name="40% - Accent2 2 3 12 2 2" xfId="45392"/>
    <cellStyle name="40% - Accent2 2 3 12 3" xfId="35748"/>
    <cellStyle name="40% - Accent2 2 3 13" xfId="20799"/>
    <cellStyle name="40% - Accent2 2 3 13 2" xfId="40579"/>
    <cellStyle name="40% - Accent2 2 3 14" xfId="30560"/>
    <cellStyle name="40% - Accent2 2 3 14 2" xfId="50308"/>
    <cellStyle name="40% - Accent2 2 3 15" xfId="30910"/>
    <cellStyle name="40% - Accent2 2 3 2" xfId="906"/>
    <cellStyle name="40% - Accent2 2 3 2 10" xfId="31269"/>
    <cellStyle name="40% - Accent2 2 3 2 2" xfId="5760"/>
    <cellStyle name="40% - Accent2 2 3 2 2 2" xfId="5761"/>
    <cellStyle name="40% - Accent2 2 3 2 2 2 2" xfId="5762"/>
    <cellStyle name="40% - Accent2 2 3 2 2 2 2 2" xfId="5763"/>
    <cellStyle name="40% - Accent2 2 3 2 2 2 3" xfId="5764"/>
    <cellStyle name="40% - Accent2 2 3 2 2 3" xfId="5765"/>
    <cellStyle name="40% - Accent2 2 3 2 2 3 2" xfId="5766"/>
    <cellStyle name="40% - Accent2 2 3 2 2 4" xfId="5767"/>
    <cellStyle name="40% - Accent2 2 3 2 3" xfId="5768"/>
    <cellStyle name="40% - Accent2 2 3 2 3 2" xfId="5769"/>
    <cellStyle name="40% - Accent2 2 3 2 3 2 2" xfId="5770"/>
    <cellStyle name="40% - Accent2 2 3 2 3 3" xfId="5771"/>
    <cellStyle name="40% - Accent2 2 3 2 4" xfId="5772"/>
    <cellStyle name="40% - Accent2 2 3 2 4 2" xfId="5773"/>
    <cellStyle name="40% - Accent2 2 3 2 5" xfId="5774"/>
    <cellStyle name="40% - Accent2 2 3 2 6" xfId="5775"/>
    <cellStyle name="40% - Accent2 2 3 2 7" xfId="5776"/>
    <cellStyle name="40% - Accent2 2 3 2 8" xfId="16252"/>
    <cellStyle name="40% - Accent2 2 3 2 8 2" xfId="25968"/>
    <cellStyle name="40% - Accent2 2 3 2 8 2 2" xfId="45722"/>
    <cellStyle name="40% - Accent2 2 3 2 8 3" xfId="36078"/>
    <cellStyle name="40% - Accent2 2 3 2 9" xfId="21158"/>
    <cellStyle name="40% - Accent2 2 3 2 9 2" xfId="40913"/>
    <cellStyle name="40% - Accent2 2 3 3" xfId="5777"/>
    <cellStyle name="40% - Accent2 2 3 3 2" xfId="5778"/>
    <cellStyle name="40% - Accent2 2 3 3 2 2" xfId="5779"/>
    <cellStyle name="40% - Accent2 2 3 3 2 2 2" xfId="5780"/>
    <cellStyle name="40% - Accent2 2 3 3 2 3" xfId="5781"/>
    <cellStyle name="40% - Accent2 2 3 3 3" xfId="5782"/>
    <cellStyle name="40% - Accent2 2 3 3 3 2" xfId="5783"/>
    <cellStyle name="40% - Accent2 2 3 3 4" xfId="5784"/>
    <cellStyle name="40% - Accent2 2 3 4" xfId="5785"/>
    <cellStyle name="40% - Accent2 2 3 4 2" xfId="5786"/>
    <cellStyle name="40% - Accent2 2 3 4 2 2" xfId="5787"/>
    <cellStyle name="40% - Accent2 2 3 4 2 2 2" xfId="5788"/>
    <cellStyle name="40% - Accent2 2 3 4 2 3" xfId="5789"/>
    <cellStyle name="40% - Accent2 2 3 4 3" xfId="5790"/>
    <cellStyle name="40% - Accent2 2 3 4 3 2" xfId="5791"/>
    <cellStyle name="40% - Accent2 2 3 4 4" xfId="5792"/>
    <cellStyle name="40% - Accent2 2 3 5" xfId="5793"/>
    <cellStyle name="40% - Accent2 2 3 5 2" xfId="5794"/>
    <cellStyle name="40% - Accent2 2 3 5 2 2" xfId="5795"/>
    <cellStyle name="40% - Accent2 2 3 5 3" xfId="5796"/>
    <cellStyle name="40% - Accent2 2 3 6" xfId="5797"/>
    <cellStyle name="40% - Accent2 2 3 6 2" xfId="5798"/>
    <cellStyle name="40% - Accent2 2 3 7" xfId="5799"/>
    <cellStyle name="40% - Accent2 2 3 7 2" xfId="5800"/>
    <cellStyle name="40% - Accent2 2 3 8" xfId="5801"/>
    <cellStyle name="40% - Accent2 2 3 9" xfId="5802"/>
    <cellStyle name="40% - Accent2 2 4" xfId="5803"/>
    <cellStyle name="40% - Accent2 2 4 2" xfId="5804"/>
    <cellStyle name="40% - Accent2 2 4 2 2" xfId="5805"/>
    <cellStyle name="40% - Accent2 2 4 2 2 2" xfId="5806"/>
    <cellStyle name="40% - Accent2 2 4 2 2 2 2" xfId="5807"/>
    <cellStyle name="40% - Accent2 2 4 2 2 3" xfId="5808"/>
    <cellStyle name="40% - Accent2 2 4 2 3" xfId="5809"/>
    <cellStyle name="40% - Accent2 2 4 2 3 2" xfId="5810"/>
    <cellStyle name="40% - Accent2 2 4 2 4" xfId="5811"/>
    <cellStyle name="40% - Accent2 2 4 3" xfId="5812"/>
    <cellStyle name="40% - Accent2 2 4 3 2" xfId="5813"/>
    <cellStyle name="40% - Accent2 2 4 3 2 2" xfId="5814"/>
    <cellStyle name="40% - Accent2 2 4 3 3" xfId="5815"/>
    <cellStyle name="40% - Accent2 2 4 4" xfId="5816"/>
    <cellStyle name="40% - Accent2 2 4 4 2" xfId="5817"/>
    <cellStyle name="40% - Accent2 2 4 5" xfId="5818"/>
    <cellStyle name="40% - Accent2 2 4 6" xfId="5819"/>
    <cellStyle name="40% - Accent2 2 4 7" xfId="5820"/>
    <cellStyle name="40% - Accent2 2 5" xfId="5821"/>
    <cellStyle name="40% - Accent2 2 5 2" xfId="5822"/>
    <cellStyle name="40% - Accent2 2 5 2 2" xfId="5823"/>
    <cellStyle name="40% - Accent2 2 5 2 2 2" xfId="5824"/>
    <cellStyle name="40% - Accent2 2 5 2 3" xfId="5825"/>
    <cellStyle name="40% - Accent2 2 5 3" xfId="5826"/>
    <cellStyle name="40% - Accent2 2 5 3 2" xfId="5827"/>
    <cellStyle name="40% - Accent2 2 5 4" xfId="5828"/>
    <cellStyle name="40% - Accent2 2 6" xfId="5829"/>
    <cellStyle name="40% - Accent2 2 6 2" xfId="5830"/>
    <cellStyle name="40% - Accent2 2 6 2 2" xfId="5831"/>
    <cellStyle name="40% - Accent2 2 6 2 2 2" xfId="5832"/>
    <cellStyle name="40% - Accent2 2 6 2 3" xfId="5833"/>
    <cellStyle name="40% - Accent2 2 6 3" xfId="5834"/>
    <cellStyle name="40% - Accent2 2 6 3 2" xfId="5835"/>
    <cellStyle name="40% - Accent2 2 6 4" xfId="5836"/>
    <cellStyle name="40% - Accent2 2 7" xfId="5837"/>
    <cellStyle name="40% - Accent2 2 7 2" xfId="5838"/>
    <cellStyle name="40% - Accent2 2 8" xfId="5839"/>
    <cellStyle name="40% - Accent2 2 8 2" xfId="5840"/>
    <cellStyle name="40% - Accent2 2 8 2 2" xfId="5841"/>
    <cellStyle name="40% - Accent2 2 8 3" xfId="5842"/>
    <cellStyle name="40% - Accent2 2 9" xfId="5843"/>
    <cellStyle name="40% - Accent2 2 9 2" xfId="5844"/>
    <cellStyle name="40% - Accent2 20" xfId="30784"/>
    <cellStyle name="40% - Accent2 21" xfId="50525"/>
    <cellStyle name="40% - Accent2 3" xfId="144"/>
    <cellStyle name="40% - Accent2 3 10" xfId="5845"/>
    <cellStyle name="40% - Accent2 3 10 2" xfId="5846"/>
    <cellStyle name="40% - Accent2 3 11" xfId="5847"/>
    <cellStyle name="40% - Accent2 3 12" xfId="5848"/>
    <cellStyle name="40% - Accent2 3 13" xfId="5849"/>
    <cellStyle name="40% - Accent2 3 2" xfId="5850"/>
    <cellStyle name="40% - Accent2 3 2 10" xfId="5851"/>
    <cellStyle name="40% - Accent2 3 2 11" xfId="5852"/>
    <cellStyle name="40% - Accent2 3 2 2" xfId="5853"/>
    <cellStyle name="40% - Accent2 3 2 2 10" xfId="5854"/>
    <cellStyle name="40% - Accent2 3 2 2 2" xfId="5855"/>
    <cellStyle name="40% - Accent2 3 2 2 2 2" xfId="5856"/>
    <cellStyle name="40% - Accent2 3 2 2 2 2 2" xfId="5857"/>
    <cellStyle name="40% - Accent2 3 2 2 2 2 2 2" xfId="5858"/>
    <cellStyle name="40% - Accent2 3 2 2 2 2 2 2 2" xfId="5859"/>
    <cellStyle name="40% - Accent2 3 2 2 2 2 2 3" xfId="5860"/>
    <cellStyle name="40% - Accent2 3 2 2 2 2 3" xfId="5861"/>
    <cellStyle name="40% - Accent2 3 2 2 2 2 3 2" xfId="5862"/>
    <cellStyle name="40% - Accent2 3 2 2 2 2 4" xfId="5863"/>
    <cellStyle name="40% - Accent2 3 2 2 2 3" xfId="5864"/>
    <cellStyle name="40% - Accent2 3 2 2 2 3 2" xfId="5865"/>
    <cellStyle name="40% - Accent2 3 2 2 2 3 2 2" xfId="5866"/>
    <cellStyle name="40% - Accent2 3 2 2 2 3 3" xfId="5867"/>
    <cellStyle name="40% - Accent2 3 2 2 2 4" xfId="5868"/>
    <cellStyle name="40% - Accent2 3 2 2 2 4 2" xfId="5869"/>
    <cellStyle name="40% - Accent2 3 2 2 2 5" xfId="5870"/>
    <cellStyle name="40% - Accent2 3 2 2 2 6" xfId="5871"/>
    <cellStyle name="40% - Accent2 3 2 2 2 7" xfId="5872"/>
    <cellStyle name="40% - Accent2 3 2 2 3" xfId="5873"/>
    <cellStyle name="40% - Accent2 3 2 2 3 2" xfId="5874"/>
    <cellStyle name="40% - Accent2 3 2 2 3 2 2" xfId="5875"/>
    <cellStyle name="40% - Accent2 3 2 2 3 2 2 2" xfId="5876"/>
    <cellStyle name="40% - Accent2 3 2 2 3 2 3" xfId="5877"/>
    <cellStyle name="40% - Accent2 3 2 2 3 3" xfId="5878"/>
    <cellStyle name="40% - Accent2 3 2 2 3 3 2" xfId="5879"/>
    <cellStyle name="40% - Accent2 3 2 2 3 4" xfId="5880"/>
    <cellStyle name="40% - Accent2 3 2 2 4" xfId="5881"/>
    <cellStyle name="40% - Accent2 3 2 2 4 2" xfId="5882"/>
    <cellStyle name="40% - Accent2 3 2 2 4 2 2" xfId="5883"/>
    <cellStyle name="40% - Accent2 3 2 2 4 2 2 2" xfId="5884"/>
    <cellStyle name="40% - Accent2 3 2 2 4 2 3" xfId="5885"/>
    <cellStyle name="40% - Accent2 3 2 2 4 3" xfId="5886"/>
    <cellStyle name="40% - Accent2 3 2 2 4 3 2" xfId="5887"/>
    <cellStyle name="40% - Accent2 3 2 2 4 4" xfId="5888"/>
    <cellStyle name="40% - Accent2 3 2 2 5" xfId="5889"/>
    <cellStyle name="40% - Accent2 3 2 2 5 2" xfId="5890"/>
    <cellStyle name="40% - Accent2 3 2 2 5 2 2" xfId="5891"/>
    <cellStyle name="40% - Accent2 3 2 2 5 3" xfId="5892"/>
    <cellStyle name="40% - Accent2 3 2 2 6" xfId="5893"/>
    <cellStyle name="40% - Accent2 3 2 2 6 2" xfId="5894"/>
    <cellStyle name="40% - Accent2 3 2 2 7" xfId="5895"/>
    <cellStyle name="40% - Accent2 3 2 2 7 2" xfId="5896"/>
    <cellStyle name="40% - Accent2 3 2 2 8" xfId="5897"/>
    <cellStyle name="40% - Accent2 3 2 2 9" xfId="5898"/>
    <cellStyle name="40% - Accent2 3 2 3" xfId="5899"/>
    <cellStyle name="40% - Accent2 3 2 3 2" xfId="5900"/>
    <cellStyle name="40% - Accent2 3 2 3 2 2" xfId="5901"/>
    <cellStyle name="40% - Accent2 3 2 3 2 2 2" xfId="5902"/>
    <cellStyle name="40% - Accent2 3 2 3 2 2 2 2" xfId="5903"/>
    <cellStyle name="40% - Accent2 3 2 3 2 2 3" xfId="5904"/>
    <cellStyle name="40% - Accent2 3 2 3 2 3" xfId="5905"/>
    <cellStyle name="40% - Accent2 3 2 3 2 3 2" xfId="5906"/>
    <cellStyle name="40% - Accent2 3 2 3 2 4" xfId="5907"/>
    <cellStyle name="40% - Accent2 3 2 3 3" xfId="5908"/>
    <cellStyle name="40% - Accent2 3 2 3 3 2" xfId="5909"/>
    <cellStyle name="40% - Accent2 3 2 3 3 2 2" xfId="5910"/>
    <cellStyle name="40% - Accent2 3 2 3 3 3" xfId="5911"/>
    <cellStyle name="40% - Accent2 3 2 3 4" xfId="5912"/>
    <cellStyle name="40% - Accent2 3 2 3 4 2" xfId="5913"/>
    <cellStyle name="40% - Accent2 3 2 3 5" xfId="5914"/>
    <cellStyle name="40% - Accent2 3 2 3 6" xfId="5915"/>
    <cellStyle name="40% - Accent2 3 2 3 7" xfId="5916"/>
    <cellStyle name="40% - Accent2 3 2 4" xfId="5917"/>
    <cellStyle name="40% - Accent2 3 2 4 2" xfId="5918"/>
    <cellStyle name="40% - Accent2 3 2 4 2 2" xfId="5919"/>
    <cellStyle name="40% - Accent2 3 2 4 2 2 2" xfId="5920"/>
    <cellStyle name="40% - Accent2 3 2 4 2 3" xfId="5921"/>
    <cellStyle name="40% - Accent2 3 2 4 3" xfId="5922"/>
    <cellStyle name="40% - Accent2 3 2 4 3 2" xfId="5923"/>
    <cellStyle name="40% - Accent2 3 2 4 4" xfId="5924"/>
    <cellStyle name="40% - Accent2 3 2 5" xfId="5925"/>
    <cellStyle name="40% - Accent2 3 2 5 2" xfId="5926"/>
    <cellStyle name="40% - Accent2 3 2 5 2 2" xfId="5927"/>
    <cellStyle name="40% - Accent2 3 2 5 2 2 2" xfId="5928"/>
    <cellStyle name="40% - Accent2 3 2 5 2 3" xfId="5929"/>
    <cellStyle name="40% - Accent2 3 2 5 3" xfId="5930"/>
    <cellStyle name="40% - Accent2 3 2 5 3 2" xfId="5931"/>
    <cellStyle name="40% - Accent2 3 2 5 4" xfId="5932"/>
    <cellStyle name="40% - Accent2 3 2 6" xfId="5933"/>
    <cellStyle name="40% - Accent2 3 2 6 2" xfId="5934"/>
    <cellStyle name="40% - Accent2 3 2 6 2 2" xfId="5935"/>
    <cellStyle name="40% - Accent2 3 2 6 3" xfId="5936"/>
    <cellStyle name="40% - Accent2 3 2 7" xfId="5937"/>
    <cellStyle name="40% - Accent2 3 2 7 2" xfId="5938"/>
    <cellStyle name="40% - Accent2 3 2 8" xfId="5939"/>
    <cellStyle name="40% - Accent2 3 2 8 2" xfId="5940"/>
    <cellStyle name="40% - Accent2 3 2 9" xfId="5941"/>
    <cellStyle name="40% - Accent2 3 3" xfId="5942"/>
    <cellStyle name="40% - Accent2 3 3 10" xfId="5943"/>
    <cellStyle name="40% - Accent2 3 3 2" xfId="5944"/>
    <cellStyle name="40% - Accent2 3 3 2 2" xfId="5945"/>
    <cellStyle name="40% - Accent2 3 3 2 2 2" xfId="5946"/>
    <cellStyle name="40% - Accent2 3 3 2 2 2 2" xfId="5947"/>
    <cellStyle name="40% - Accent2 3 3 2 2 2 2 2" xfId="5948"/>
    <cellStyle name="40% - Accent2 3 3 2 2 2 3" xfId="5949"/>
    <cellStyle name="40% - Accent2 3 3 2 2 3" xfId="5950"/>
    <cellStyle name="40% - Accent2 3 3 2 2 3 2" xfId="5951"/>
    <cellStyle name="40% - Accent2 3 3 2 2 4" xfId="5952"/>
    <cellStyle name="40% - Accent2 3 3 2 3" xfId="5953"/>
    <cellStyle name="40% - Accent2 3 3 2 3 2" xfId="5954"/>
    <cellStyle name="40% - Accent2 3 3 2 3 2 2" xfId="5955"/>
    <cellStyle name="40% - Accent2 3 3 2 3 3" xfId="5956"/>
    <cellStyle name="40% - Accent2 3 3 2 4" xfId="5957"/>
    <cellStyle name="40% - Accent2 3 3 2 4 2" xfId="5958"/>
    <cellStyle name="40% - Accent2 3 3 2 5" xfId="5959"/>
    <cellStyle name="40% - Accent2 3 3 2 6" xfId="5960"/>
    <cellStyle name="40% - Accent2 3 3 2 7" xfId="5961"/>
    <cellStyle name="40% - Accent2 3 3 3" xfId="5962"/>
    <cellStyle name="40% - Accent2 3 3 3 2" xfId="5963"/>
    <cellStyle name="40% - Accent2 3 3 3 2 2" xfId="5964"/>
    <cellStyle name="40% - Accent2 3 3 3 2 2 2" xfId="5965"/>
    <cellStyle name="40% - Accent2 3 3 3 2 3" xfId="5966"/>
    <cellStyle name="40% - Accent2 3 3 3 3" xfId="5967"/>
    <cellStyle name="40% - Accent2 3 3 3 3 2" xfId="5968"/>
    <cellStyle name="40% - Accent2 3 3 3 4" xfId="5969"/>
    <cellStyle name="40% - Accent2 3 3 4" xfId="5970"/>
    <cellStyle name="40% - Accent2 3 3 4 2" xfId="5971"/>
    <cellStyle name="40% - Accent2 3 3 4 2 2" xfId="5972"/>
    <cellStyle name="40% - Accent2 3 3 4 2 2 2" xfId="5973"/>
    <cellStyle name="40% - Accent2 3 3 4 2 3" xfId="5974"/>
    <cellStyle name="40% - Accent2 3 3 4 3" xfId="5975"/>
    <cellStyle name="40% - Accent2 3 3 4 3 2" xfId="5976"/>
    <cellStyle name="40% - Accent2 3 3 4 4" xfId="5977"/>
    <cellStyle name="40% - Accent2 3 3 5" xfId="5978"/>
    <cellStyle name="40% - Accent2 3 3 5 2" xfId="5979"/>
    <cellStyle name="40% - Accent2 3 3 5 2 2" xfId="5980"/>
    <cellStyle name="40% - Accent2 3 3 5 3" xfId="5981"/>
    <cellStyle name="40% - Accent2 3 3 6" xfId="5982"/>
    <cellStyle name="40% - Accent2 3 3 6 2" xfId="5983"/>
    <cellStyle name="40% - Accent2 3 3 7" xfId="5984"/>
    <cellStyle name="40% - Accent2 3 3 7 2" xfId="5985"/>
    <cellStyle name="40% - Accent2 3 3 8" xfId="5986"/>
    <cellStyle name="40% - Accent2 3 3 9" xfId="5987"/>
    <cellStyle name="40% - Accent2 3 4" xfId="5988"/>
    <cellStyle name="40% - Accent2 3 4 2" xfId="5989"/>
    <cellStyle name="40% - Accent2 3 4 2 2" xfId="5990"/>
    <cellStyle name="40% - Accent2 3 4 2 2 2" xfId="5991"/>
    <cellStyle name="40% - Accent2 3 4 2 2 2 2" xfId="5992"/>
    <cellStyle name="40% - Accent2 3 4 2 2 3" xfId="5993"/>
    <cellStyle name="40% - Accent2 3 4 2 3" xfId="5994"/>
    <cellStyle name="40% - Accent2 3 4 2 3 2" xfId="5995"/>
    <cellStyle name="40% - Accent2 3 4 2 4" xfId="5996"/>
    <cellStyle name="40% - Accent2 3 4 3" xfId="5997"/>
    <cellStyle name="40% - Accent2 3 4 3 2" xfId="5998"/>
    <cellStyle name="40% - Accent2 3 4 3 2 2" xfId="5999"/>
    <cellStyle name="40% - Accent2 3 4 3 3" xfId="6000"/>
    <cellStyle name="40% - Accent2 3 4 4" xfId="6001"/>
    <cellStyle name="40% - Accent2 3 4 4 2" xfId="6002"/>
    <cellStyle name="40% - Accent2 3 4 5" xfId="6003"/>
    <cellStyle name="40% - Accent2 3 4 6" xfId="6004"/>
    <cellStyle name="40% - Accent2 3 4 7" xfId="6005"/>
    <cellStyle name="40% - Accent2 3 5" xfId="6006"/>
    <cellStyle name="40% - Accent2 3 5 2" xfId="6007"/>
    <cellStyle name="40% - Accent2 3 5 2 2" xfId="6008"/>
    <cellStyle name="40% - Accent2 3 5 2 2 2" xfId="6009"/>
    <cellStyle name="40% - Accent2 3 5 2 3" xfId="6010"/>
    <cellStyle name="40% - Accent2 3 5 3" xfId="6011"/>
    <cellStyle name="40% - Accent2 3 5 3 2" xfId="6012"/>
    <cellStyle name="40% - Accent2 3 5 4" xfId="6013"/>
    <cellStyle name="40% - Accent2 3 6" xfId="6014"/>
    <cellStyle name="40% - Accent2 3 6 2" xfId="6015"/>
    <cellStyle name="40% - Accent2 3 6 2 2" xfId="6016"/>
    <cellStyle name="40% - Accent2 3 6 2 2 2" xfId="6017"/>
    <cellStyle name="40% - Accent2 3 6 2 3" xfId="6018"/>
    <cellStyle name="40% - Accent2 3 6 3" xfId="6019"/>
    <cellStyle name="40% - Accent2 3 6 3 2" xfId="6020"/>
    <cellStyle name="40% - Accent2 3 6 4" xfId="6021"/>
    <cellStyle name="40% - Accent2 3 7" xfId="6022"/>
    <cellStyle name="40% - Accent2 3 7 2" xfId="6023"/>
    <cellStyle name="40% - Accent2 3 8" xfId="6024"/>
    <cellStyle name="40% - Accent2 3 8 2" xfId="6025"/>
    <cellStyle name="40% - Accent2 3 8 2 2" xfId="6026"/>
    <cellStyle name="40% - Accent2 3 8 3" xfId="6027"/>
    <cellStyle name="40% - Accent2 3 9" xfId="6028"/>
    <cellStyle name="40% - Accent2 3 9 2" xfId="6029"/>
    <cellStyle name="40% - Accent2 4" xfId="145"/>
    <cellStyle name="40% - Accent2 4 10" xfId="6030"/>
    <cellStyle name="40% - Accent2 4 11" xfId="6031"/>
    <cellStyle name="40% - Accent2 4 12" xfId="15550"/>
    <cellStyle name="40% - Accent2 4 12 2" xfId="20422"/>
    <cellStyle name="40% - Accent2 4 12 2 2" xfId="30136"/>
    <cellStyle name="40% - Accent2 4 12 2 2 2" xfId="49889"/>
    <cellStyle name="40% - Accent2 4 12 2 3" xfId="40245"/>
    <cellStyle name="40% - Accent2 4 12 3" xfId="25324"/>
    <cellStyle name="40% - Accent2 4 12 3 2" xfId="45078"/>
    <cellStyle name="40% - Accent2 4 12 4" xfId="35434"/>
    <cellStyle name="40% - Accent2 4 13" xfId="15923"/>
    <cellStyle name="40% - Accent2 4 13 2" xfId="25639"/>
    <cellStyle name="40% - Accent2 4 13 2 2" xfId="45393"/>
    <cellStyle name="40% - Accent2 4 13 3" xfId="35749"/>
    <cellStyle name="40% - Accent2 4 14" xfId="20800"/>
    <cellStyle name="40% - Accent2 4 14 2" xfId="40580"/>
    <cellStyle name="40% - Accent2 4 15" xfId="30561"/>
    <cellStyle name="40% - Accent2 4 15 2" xfId="50309"/>
    <cellStyle name="40% - Accent2 4 16" xfId="30911"/>
    <cellStyle name="40% - Accent2 4 2" xfId="146"/>
    <cellStyle name="40% - Accent2 4 2 10" xfId="6032"/>
    <cellStyle name="40% - Accent2 4 2 11" xfId="15551"/>
    <cellStyle name="40% - Accent2 4 2 11 2" xfId="20423"/>
    <cellStyle name="40% - Accent2 4 2 11 2 2" xfId="30137"/>
    <cellStyle name="40% - Accent2 4 2 11 2 2 2" xfId="49890"/>
    <cellStyle name="40% - Accent2 4 2 11 2 3" xfId="40246"/>
    <cellStyle name="40% - Accent2 4 2 11 3" xfId="25325"/>
    <cellStyle name="40% - Accent2 4 2 11 3 2" xfId="45079"/>
    <cellStyle name="40% - Accent2 4 2 11 4" xfId="35435"/>
    <cellStyle name="40% - Accent2 4 2 12" xfId="15924"/>
    <cellStyle name="40% - Accent2 4 2 12 2" xfId="25640"/>
    <cellStyle name="40% - Accent2 4 2 12 2 2" xfId="45394"/>
    <cellStyle name="40% - Accent2 4 2 12 3" xfId="35750"/>
    <cellStyle name="40% - Accent2 4 2 13" xfId="20801"/>
    <cellStyle name="40% - Accent2 4 2 13 2" xfId="40581"/>
    <cellStyle name="40% - Accent2 4 2 14" xfId="30562"/>
    <cellStyle name="40% - Accent2 4 2 14 2" xfId="50310"/>
    <cellStyle name="40% - Accent2 4 2 15" xfId="30912"/>
    <cellStyle name="40% - Accent2 4 2 2" xfId="147"/>
    <cellStyle name="40% - Accent2 4 2 2 10" xfId="15925"/>
    <cellStyle name="40% - Accent2 4 2 2 10 2" xfId="25641"/>
    <cellStyle name="40% - Accent2 4 2 2 10 2 2" xfId="45395"/>
    <cellStyle name="40% - Accent2 4 2 2 10 3" xfId="35751"/>
    <cellStyle name="40% - Accent2 4 2 2 11" xfId="20802"/>
    <cellStyle name="40% - Accent2 4 2 2 11 2" xfId="40582"/>
    <cellStyle name="40% - Accent2 4 2 2 12" xfId="30563"/>
    <cellStyle name="40% - Accent2 4 2 2 12 2" xfId="50311"/>
    <cellStyle name="40% - Accent2 4 2 2 13" xfId="30913"/>
    <cellStyle name="40% - Accent2 4 2 2 2" xfId="907"/>
    <cellStyle name="40% - Accent2 4 2 2 2 2" xfId="6033"/>
    <cellStyle name="40% - Accent2 4 2 2 2 2 2" xfId="6034"/>
    <cellStyle name="40% - Accent2 4 2 2 2 2 2 2" xfId="6035"/>
    <cellStyle name="40% - Accent2 4 2 2 2 2 3" xfId="6036"/>
    <cellStyle name="40% - Accent2 4 2 2 2 3" xfId="6037"/>
    <cellStyle name="40% - Accent2 4 2 2 2 3 2" xfId="6038"/>
    <cellStyle name="40% - Accent2 4 2 2 2 4" xfId="6039"/>
    <cellStyle name="40% - Accent2 4 2 2 2 5" xfId="16253"/>
    <cellStyle name="40% - Accent2 4 2 2 2 5 2" xfId="25969"/>
    <cellStyle name="40% - Accent2 4 2 2 2 5 2 2" xfId="45723"/>
    <cellStyle name="40% - Accent2 4 2 2 2 5 3" xfId="36079"/>
    <cellStyle name="40% - Accent2 4 2 2 2 6" xfId="21159"/>
    <cellStyle name="40% - Accent2 4 2 2 2 6 2" xfId="40914"/>
    <cellStyle name="40% - Accent2 4 2 2 2 7" xfId="31270"/>
    <cellStyle name="40% - Accent2 4 2 2 3" xfId="908"/>
    <cellStyle name="40% - Accent2 4 2 2 3 2" xfId="6040"/>
    <cellStyle name="40% - Accent2 4 2 2 3 2 2" xfId="6041"/>
    <cellStyle name="40% - Accent2 4 2 2 3 2 2 2" xfId="6042"/>
    <cellStyle name="40% - Accent2 4 2 2 3 2 3" xfId="6043"/>
    <cellStyle name="40% - Accent2 4 2 2 3 3" xfId="6044"/>
    <cellStyle name="40% - Accent2 4 2 2 3 3 2" xfId="6045"/>
    <cellStyle name="40% - Accent2 4 2 2 3 4" xfId="6046"/>
    <cellStyle name="40% - Accent2 4 2 2 3 5" xfId="16254"/>
    <cellStyle name="40% - Accent2 4 2 2 3 5 2" xfId="25970"/>
    <cellStyle name="40% - Accent2 4 2 2 3 5 2 2" xfId="45724"/>
    <cellStyle name="40% - Accent2 4 2 2 3 5 3" xfId="36080"/>
    <cellStyle name="40% - Accent2 4 2 2 3 6" xfId="21160"/>
    <cellStyle name="40% - Accent2 4 2 2 3 6 2" xfId="40915"/>
    <cellStyle name="40% - Accent2 4 2 2 3 7" xfId="31271"/>
    <cellStyle name="40% - Accent2 4 2 2 4" xfId="6047"/>
    <cellStyle name="40% - Accent2 4 2 2 4 2" xfId="6048"/>
    <cellStyle name="40% - Accent2 4 2 2 4 2 2" xfId="6049"/>
    <cellStyle name="40% - Accent2 4 2 2 4 3" xfId="6050"/>
    <cellStyle name="40% - Accent2 4 2 2 5" xfId="6051"/>
    <cellStyle name="40% - Accent2 4 2 2 5 2" xfId="6052"/>
    <cellStyle name="40% - Accent2 4 2 2 6" xfId="6053"/>
    <cellStyle name="40% - Accent2 4 2 2 7" xfId="6054"/>
    <cellStyle name="40% - Accent2 4 2 2 8" xfId="6055"/>
    <cellStyle name="40% - Accent2 4 2 2 9" xfId="15552"/>
    <cellStyle name="40% - Accent2 4 2 2 9 2" xfId="20424"/>
    <cellStyle name="40% - Accent2 4 2 2 9 2 2" xfId="30138"/>
    <cellStyle name="40% - Accent2 4 2 2 9 2 2 2" xfId="49891"/>
    <cellStyle name="40% - Accent2 4 2 2 9 2 3" xfId="40247"/>
    <cellStyle name="40% - Accent2 4 2 2 9 3" xfId="25326"/>
    <cellStyle name="40% - Accent2 4 2 2 9 3 2" xfId="45080"/>
    <cellStyle name="40% - Accent2 4 2 2 9 4" xfId="35436"/>
    <cellStyle name="40% - Accent2 4 2 3" xfId="909"/>
    <cellStyle name="40% - Accent2 4 2 3 2" xfId="6056"/>
    <cellStyle name="40% - Accent2 4 2 3 2 2" xfId="6057"/>
    <cellStyle name="40% - Accent2 4 2 3 2 2 2" xfId="6058"/>
    <cellStyle name="40% - Accent2 4 2 3 2 3" xfId="6059"/>
    <cellStyle name="40% - Accent2 4 2 3 3" xfId="6060"/>
    <cellStyle name="40% - Accent2 4 2 3 3 2" xfId="6061"/>
    <cellStyle name="40% - Accent2 4 2 3 4" xfId="6062"/>
    <cellStyle name="40% - Accent2 4 2 3 5" xfId="16255"/>
    <cellStyle name="40% - Accent2 4 2 3 5 2" xfId="25971"/>
    <cellStyle name="40% - Accent2 4 2 3 5 2 2" xfId="45725"/>
    <cellStyle name="40% - Accent2 4 2 3 5 3" xfId="36081"/>
    <cellStyle name="40% - Accent2 4 2 3 6" xfId="21161"/>
    <cellStyle name="40% - Accent2 4 2 3 6 2" xfId="40916"/>
    <cellStyle name="40% - Accent2 4 2 3 7" xfId="31272"/>
    <cellStyle name="40% - Accent2 4 2 4" xfId="910"/>
    <cellStyle name="40% - Accent2 4 2 4 2" xfId="6063"/>
    <cellStyle name="40% - Accent2 4 2 4 2 2" xfId="6064"/>
    <cellStyle name="40% - Accent2 4 2 4 2 2 2" xfId="6065"/>
    <cellStyle name="40% - Accent2 4 2 4 2 3" xfId="6066"/>
    <cellStyle name="40% - Accent2 4 2 4 3" xfId="6067"/>
    <cellStyle name="40% - Accent2 4 2 4 3 2" xfId="6068"/>
    <cellStyle name="40% - Accent2 4 2 4 4" xfId="6069"/>
    <cellStyle name="40% - Accent2 4 2 4 5" xfId="16256"/>
    <cellStyle name="40% - Accent2 4 2 4 5 2" xfId="25972"/>
    <cellStyle name="40% - Accent2 4 2 4 5 2 2" xfId="45726"/>
    <cellStyle name="40% - Accent2 4 2 4 5 3" xfId="36082"/>
    <cellStyle name="40% - Accent2 4 2 4 6" xfId="21162"/>
    <cellStyle name="40% - Accent2 4 2 4 6 2" xfId="40917"/>
    <cellStyle name="40% - Accent2 4 2 4 7" xfId="31273"/>
    <cellStyle name="40% - Accent2 4 2 5" xfId="6070"/>
    <cellStyle name="40% - Accent2 4 2 5 2" xfId="6071"/>
    <cellStyle name="40% - Accent2 4 2 5 2 2" xfId="6072"/>
    <cellStyle name="40% - Accent2 4 2 5 3" xfId="6073"/>
    <cellStyle name="40% - Accent2 4 2 6" xfId="6074"/>
    <cellStyle name="40% - Accent2 4 2 6 2" xfId="6075"/>
    <cellStyle name="40% - Accent2 4 2 7" xfId="6076"/>
    <cellStyle name="40% - Accent2 4 2 7 2" xfId="6077"/>
    <cellStyle name="40% - Accent2 4 2 8" xfId="6078"/>
    <cellStyle name="40% - Accent2 4 2 9" xfId="6079"/>
    <cellStyle name="40% - Accent2 4 3" xfId="148"/>
    <cellStyle name="40% - Accent2 4 3 10" xfId="15926"/>
    <cellStyle name="40% - Accent2 4 3 10 2" xfId="25642"/>
    <cellStyle name="40% - Accent2 4 3 10 2 2" xfId="45396"/>
    <cellStyle name="40% - Accent2 4 3 10 3" xfId="35752"/>
    <cellStyle name="40% - Accent2 4 3 11" xfId="20803"/>
    <cellStyle name="40% - Accent2 4 3 11 2" xfId="40583"/>
    <cellStyle name="40% - Accent2 4 3 12" xfId="30564"/>
    <cellStyle name="40% - Accent2 4 3 12 2" xfId="50312"/>
    <cellStyle name="40% - Accent2 4 3 13" xfId="30914"/>
    <cellStyle name="40% - Accent2 4 3 2" xfId="911"/>
    <cellStyle name="40% - Accent2 4 3 2 2" xfId="6080"/>
    <cellStyle name="40% - Accent2 4 3 2 2 2" xfId="6081"/>
    <cellStyle name="40% - Accent2 4 3 2 2 2 2" xfId="6082"/>
    <cellStyle name="40% - Accent2 4 3 2 2 3" xfId="6083"/>
    <cellStyle name="40% - Accent2 4 3 2 3" xfId="6084"/>
    <cellStyle name="40% - Accent2 4 3 2 3 2" xfId="6085"/>
    <cellStyle name="40% - Accent2 4 3 2 4" xfId="6086"/>
    <cellStyle name="40% - Accent2 4 3 2 5" xfId="16257"/>
    <cellStyle name="40% - Accent2 4 3 2 5 2" xfId="25973"/>
    <cellStyle name="40% - Accent2 4 3 2 5 2 2" xfId="45727"/>
    <cellStyle name="40% - Accent2 4 3 2 5 3" xfId="36083"/>
    <cellStyle name="40% - Accent2 4 3 2 6" xfId="21163"/>
    <cellStyle name="40% - Accent2 4 3 2 6 2" xfId="40918"/>
    <cellStyle name="40% - Accent2 4 3 2 7" xfId="31274"/>
    <cellStyle name="40% - Accent2 4 3 3" xfId="912"/>
    <cellStyle name="40% - Accent2 4 3 3 2" xfId="6087"/>
    <cellStyle name="40% - Accent2 4 3 3 2 2" xfId="6088"/>
    <cellStyle name="40% - Accent2 4 3 3 2 2 2" xfId="6089"/>
    <cellStyle name="40% - Accent2 4 3 3 2 3" xfId="6090"/>
    <cellStyle name="40% - Accent2 4 3 3 3" xfId="6091"/>
    <cellStyle name="40% - Accent2 4 3 3 3 2" xfId="6092"/>
    <cellStyle name="40% - Accent2 4 3 3 4" xfId="6093"/>
    <cellStyle name="40% - Accent2 4 3 3 5" xfId="16258"/>
    <cellStyle name="40% - Accent2 4 3 3 5 2" xfId="25974"/>
    <cellStyle name="40% - Accent2 4 3 3 5 2 2" xfId="45728"/>
    <cellStyle name="40% - Accent2 4 3 3 5 3" xfId="36084"/>
    <cellStyle name="40% - Accent2 4 3 3 6" xfId="21164"/>
    <cellStyle name="40% - Accent2 4 3 3 6 2" xfId="40919"/>
    <cellStyle name="40% - Accent2 4 3 3 7" xfId="31275"/>
    <cellStyle name="40% - Accent2 4 3 4" xfId="6094"/>
    <cellStyle name="40% - Accent2 4 3 4 2" xfId="6095"/>
    <cellStyle name="40% - Accent2 4 3 4 2 2" xfId="6096"/>
    <cellStyle name="40% - Accent2 4 3 4 3" xfId="6097"/>
    <cellStyle name="40% - Accent2 4 3 5" xfId="6098"/>
    <cellStyle name="40% - Accent2 4 3 5 2" xfId="6099"/>
    <cellStyle name="40% - Accent2 4 3 6" xfId="6100"/>
    <cellStyle name="40% - Accent2 4 3 7" xfId="6101"/>
    <cellStyle name="40% - Accent2 4 3 8" xfId="6102"/>
    <cellStyle name="40% - Accent2 4 3 9" xfId="15553"/>
    <cellStyle name="40% - Accent2 4 3 9 2" xfId="20425"/>
    <cellStyle name="40% - Accent2 4 3 9 2 2" xfId="30139"/>
    <cellStyle name="40% - Accent2 4 3 9 2 2 2" xfId="49892"/>
    <cellStyle name="40% - Accent2 4 3 9 2 3" xfId="40248"/>
    <cellStyle name="40% - Accent2 4 3 9 3" xfId="25327"/>
    <cellStyle name="40% - Accent2 4 3 9 3 2" xfId="45081"/>
    <cellStyle name="40% - Accent2 4 3 9 4" xfId="35437"/>
    <cellStyle name="40% - Accent2 4 4" xfId="913"/>
    <cellStyle name="40% - Accent2 4 4 2" xfId="6103"/>
    <cellStyle name="40% - Accent2 4 4 2 2" xfId="6104"/>
    <cellStyle name="40% - Accent2 4 4 2 2 2" xfId="6105"/>
    <cellStyle name="40% - Accent2 4 4 2 3" xfId="6106"/>
    <cellStyle name="40% - Accent2 4 4 3" xfId="6107"/>
    <cellStyle name="40% - Accent2 4 4 3 2" xfId="6108"/>
    <cellStyle name="40% - Accent2 4 4 4" xfId="6109"/>
    <cellStyle name="40% - Accent2 4 4 5" xfId="16259"/>
    <cellStyle name="40% - Accent2 4 4 5 2" xfId="25975"/>
    <cellStyle name="40% - Accent2 4 4 5 2 2" xfId="45729"/>
    <cellStyle name="40% - Accent2 4 4 5 3" xfId="36085"/>
    <cellStyle name="40% - Accent2 4 4 6" xfId="21165"/>
    <cellStyle name="40% - Accent2 4 4 6 2" xfId="40920"/>
    <cellStyle name="40% - Accent2 4 4 7" xfId="31276"/>
    <cellStyle name="40% - Accent2 4 5" xfId="914"/>
    <cellStyle name="40% - Accent2 4 5 2" xfId="6110"/>
    <cellStyle name="40% - Accent2 4 5 2 2" xfId="6111"/>
    <cellStyle name="40% - Accent2 4 5 2 2 2" xfId="6112"/>
    <cellStyle name="40% - Accent2 4 5 2 3" xfId="6113"/>
    <cellStyle name="40% - Accent2 4 5 3" xfId="6114"/>
    <cellStyle name="40% - Accent2 4 5 3 2" xfId="6115"/>
    <cellStyle name="40% - Accent2 4 5 4" xfId="6116"/>
    <cellStyle name="40% - Accent2 4 5 5" xfId="16260"/>
    <cellStyle name="40% - Accent2 4 5 5 2" xfId="25976"/>
    <cellStyle name="40% - Accent2 4 5 5 2 2" xfId="45730"/>
    <cellStyle name="40% - Accent2 4 5 5 3" xfId="36086"/>
    <cellStyle name="40% - Accent2 4 5 6" xfId="21166"/>
    <cellStyle name="40% - Accent2 4 5 6 2" xfId="40921"/>
    <cellStyle name="40% - Accent2 4 5 7" xfId="31277"/>
    <cellStyle name="40% - Accent2 4 6" xfId="6117"/>
    <cellStyle name="40% - Accent2 4 6 2" xfId="6118"/>
    <cellStyle name="40% - Accent2 4 6 2 2" xfId="6119"/>
    <cellStyle name="40% - Accent2 4 6 3" xfId="6120"/>
    <cellStyle name="40% - Accent2 4 7" xfId="6121"/>
    <cellStyle name="40% - Accent2 4 7 2" xfId="6122"/>
    <cellStyle name="40% - Accent2 4 8" xfId="6123"/>
    <cellStyle name="40% - Accent2 4 8 2" xfId="6124"/>
    <cellStyle name="40% - Accent2 4 9" xfId="6125"/>
    <cellStyle name="40% - Accent2 5" xfId="149"/>
    <cellStyle name="40% - Accent2 5 10" xfId="6126"/>
    <cellStyle name="40% - Accent2 5 11" xfId="15554"/>
    <cellStyle name="40% - Accent2 5 11 2" xfId="20426"/>
    <cellStyle name="40% - Accent2 5 11 2 2" xfId="30140"/>
    <cellStyle name="40% - Accent2 5 11 2 2 2" xfId="49893"/>
    <cellStyle name="40% - Accent2 5 11 2 3" xfId="40249"/>
    <cellStyle name="40% - Accent2 5 11 3" xfId="25328"/>
    <cellStyle name="40% - Accent2 5 11 3 2" xfId="45082"/>
    <cellStyle name="40% - Accent2 5 11 4" xfId="35438"/>
    <cellStyle name="40% - Accent2 5 12" xfId="15927"/>
    <cellStyle name="40% - Accent2 5 12 2" xfId="25643"/>
    <cellStyle name="40% - Accent2 5 12 2 2" xfId="45397"/>
    <cellStyle name="40% - Accent2 5 12 3" xfId="35753"/>
    <cellStyle name="40% - Accent2 5 13" xfId="20804"/>
    <cellStyle name="40% - Accent2 5 13 2" xfId="40584"/>
    <cellStyle name="40% - Accent2 5 14" xfId="30565"/>
    <cellStyle name="40% - Accent2 5 14 2" xfId="50313"/>
    <cellStyle name="40% - Accent2 5 15" xfId="30915"/>
    <cellStyle name="40% - Accent2 5 2" xfId="150"/>
    <cellStyle name="40% - Accent2 5 2 10" xfId="15928"/>
    <cellStyle name="40% - Accent2 5 2 10 2" xfId="25644"/>
    <cellStyle name="40% - Accent2 5 2 10 2 2" xfId="45398"/>
    <cellStyle name="40% - Accent2 5 2 10 3" xfId="35754"/>
    <cellStyle name="40% - Accent2 5 2 11" xfId="20805"/>
    <cellStyle name="40% - Accent2 5 2 11 2" xfId="40585"/>
    <cellStyle name="40% - Accent2 5 2 12" xfId="30566"/>
    <cellStyle name="40% - Accent2 5 2 12 2" xfId="50314"/>
    <cellStyle name="40% - Accent2 5 2 13" xfId="30916"/>
    <cellStyle name="40% - Accent2 5 2 2" xfId="915"/>
    <cellStyle name="40% - Accent2 5 2 2 2" xfId="6127"/>
    <cellStyle name="40% - Accent2 5 2 2 2 2" xfId="6128"/>
    <cellStyle name="40% - Accent2 5 2 2 2 2 2" xfId="6129"/>
    <cellStyle name="40% - Accent2 5 2 2 2 3" xfId="6130"/>
    <cellStyle name="40% - Accent2 5 2 2 3" xfId="6131"/>
    <cellStyle name="40% - Accent2 5 2 2 3 2" xfId="6132"/>
    <cellStyle name="40% - Accent2 5 2 2 4" xfId="6133"/>
    <cellStyle name="40% - Accent2 5 2 2 5" xfId="16261"/>
    <cellStyle name="40% - Accent2 5 2 2 5 2" xfId="25977"/>
    <cellStyle name="40% - Accent2 5 2 2 5 2 2" xfId="45731"/>
    <cellStyle name="40% - Accent2 5 2 2 5 3" xfId="36087"/>
    <cellStyle name="40% - Accent2 5 2 2 6" xfId="21167"/>
    <cellStyle name="40% - Accent2 5 2 2 6 2" xfId="40922"/>
    <cellStyle name="40% - Accent2 5 2 2 7" xfId="31278"/>
    <cellStyle name="40% - Accent2 5 2 3" xfId="916"/>
    <cellStyle name="40% - Accent2 5 2 3 2" xfId="6134"/>
    <cellStyle name="40% - Accent2 5 2 3 2 2" xfId="6135"/>
    <cellStyle name="40% - Accent2 5 2 3 2 2 2" xfId="6136"/>
    <cellStyle name="40% - Accent2 5 2 3 2 3" xfId="6137"/>
    <cellStyle name="40% - Accent2 5 2 3 3" xfId="6138"/>
    <cellStyle name="40% - Accent2 5 2 3 3 2" xfId="6139"/>
    <cellStyle name="40% - Accent2 5 2 3 4" xfId="6140"/>
    <cellStyle name="40% - Accent2 5 2 3 5" xfId="16262"/>
    <cellStyle name="40% - Accent2 5 2 3 5 2" xfId="25978"/>
    <cellStyle name="40% - Accent2 5 2 3 5 2 2" xfId="45732"/>
    <cellStyle name="40% - Accent2 5 2 3 5 3" xfId="36088"/>
    <cellStyle name="40% - Accent2 5 2 3 6" xfId="21168"/>
    <cellStyle name="40% - Accent2 5 2 3 6 2" xfId="40923"/>
    <cellStyle name="40% - Accent2 5 2 3 7" xfId="31279"/>
    <cellStyle name="40% - Accent2 5 2 4" xfId="6141"/>
    <cellStyle name="40% - Accent2 5 2 4 2" xfId="6142"/>
    <cellStyle name="40% - Accent2 5 2 4 2 2" xfId="6143"/>
    <cellStyle name="40% - Accent2 5 2 4 3" xfId="6144"/>
    <cellStyle name="40% - Accent2 5 2 5" xfId="6145"/>
    <cellStyle name="40% - Accent2 5 2 5 2" xfId="6146"/>
    <cellStyle name="40% - Accent2 5 2 6" xfId="6147"/>
    <cellStyle name="40% - Accent2 5 2 7" xfId="6148"/>
    <cellStyle name="40% - Accent2 5 2 8" xfId="6149"/>
    <cellStyle name="40% - Accent2 5 2 9" xfId="15555"/>
    <cellStyle name="40% - Accent2 5 2 9 2" xfId="20427"/>
    <cellStyle name="40% - Accent2 5 2 9 2 2" xfId="30141"/>
    <cellStyle name="40% - Accent2 5 2 9 2 2 2" xfId="49894"/>
    <cellStyle name="40% - Accent2 5 2 9 2 3" xfId="40250"/>
    <cellStyle name="40% - Accent2 5 2 9 3" xfId="25329"/>
    <cellStyle name="40% - Accent2 5 2 9 3 2" xfId="45083"/>
    <cellStyle name="40% - Accent2 5 2 9 4" xfId="35439"/>
    <cellStyle name="40% - Accent2 5 3" xfId="917"/>
    <cellStyle name="40% - Accent2 5 3 2" xfId="6150"/>
    <cellStyle name="40% - Accent2 5 3 2 2" xfId="6151"/>
    <cellStyle name="40% - Accent2 5 3 2 2 2" xfId="6152"/>
    <cellStyle name="40% - Accent2 5 3 2 3" xfId="6153"/>
    <cellStyle name="40% - Accent2 5 3 3" xfId="6154"/>
    <cellStyle name="40% - Accent2 5 3 3 2" xfId="6155"/>
    <cellStyle name="40% - Accent2 5 3 4" xfId="6156"/>
    <cellStyle name="40% - Accent2 5 3 5" xfId="16263"/>
    <cellStyle name="40% - Accent2 5 3 5 2" xfId="25979"/>
    <cellStyle name="40% - Accent2 5 3 5 2 2" xfId="45733"/>
    <cellStyle name="40% - Accent2 5 3 5 3" xfId="36089"/>
    <cellStyle name="40% - Accent2 5 3 6" xfId="21169"/>
    <cellStyle name="40% - Accent2 5 3 6 2" xfId="40924"/>
    <cellStyle name="40% - Accent2 5 3 7" xfId="31280"/>
    <cellStyle name="40% - Accent2 5 4" xfId="918"/>
    <cellStyle name="40% - Accent2 5 4 2" xfId="6157"/>
    <cellStyle name="40% - Accent2 5 4 2 2" xfId="6158"/>
    <cellStyle name="40% - Accent2 5 4 2 2 2" xfId="6159"/>
    <cellStyle name="40% - Accent2 5 4 2 3" xfId="6160"/>
    <cellStyle name="40% - Accent2 5 4 3" xfId="6161"/>
    <cellStyle name="40% - Accent2 5 4 3 2" xfId="6162"/>
    <cellStyle name="40% - Accent2 5 4 4" xfId="6163"/>
    <cellStyle name="40% - Accent2 5 4 5" xfId="16264"/>
    <cellStyle name="40% - Accent2 5 4 5 2" xfId="25980"/>
    <cellStyle name="40% - Accent2 5 4 5 2 2" xfId="45734"/>
    <cellStyle name="40% - Accent2 5 4 5 3" xfId="36090"/>
    <cellStyle name="40% - Accent2 5 4 6" xfId="21170"/>
    <cellStyle name="40% - Accent2 5 4 6 2" xfId="40925"/>
    <cellStyle name="40% - Accent2 5 4 7" xfId="31281"/>
    <cellStyle name="40% - Accent2 5 5" xfId="6164"/>
    <cellStyle name="40% - Accent2 5 5 2" xfId="6165"/>
    <cellStyle name="40% - Accent2 5 5 2 2" xfId="6166"/>
    <cellStyle name="40% - Accent2 5 5 3" xfId="6167"/>
    <cellStyle name="40% - Accent2 5 6" xfId="6168"/>
    <cellStyle name="40% - Accent2 5 6 2" xfId="6169"/>
    <cellStyle name="40% - Accent2 5 7" xfId="6170"/>
    <cellStyle name="40% - Accent2 5 7 2" xfId="6171"/>
    <cellStyle name="40% - Accent2 5 8" xfId="6172"/>
    <cellStyle name="40% - Accent2 5 9" xfId="6173"/>
    <cellStyle name="40% - Accent2 6" xfId="151"/>
    <cellStyle name="40% - Accent2 6 10" xfId="6174"/>
    <cellStyle name="40% - Accent2 6 11" xfId="15556"/>
    <cellStyle name="40% - Accent2 6 11 2" xfId="20428"/>
    <cellStyle name="40% - Accent2 6 11 2 2" xfId="30142"/>
    <cellStyle name="40% - Accent2 6 11 2 2 2" xfId="49895"/>
    <cellStyle name="40% - Accent2 6 11 2 3" xfId="40251"/>
    <cellStyle name="40% - Accent2 6 11 3" xfId="25330"/>
    <cellStyle name="40% - Accent2 6 11 3 2" xfId="45084"/>
    <cellStyle name="40% - Accent2 6 11 4" xfId="35440"/>
    <cellStyle name="40% - Accent2 6 12" xfId="15929"/>
    <cellStyle name="40% - Accent2 6 12 2" xfId="25645"/>
    <cellStyle name="40% - Accent2 6 12 2 2" xfId="45399"/>
    <cellStyle name="40% - Accent2 6 12 3" xfId="35755"/>
    <cellStyle name="40% - Accent2 6 13" xfId="20806"/>
    <cellStyle name="40% - Accent2 6 13 2" xfId="40586"/>
    <cellStyle name="40% - Accent2 6 14" xfId="30567"/>
    <cellStyle name="40% - Accent2 6 14 2" xfId="50315"/>
    <cellStyle name="40% - Accent2 6 15" xfId="30917"/>
    <cellStyle name="40% - Accent2 6 2" xfId="152"/>
    <cellStyle name="40% - Accent2 6 2 10" xfId="15930"/>
    <cellStyle name="40% - Accent2 6 2 10 2" xfId="25646"/>
    <cellStyle name="40% - Accent2 6 2 10 2 2" xfId="45400"/>
    <cellStyle name="40% - Accent2 6 2 10 3" xfId="35756"/>
    <cellStyle name="40% - Accent2 6 2 11" xfId="20807"/>
    <cellStyle name="40% - Accent2 6 2 11 2" xfId="40587"/>
    <cellStyle name="40% - Accent2 6 2 12" xfId="30568"/>
    <cellStyle name="40% - Accent2 6 2 12 2" xfId="50316"/>
    <cellStyle name="40% - Accent2 6 2 13" xfId="30918"/>
    <cellStyle name="40% - Accent2 6 2 2" xfId="919"/>
    <cellStyle name="40% - Accent2 6 2 2 2" xfId="6175"/>
    <cellStyle name="40% - Accent2 6 2 2 2 2" xfId="6176"/>
    <cellStyle name="40% - Accent2 6 2 2 2 2 2" xfId="6177"/>
    <cellStyle name="40% - Accent2 6 2 2 2 3" xfId="6178"/>
    <cellStyle name="40% - Accent2 6 2 2 3" xfId="6179"/>
    <cellStyle name="40% - Accent2 6 2 2 3 2" xfId="6180"/>
    <cellStyle name="40% - Accent2 6 2 2 4" xfId="6181"/>
    <cellStyle name="40% - Accent2 6 2 2 5" xfId="16265"/>
    <cellStyle name="40% - Accent2 6 2 2 5 2" xfId="25981"/>
    <cellStyle name="40% - Accent2 6 2 2 5 2 2" xfId="45735"/>
    <cellStyle name="40% - Accent2 6 2 2 5 3" xfId="36091"/>
    <cellStyle name="40% - Accent2 6 2 2 6" xfId="21171"/>
    <cellStyle name="40% - Accent2 6 2 2 6 2" xfId="40926"/>
    <cellStyle name="40% - Accent2 6 2 2 7" xfId="31282"/>
    <cellStyle name="40% - Accent2 6 2 3" xfId="920"/>
    <cellStyle name="40% - Accent2 6 2 3 2" xfId="6182"/>
    <cellStyle name="40% - Accent2 6 2 3 2 2" xfId="6183"/>
    <cellStyle name="40% - Accent2 6 2 3 2 2 2" xfId="6184"/>
    <cellStyle name="40% - Accent2 6 2 3 2 3" xfId="6185"/>
    <cellStyle name="40% - Accent2 6 2 3 3" xfId="6186"/>
    <cellStyle name="40% - Accent2 6 2 3 3 2" xfId="6187"/>
    <cellStyle name="40% - Accent2 6 2 3 4" xfId="6188"/>
    <cellStyle name="40% - Accent2 6 2 3 5" xfId="16266"/>
    <cellStyle name="40% - Accent2 6 2 3 5 2" xfId="25982"/>
    <cellStyle name="40% - Accent2 6 2 3 5 2 2" xfId="45736"/>
    <cellStyle name="40% - Accent2 6 2 3 5 3" xfId="36092"/>
    <cellStyle name="40% - Accent2 6 2 3 6" xfId="21172"/>
    <cellStyle name="40% - Accent2 6 2 3 6 2" xfId="40927"/>
    <cellStyle name="40% - Accent2 6 2 3 7" xfId="31283"/>
    <cellStyle name="40% - Accent2 6 2 4" xfId="6189"/>
    <cellStyle name="40% - Accent2 6 2 4 2" xfId="6190"/>
    <cellStyle name="40% - Accent2 6 2 4 2 2" xfId="6191"/>
    <cellStyle name="40% - Accent2 6 2 4 3" xfId="6192"/>
    <cellStyle name="40% - Accent2 6 2 5" xfId="6193"/>
    <cellStyle name="40% - Accent2 6 2 5 2" xfId="6194"/>
    <cellStyle name="40% - Accent2 6 2 6" xfId="6195"/>
    <cellStyle name="40% - Accent2 6 2 7" xfId="6196"/>
    <cellStyle name="40% - Accent2 6 2 8" xfId="6197"/>
    <cellStyle name="40% - Accent2 6 2 9" xfId="15557"/>
    <cellStyle name="40% - Accent2 6 2 9 2" xfId="20429"/>
    <cellStyle name="40% - Accent2 6 2 9 2 2" xfId="30143"/>
    <cellStyle name="40% - Accent2 6 2 9 2 2 2" xfId="49896"/>
    <cellStyle name="40% - Accent2 6 2 9 2 3" xfId="40252"/>
    <cellStyle name="40% - Accent2 6 2 9 3" xfId="25331"/>
    <cellStyle name="40% - Accent2 6 2 9 3 2" xfId="45085"/>
    <cellStyle name="40% - Accent2 6 2 9 4" xfId="35441"/>
    <cellStyle name="40% - Accent2 6 3" xfId="921"/>
    <cellStyle name="40% - Accent2 6 3 2" xfId="6198"/>
    <cellStyle name="40% - Accent2 6 3 2 2" xfId="6199"/>
    <cellStyle name="40% - Accent2 6 3 2 2 2" xfId="6200"/>
    <cellStyle name="40% - Accent2 6 3 2 3" xfId="6201"/>
    <cellStyle name="40% - Accent2 6 3 3" xfId="6202"/>
    <cellStyle name="40% - Accent2 6 3 3 2" xfId="6203"/>
    <cellStyle name="40% - Accent2 6 3 4" xfId="6204"/>
    <cellStyle name="40% - Accent2 6 3 5" xfId="16267"/>
    <cellStyle name="40% - Accent2 6 3 5 2" xfId="25983"/>
    <cellStyle name="40% - Accent2 6 3 5 2 2" xfId="45737"/>
    <cellStyle name="40% - Accent2 6 3 5 3" xfId="36093"/>
    <cellStyle name="40% - Accent2 6 3 6" xfId="21173"/>
    <cellStyle name="40% - Accent2 6 3 6 2" xfId="40928"/>
    <cellStyle name="40% - Accent2 6 3 7" xfId="31284"/>
    <cellStyle name="40% - Accent2 6 4" xfId="922"/>
    <cellStyle name="40% - Accent2 6 4 2" xfId="6205"/>
    <cellStyle name="40% - Accent2 6 4 2 2" xfId="6206"/>
    <cellStyle name="40% - Accent2 6 4 2 2 2" xfId="6207"/>
    <cellStyle name="40% - Accent2 6 4 2 3" xfId="6208"/>
    <cellStyle name="40% - Accent2 6 4 3" xfId="6209"/>
    <cellStyle name="40% - Accent2 6 4 3 2" xfId="6210"/>
    <cellStyle name="40% - Accent2 6 4 4" xfId="6211"/>
    <cellStyle name="40% - Accent2 6 4 5" xfId="16268"/>
    <cellStyle name="40% - Accent2 6 4 5 2" xfId="25984"/>
    <cellStyle name="40% - Accent2 6 4 5 2 2" xfId="45738"/>
    <cellStyle name="40% - Accent2 6 4 5 3" xfId="36094"/>
    <cellStyle name="40% - Accent2 6 4 6" xfId="21174"/>
    <cellStyle name="40% - Accent2 6 4 6 2" xfId="40929"/>
    <cellStyle name="40% - Accent2 6 4 7" xfId="31285"/>
    <cellStyle name="40% - Accent2 6 5" xfId="6212"/>
    <cellStyle name="40% - Accent2 6 5 2" xfId="6213"/>
    <cellStyle name="40% - Accent2 6 5 2 2" xfId="6214"/>
    <cellStyle name="40% - Accent2 6 5 3" xfId="6215"/>
    <cellStyle name="40% - Accent2 6 6" xfId="6216"/>
    <cellStyle name="40% - Accent2 6 6 2" xfId="6217"/>
    <cellStyle name="40% - Accent2 6 7" xfId="6218"/>
    <cellStyle name="40% - Accent2 6 7 2" xfId="6219"/>
    <cellStyle name="40% - Accent2 6 8" xfId="6220"/>
    <cellStyle name="40% - Accent2 6 9" xfId="6221"/>
    <cellStyle name="40% - Accent2 7" xfId="153"/>
    <cellStyle name="40% - Accent2 7 10" xfId="30919"/>
    <cellStyle name="40% - Accent2 7 2" xfId="154"/>
    <cellStyle name="40% - Accent2 7 2 2" xfId="923"/>
    <cellStyle name="40% - Accent2 7 2 2 2" xfId="6222"/>
    <cellStyle name="40% - Accent2 7 2 2 2 2" xfId="6223"/>
    <cellStyle name="40% - Accent2 7 2 2 3" xfId="6224"/>
    <cellStyle name="40% - Accent2 7 2 2 4" xfId="16269"/>
    <cellStyle name="40% - Accent2 7 2 2 4 2" xfId="25985"/>
    <cellStyle name="40% - Accent2 7 2 2 4 2 2" xfId="45739"/>
    <cellStyle name="40% - Accent2 7 2 2 4 3" xfId="36095"/>
    <cellStyle name="40% - Accent2 7 2 2 5" xfId="21175"/>
    <cellStyle name="40% - Accent2 7 2 2 5 2" xfId="40930"/>
    <cellStyle name="40% - Accent2 7 2 2 6" xfId="31286"/>
    <cellStyle name="40% - Accent2 7 2 3" xfId="924"/>
    <cellStyle name="40% - Accent2 7 2 3 2" xfId="6225"/>
    <cellStyle name="40% - Accent2 7 2 3 3" xfId="16270"/>
    <cellStyle name="40% - Accent2 7 2 3 3 2" xfId="25986"/>
    <cellStyle name="40% - Accent2 7 2 3 3 2 2" xfId="45740"/>
    <cellStyle name="40% - Accent2 7 2 3 3 3" xfId="36096"/>
    <cellStyle name="40% - Accent2 7 2 3 4" xfId="21176"/>
    <cellStyle name="40% - Accent2 7 2 3 4 2" xfId="40931"/>
    <cellStyle name="40% - Accent2 7 2 3 5" xfId="31287"/>
    <cellStyle name="40% - Accent2 7 2 4" xfId="6226"/>
    <cellStyle name="40% - Accent2 7 2 5" xfId="15559"/>
    <cellStyle name="40% - Accent2 7 2 5 2" xfId="20431"/>
    <cellStyle name="40% - Accent2 7 2 5 2 2" xfId="30145"/>
    <cellStyle name="40% - Accent2 7 2 5 2 2 2" xfId="49898"/>
    <cellStyle name="40% - Accent2 7 2 5 2 3" xfId="40254"/>
    <cellStyle name="40% - Accent2 7 2 5 3" xfId="25333"/>
    <cellStyle name="40% - Accent2 7 2 5 3 2" xfId="45087"/>
    <cellStyle name="40% - Accent2 7 2 5 4" xfId="35443"/>
    <cellStyle name="40% - Accent2 7 2 6" xfId="15932"/>
    <cellStyle name="40% - Accent2 7 2 6 2" xfId="25648"/>
    <cellStyle name="40% - Accent2 7 2 6 2 2" xfId="45402"/>
    <cellStyle name="40% - Accent2 7 2 6 3" xfId="35758"/>
    <cellStyle name="40% - Accent2 7 2 7" xfId="20809"/>
    <cellStyle name="40% - Accent2 7 2 7 2" xfId="40589"/>
    <cellStyle name="40% - Accent2 7 2 8" xfId="30570"/>
    <cellStyle name="40% - Accent2 7 2 8 2" xfId="50318"/>
    <cellStyle name="40% - Accent2 7 2 9" xfId="30920"/>
    <cellStyle name="40% - Accent2 7 3" xfId="925"/>
    <cellStyle name="40% - Accent2 7 3 2" xfId="6227"/>
    <cellStyle name="40% - Accent2 7 3 2 2" xfId="6228"/>
    <cellStyle name="40% - Accent2 7 3 3" xfId="6229"/>
    <cellStyle name="40% - Accent2 7 3 4" xfId="16271"/>
    <cellStyle name="40% - Accent2 7 3 4 2" xfId="25987"/>
    <cellStyle name="40% - Accent2 7 3 4 2 2" xfId="45741"/>
    <cellStyle name="40% - Accent2 7 3 4 3" xfId="36097"/>
    <cellStyle name="40% - Accent2 7 3 5" xfId="21177"/>
    <cellStyle name="40% - Accent2 7 3 5 2" xfId="40932"/>
    <cellStyle name="40% - Accent2 7 3 6" xfId="31288"/>
    <cellStyle name="40% - Accent2 7 4" xfId="926"/>
    <cellStyle name="40% - Accent2 7 4 2" xfId="6230"/>
    <cellStyle name="40% - Accent2 7 4 3" xfId="16272"/>
    <cellStyle name="40% - Accent2 7 4 3 2" xfId="25988"/>
    <cellStyle name="40% - Accent2 7 4 3 2 2" xfId="45742"/>
    <cellStyle name="40% - Accent2 7 4 3 3" xfId="36098"/>
    <cellStyle name="40% - Accent2 7 4 4" xfId="21178"/>
    <cellStyle name="40% - Accent2 7 4 4 2" xfId="40933"/>
    <cellStyle name="40% - Accent2 7 4 5" xfId="31289"/>
    <cellStyle name="40% - Accent2 7 5" xfId="6231"/>
    <cellStyle name="40% - Accent2 7 6" xfId="15558"/>
    <cellStyle name="40% - Accent2 7 6 2" xfId="20430"/>
    <cellStyle name="40% - Accent2 7 6 2 2" xfId="30144"/>
    <cellStyle name="40% - Accent2 7 6 2 2 2" xfId="49897"/>
    <cellStyle name="40% - Accent2 7 6 2 3" xfId="40253"/>
    <cellStyle name="40% - Accent2 7 6 3" xfId="25332"/>
    <cellStyle name="40% - Accent2 7 6 3 2" xfId="45086"/>
    <cellStyle name="40% - Accent2 7 6 4" xfId="35442"/>
    <cellStyle name="40% - Accent2 7 7" xfId="15931"/>
    <cellStyle name="40% - Accent2 7 7 2" xfId="25647"/>
    <cellStyle name="40% - Accent2 7 7 2 2" xfId="45401"/>
    <cellStyle name="40% - Accent2 7 7 3" xfId="35757"/>
    <cellStyle name="40% - Accent2 7 8" xfId="20808"/>
    <cellStyle name="40% - Accent2 7 8 2" xfId="40588"/>
    <cellStyle name="40% - Accent2 7 9" xfId="30569"/>
    <cellStyle name="40% - Accent2 7 9 2" xfId="50317"/>
    <cellStyle name="40% - Accent2 8" xfId="155"/>
    <cellStyle name="40% - Accent2 8 10" xfId="30921"/>
    <cellStyle name="40% - Accent2 8 2" xfId="156"/>
    <cellStyle name="40% - Accent2 8 2 2" xfId="927"/>
    <cellStyle name="40% - Accent2 8 2 2 2" xfId="6232"/>
    <cellStyle name="40% - Accent2 8 2 2 2 2" xfId="6233"/>
    <cellStyle name="40% - Accent2 8 2 2 3" xfId="6234"/>
    <cellStyle name="40% - Accent2 8 2 2 4" xfId="16273"/>
    <cellStyle name="40% - Accent2 8 2 2 4 2" xfId="25989"/>
    <cellStyle name="40% - Accent2 8 2 2 4 2 2" xfId="45743"/>
    <cellStyle name="40% - Accent2 8 2 2 4 3" xfId="36099"/>
    <cellStyle name="40% - Accent2 8 2 2 5" xfId="21179"/>
    <cellStyle name="40% - Accent2 8 2 2 5 2" xfId="40934"/>
    <cellStyle name="40% - Accent2 8 2 2 6" xfId="31290"/>
    <cellStyle name="40% - Accent2 8 2 3" xfId="928"/>
    <cellStyle name="40% - Accent2 8 2 3 2" xfId="6235"/>
    <cellStyle name="40% - Accent2 8 2 3 3" xfId="16274"/>
    <cellStyle name="40% - Accent2 8 2 3 3 2" xfId="25990"/>
    <cellStyle name="40% - Accent2 8 2 3 3 2 2" xfId="45744"/>
    <cellStyle name="40% - Accent2 8 2 3 3 3" xfId="36100"/>
    <cellStyle name="40% - Accent2 8 2 3 4" xfId="21180"/>
    <cellStyle name="40% - Accent2 8 2 3 4 2" xfId="40935"/>
    <cellStyle name="40% - Accent2 8 2 3 5" xfId="31291"/>
    <cellStyle name="40% - Accent2 8 2 4" xfId="6236"/>
    <cellStyle name="40% - Accent2 8 2 5" xfId="15561"/>
    <cellStyle name="40% - Accent2 8 2 5 2" xfId="20433"/>
    <cellStyle name="40% - Accent2 8 2 5 2 2" xfId="30147"/>
    <cellStyle name="40% - Accent2 8 2 5 2 2 2" xfId="49900"/>
    <cellStyle name="40% - Accent2 8 2 5 2 3" xfId="40256"/>
    <cellStyle name="40% - Accent2 8 2 5 3" xfId="25335"/>
    <cellStyle name="40% - Accent2 8 2 5 3 2" xfId="45089"/>
    <cellStyle name="40% - Accent2 8 2 5 4" xfId="35445"/>
    <cellStyle name="40% - Accent2 8 2 6" xfId="15934"/>
    <cellStyle name="40% - Accent2 8 2 6 2" xfId="25650"/>
    <cellStyle name="40% - Accent2 8 2 6 2 2" xfId="45404"/>
    <cellStyle name="40% - Accent2 8 2 6 3" xfId="35760"/>
    <cellStyle name="40% - Accent2 8 2 7" xfId="20811"/>
    <cellStyle name="40% - Accent2 8 2 7 2" xfId="40591"/>
    <cellStyle name="40% - Accent2 8 2 8" xfId="30572"/>
    <cellStyle name="40% - Accent2 8 2 8 2" xfId="50320"/>
    <cellStyle name="40% - Accent2 8 2 9" xfId="30922"/>
    <cellStyle name="40% - Accent2 8 3" xfId="929"/>
    <cellStyle name="40% - Accent2 8 3 2" xfId="6237"/>
    <cellStyle name="40% - Accent2 8 3 2 2" xfId="6238"/>
    <cellStyle name="40% - Accent2 8 3 3" xfId="6239"/>
    <cellStyle name="40% - Accent2 8 3 4" xfId="16275"/>
    <cellStyle name="40% - Accent2 8 3 4 2" xfId="25991"/>
    <cellStyle name="40% - Accent2 8 3 4 2 2" xfId="45745"/>
    <cellStyle name="40% - Accent2 8 3 4 3" xfId="36101"/>
    <cellStyle name="40% - Accent2 8 3 5" xfId="21181"/>
    <cellStyle name="40% - Accent2 8 3 5 2" xfId="40936"/>
    <cellStyle name="40% - Accent2 8 3 6" xfId="31292"/>
    <cellStyle name="40% - Accent2 8 4" xfId="930"/>
    <cellStyle name="40% - Accent2 8 4 2" xfId="6240"/>
    <cellStyle name="40% - Accent2 8 4 3" xfId="16276"/>
    <cellStyle name="40% - Accent2 8 4 3 2" xfId="25992"/>
    <cellStyle name="40% - Accent2 8 4 3 2 2" xfId="45746"/>
    <cellStyle name="40% - Accent2 8 4 3 3" xfId="36102"/>
    <cellStyle name="40% - Accent2 8 4 4" xfId="21182"/>
    <cellStyle name="40% - Accent2 8 4 4 2" xfId="40937"/>
    <cellStyle name="40% - Accent2 8 4 5" xfId="31293"/>
    <cellStyle name="40% - Accent2 8 5" xfId="6241"/>
    <cellStyle name="40% - Accent2 8 6" xfId="15560"/>
    <cellStyle name="40% - Accent2 8 6 2" xfId="20432"/>
    <cellStyle name="40% - Accent2 8 6 2 2" xfId="30146"/>
    <cellStyle name="40% - Accent2 8 6 2 2 2" xfId="49899"/>
    <cellStyle name="40% - Accent2 8 6 2 3" xfId="40255"/>
    <cellStyle name="40% - Accent2 8 6 3" xfId="25334"/>
    <cellStyle name="40% - Accent2 8 6 3 2" xfId="45088"/>
    <cellStyle name="40% - Accent2 8 6 4" xfId="35444"/>
    <cellStyle name="40% - Accent2 8 7" xfId="15933"/>
    <cellStyle name="40% - Accent2 8 7 2" xfId="25649"/>
    <cellStyle name="40% - Accent2 8 7 2 2" xfId="45403"/>
    <cellStyle name="40% - Accent2 8 7 3" xfId="35759"/>
    <cellStyle name="40% - Accent2 8 8" xfId="20810"/>
    <cellStyle name="40% - Accent2 8 8 2" xfId="40590"/>
    <cellStyle name="40% - Accent2 8 9" xfId="30571"/>
    <cellStyle name="40% - Accent2 8 9 2" xfId="50319"/>
    <cellStyle name="40% - Accent2 9" xfId="157"/>
    <cellStyle name="40% - Accent2 9 2" xfId="931"/>
    <cellStyle name="40% - Accent2 9 2 2" xfId="6242"/>
    <cellStyle name="40% - Accent2 9 2 2 2" xfId="6243"/>
    <cellStyle name="40% - Accent2 9 2 3" xfId="6244"/>
    <cellStyle name="40% - Accent2 9 2 4" xfId="16277"/>
    <cellStyle name="40% - Accent2 9 2 4 2" xfId="25993"/>
    <cellStyle name="40% - Accent2 9 2 4 2 2" xfId="45747"/>
    <cellStyle name="40% - Accent2 9 2 4 3" xfId="36103"/>
    <cellStyle name="40% - Accent2 9 2 5" xfId="21183"/>
    <cellStyle name="40% - Accent2 9 2 5 2" xfId="40938"/>
    <cellStyle name="40% - Accent2 9 2 6" xfId="31294"/>
    <cellStyle name="40% - Accent2 9 3" xfId="932"/>
    <cellStyle name="40% - Accent2 9 3 2" xfId="6245"/>
    <cellStyle name="40% - Accent2 9 3 3" xfId="16278"/>
    <cellStyle name="40% - Accent2 9 3 3 2" xfId="25994"/>
    <cellStyle name="40% - Accent2 9 3 3 2 2" xfId="45748"/>
    <cellStyle name="40% - Accent2 9 3 3 3" xfId="36104"/>
    <cellStyle name="40% - Accent2 9 3 4" xfId="21184"/>
    <cellStyle name="40% - Accent2 9 3 4 2" xfId="40939"/>
    <cellStyle name="40% - Accent2 9 3 5" xfId="31295"/>
    <cellStyle name="40% - Accent2 9 4" xfId="6246"/>
    <cellStyle name="40% - Accent2 9 5" xfId="15562"/>
    <cellStyle name="40% - Accent2 9 5 2" xfId="20434"/>
    <cellStyle name="40% - Accent2 9 5 2 2" xfId="30148"/>
    <cellStyle name="40% - Accent2 9 5 2 2 2" xfId="49901"/>
    <cellStyle name="40% - Accent2 9 5 2 3" xfId="40257"/>
    <cellStyle name="40% - Accent2 9 5 3" xfId="25336"/>
    <cellStyle name="40% - Accent2 9 5 3 2" xfId="45090"/>
    <cellStyle name="40% - Accent2 9 5 4" xfId="35446"/>
    <cellStyle name="40% - Accent2 9 6" xfId="15935"/>
    <cellStyle name="40% - Accent2 9 6 2" xfId="25651"/>
    <cellStyle name="40% - Accent2 9 6 2 2" xfId="45405"/>
    <cellStyle name="40% - Accent2 9 6 3" xfId="35761"/>
    <cellStyle name="40% - Accent2 9 7" xfId="20812"/>
    <cellStyle name="40% - Accent2 9 7 2" xfId="40592"/>
    <cellStyle name="40% - Accent2 9 8" xfId="30573"/>
    <cellStyle name="40% - Accent2 9 8 2" xfId="50321"/>
    <cellStyle name="40% - Accent2 9 9" xfId="30923"/>
    <cellStyle name="40% - Accent3" xfId="158" builtinId="39" customBuiltin="1"/>
    <cellStyle name="40% - Accent3 10" xfId="159"/>
    <cellStyle name="40% - Accent3 10 2" xfId="933"/>
    <cellStyle name="40% - Accent3 10 2 2" xfId="6247"/>
    <cellStyle name="40% - Accent3 10 2 2 2" xfId="6248"/>
    <cellStyle name="40% - Accent3 10 2 3" xfId="6249"/>
    <cellStyle name="40% - Accent3 10 2 4" xfId="16279"/>
    <cellStyle name="40% - Accent3 10 2 4 2" xfId="25995"/>
    <cellStyle name="40% - Accent3 10 2 4 2 2" xfId="45749"/>
    <cellStyle name="40% - Accent3 10 2 4 3" xfId="36105"/>
    <cellStyle name="40% - Accent3 10 2 5" xfId="21185"/>
    <cellStyle name="40% - Accent3 10 2 5 2" xfId="40940"/>
    <cellStyle name="40% - Accent3 10 2 6" xfId="31296"/>
    <cellStyle name="40% - Accent3 10 3" xfId="934"/>
    <cellStyle name="40% - Accent3 10 3 2" xfId="6250"/>
    <cellStyle name="40% - Accent3 10 3 3" xfId="16280"/>
    <cellStyle name="40% - Accent3 10 3 3 2" xfId="25996"/>
    <cellStyle name="40% - Accent3 10 3 3 2 2" xfId="45750"/>
    <cellStyle name="40% - Accent3 10 3 3 3" xfId="36106"/>
    <cellStyle name="40% - Accent3 10 3 4" xfId="21186"/>
    <cellStyle name="40% - Accent3 10 3 4 2" xfId="40941"/>
    <cellStyle name="40% - Accent3 10 3 5" xfId="31297"/>
    <cellStyle name="40% - Accent3 10 4" xfId="6251"/>
    <cellStyle name="40% - Accent3 10 5" xfId="15564"/>
    <cellStyle name="40% - Accent3 10 5 2" xfId="20436"/>
    <cellStyle name="40% - Accent3 10 5 2 2" xfId="30150"/>
    <cellStyle name="40% - Accent3 10 5 2 2 2" xfId="49903"/>
    <cellStyle name="40% - Accent3 10 5 2 3" xfId="40259"/>
    <cellStyle name="40% - Accent3 10 5 3" xfId="25338"/>
    <cellStyle name="40% - Accent3 10 5 3 2" xfId="45092"/>
    <cellStyle name="40% - Accent3 10 5 4" xfId="35448"/>
    <cellStyle name="40% - Accent3 10 6" xfId="15937"/>
    <cellStyle name="40% - Accent3 10 6 2" xfId="25653"/>
    <cellStyle name="40% - Accent3 10 6 2 2" xfId="45407"/>
    <cellStyle name="40% - Accent3 10 6 3" xfId="35763"/>
    <cellStyle name="40% - Accent3 10 7" xfId="20814"/>
    <cellStyle name="40% - Accent3 10 7 2" xfId="40594"/>
    <cellStyle name="40% - Accent3 10 8" xfId="30574"/>
    <cellStyle name="40% - Accent3 10 8 2" xfId="50322"/>
    <cellStyle name="40% - Accent3 10 9" xfId="30925"/>
    <cellStyle name="40% - Accent3 11" xfId="160"/>
    <cellStyle name="40% - Accent3 11 2" xfId="935"/>
    <cellStyle name="40% - Accent3 11 2 2" xfId="16281"/>
    <cellStyle name="40% - Accent3 11 2 2 2" xfId="25997"/>
    <cellStyle name="40% - Accent3 11 2 2 2 2" xfId="45751"/>
    <cellStyle name="40% - Accent3 11 2 2 3" xfId="36107"/>
    <cellStyle name="40% - Accent3 11 2 3" xfId="21187"/>
    <cellStyle name="40% - Accent3 11 2 3 2" xfId="40942"/>
    <cellStyle name="40% - Accent3 11 2 4" xfId="31298"/>
    <cellStyle name="40% - Accent3 11 3" xfId="15565"/>
    <cellStyle name="40% - Accent3 11 3 2" xfId="20437"/>
    <cellStyle name="40% - Accent3 11 3 2 2" xfId="30151"/>
    <cellStyle name="40% - Accent3 11 3 2 2 2" xfId="49904"/>
    <cellStyle name="40% - Accent3 11 3 2 3" xfId="40260"/>
    <cellStyle name="40% - Accent3 11 3 3" xfId="25339"/>
    <cellStyle name="40% - Accent3 11 3 3 2" xfId="45093"/>
    <cellStyle name="40% - Accent3 11 3 4" xfId="35449"/>
    <cellStyle name="40% - Accent3 11 4" xfId="15936"/>
    <cellStyle name="40% - Accent3 11 4 2" xfId="25652"/>
    <cellStyle name="40% - Accent3 11 4 2 2" xfId="45406"/>
    <cellStyle name="40% - Accent3 11 4 3" xfId="35762"/>
    <cellStyle name="40% - Accent3 11 5" xfId="20815"/>
    <cellStyle name="40% - Accent3 11 5 2" xfId="40595"/>
    <cellStyle name="40% - Accent3 11 6" xfId="30575"/>
    <cellStyle name="40% - Accent3 11 6 2" xfId="50323"/>
    <cellStyle name="40% - Accent3 11 7" xfId="30926"/>
    <cellStyle name="40% - Accent3 12" xfId="936"/>
    <cellStyle name="40% - Accent3 12 2" xfId="16282"/>
    <cellStyle name="40% - Accent3 12 2 2" xfId="25998"/>
    <cellStyle name="40% - Accent3 12 2 2 2" xfId="45752"/>
    <cellStyle name="40% - Accent3 12 2 3" xfId="36108"/>
    <cellStyle name="40% - Accent3 12 3" xfId="21188"/>
    <cellStyle name="40% - Accent3 12 3 2" xfId="40943"/>
    <cellStyle name="40% - Accent3 12 4" xfId="31299"/>
    <cellStyle name="40% - Accent3 13" xfId="937"/>
    <cellStyle name="40% - Accent3 13 2" xfId="16283"/>
    <cellStyle name="40% - Accent3 13 2 2" xfId="25999"/>
    <cellStyle name="40% - Accent3 13 2 2 2" xfId="45753"/>
    <cellStyle name="40% - Accent3 13 2 3" xfId="36109"/>
    <cellStyle name="40% - Accent3 13 3" xfId="21189"/>
    <cellStyle name="40% - Accent3 13 3 2" xfId="40944"/>
    <cellStyle name="40% - Accent3 13 4" xfId="31300"/>
    <cellStyle name="40% - Accent3 14" xfId="938"/>
    <cellStyle name="40% - Accent3 14 2" xfId="16284"/>
    <cellStyle name="40% - Accent3 14 2 2" xfId="26000"/>
    <cellStyle name="40% - Accent3 14 2 2 2" xfId="45754"/>
    <cellStyle name="40% - Accent3 14 2 3" xfId="36110"/>
    <cellStyle name="40% - Accent3 14 3" xfId="21190"/>
    <cellStyle name="40% - Accent3 14 3 2" xfId="40945"/>
    <cellStyle name="40% - Accent3 14 4" xfId="31301"/>
    <cellStyle name="40% - Accent3 15" xfId="15322"/>
    <cellStyle name="40% - Accent3 15 2" xfId="20219"/>
    <cellStyle name="40% - Accent3 15 2 2" xfId="29933"/>
    <cellStyle name="40% - Accent3 15 2 2 2" xfId="49686"/>
    <cellStyle name="40% - Accent3 15 2 3" xfId="40042"/>
    <cellStyle name="40% - Accent3 15 3" xfId="25121"/>
    <cellStyle name="40% - Accent3 15 3 2" xfId="44875"/>
    <cellStyle name="40% - Accent3 15 4" xfId="35231"/>
    <cellStyle name="40% - Accent3 16" xfId="15563"/>
    <cellStyle name="40% - Accent3 16 2" xfId="20435"/>
    <cellStyle name="40% - Accent3 16 2 2" xfId="30149"/>
    <cellStyle name="40% - Accent3 16 2 2 2" xfId="49902"/>
    <cellStyle name="40% - Accent3 16 2 3" xfId="40258"/>
    <cellStyle name="40% - Accent3 16 3" xfId="25337"/>
    <cellStyle name="40% - Accent3 16 3 2" xfId="45091"/>
    <cellStyle name="40% - Accent3 16 4" xfId="35447"/>
    <cellStyle name="40% - Accent3 17" xfId="15805"/>
    <cellStyle name="40% - Accent3 17 2" xfId="25521"/>
    <cellStyle name="40% - Accent3 17 2 2" xfId="45275"/>
    <cellStyle name="40% - Accent3 17 3" xfId="35631"/>
    <cellStyle name="40% - Accent3 18" xfId="20646"/>
    <cellStyle name="40% - Accent3 18 2" xfId="30330"/>
    <cellStyle name="40% - Accent3 18 2 2" xfId="50082"/>
    <cellStyle name="40% - Accent3 18 3" xfId="40438"/>
    <cellStyle name="40% - Accent3 19" xfId="20670"/>
    <cellStyle name="40% - Accent3 19 2" xfId="30347"/>
    <cellStyle name="40% - Accent3 19 2 2" xfId="50096"/>
    <cellStyle name="40% - Accent3 19 3" xfId="40452"/>
    <cellStyle name="40% - Accent3 2" xfId="161"/>
    <cellStyle name="40% - Accent3 2 10" xfId="6252"/>
    <cellStyle name="40% - Accent3 2 10 2" xfId="6253"/>
    <cellStyle name="40% - Accent3 2 11" xfId="6254"/>
    <cellStyle name="40% - Accent3 2 12" xfId="6255"/>
    <cellStyle name="40% - Accent3 2 13" xfId="6256"/>
    <cellStyle name="40% - Accent3 2 2" xfId="162"/>
    <cellStyle name="40% - Accent3 2 2 10" xfId="6257"/>
    <cellStyle name="40% - Accent3 2 2 11" xfId="6258"/>
    <cellStyle name="40% - Accent3 2 2 12" xfId="6259"/>
    <cellStyle name="40% - Accent3 2 2 2" xfId="6260"/>
    <cellStyle name="40% - Accent3 2 2 2 10" xfId="6261"/>
    <cellStyle name="40% - Accent3 2 2 2 2" xfId="6262"/>
    <cellStyle name="40% - Accent3 2 2 2 2 2" xfId="6263"/>
    <cellStyle name="40% - Accent3 2 2 2 2 2 2" xfId="6264"/>
    <cellStyle name="40% - Accent3 2 2 2 2 2 2 2" xfId="6265"/>
    <cellStyle name="40% - Accent3 2 2 2 2 2 2 2 2" xfId="6266"/>
    <cellStyle name="40% - Accent3 2 2 2 2 2 2 3" xfId="6267"/>
    <cellStyle name="40% - Accent3 2 2 2 2 2 3" xfId="6268"/>
    <cellStyle name="40% - Accent3 2 2 2 2 2 3 2" xfId="6269"/>
    <cellStyle name="40% - Accent3 2 2 2 2 2 4" xfId="6270"/>
    <cellStyle name="40% - Accent3 2 2 2 2 3" xfId="6271"/>
    <cellStyle name="40% - Accent3 2 2 2 2 3 2" xfId="6272"/>
    <cellStyle name="40% - Accent3 2 2 2 2 3 2 2" xfId="6273"/>
    <cellStyle name="40% - Accent3 2 2 2 2 3 3" xfId="6274"/>
    <cellStyle name="40% - Accent3 2 2 2 2 4" xfId="6275"/>
    <cellStyle name="40% - Accent3 2 2 2 2 4 2" xfId="6276"/>
    <cellStyle name="40% - Accent3 2 2 2 2 5" xfId="6277"/>
    <cellStyle name="40% - Accent3 2 2 2 2 6" xfId="6278"/>
    <cellStyle name="40% - Accent3 2 2 2 2 7" xfId="6279"/>
    <cellStyle name="40% - Accent3 2 2 2 3" xfId="6280"/>
    <cellStyle name="40% - Accent3 2 2 2 3 2" xfId="6281"/>
    <cellStyle name="40% - Accent3 2 2 2 3 2 2" xfId="6282"/>
    <cellStyle name="40% - Accent3 2 2 2 3 2 2 2" xfId="6283"/>
    <cellStyle name="40% - Accent3 2 2 2 3 2 3" xfId="6284"/>
    <cellStyle name="40% - Accent3 2 2 2 3 3" xfId="6285"/>
    <cellStyle name="40% - Accent3 2 2 2 3 3 2" xfId="6286"/>
    <cellStyle name="40% - Accent3 2 2 2 3 4" xfId="6287"/>
    <cellStyle name="40% - Accent3 2 2 2 4" xfId="6288"/>
    <cellStyle name="40% - Accent3 2 2 2 4 2" xfId="6289"/>
    <cellStyle name="40% - Accent3 2 2 2 4 2 2" xfId="6290"/>
    <cellStyle name="40% - Accent3 2 2 2 4 2 2 2" xfId="6291"/>
    <cellStyle name="40% - Accent3 2 2 2 4 2 3" xfId="6292"/>
    <cellStyle name="40% - Accent3 2 2 2 4 3" xfId="6293"/>
    <cellStyle name="40% - Accent3 2 2 2 4 3 2" xfId="6294"/>
    <cellStyle name="40% - Accent3 2 2 2 4 4" xfId="6295"/>
    <cellStyle name="40% - Accent3 2 2 2 5" xfId="6296"/>
    <cellStyle name="40% - Accent3 2 2 2 5 2" xfId="6297"/>
    <cellStyle name="40% - Accent3 2 2 2 5 2 2" xfId="6298"/>
    <cellStyle name="40% - Accent3 2 2 2 5 3" xfId="6299"/>
    <cellStyle name="40% - Accent3 2 2 2 6" xfId="6300"/>
    <cellStyle name="40% - Accent3 2 2 2 6 2" xfId="6301"/>
    <cellStyle name="40% - Accent3 2 2 2 7" xfId="6302"/>
    <cellStyle name="40% - Accent3 2 2 2 7 2" xfId="6303"/>
    <cellStyle name="40% - Accent3 2 2 2 8" xfId="6304"/>
    <cellStyle name="40% - Accent3 2 2 2 9" xfId="6305"/>
    <cellStyle name="40% - Accent3 2 2 3" xfId="6306"/>
    <cellStyle name="40% - Accent3 2 2 3 2" xfId="6307"/>
    <cellStyle name="40% - Accent3 2 2 3 2 2" xfId="6308"/>
    <cellStyle name="40% - Accent3 2 2 3 2 2 2" xfId="6309"/>
    <cellStyle name="40% - Accent3 2 2 3 2 2 2 2" xfId="6310"/>
    <cellStyle name="40% - Accent3 2 2 3 2 2 3" xfId="6311"/>
    <cellStyle name="40% - Accent3 2 2 3 2 3" xfId="6312"/>
    <cellStyle name="40% - Accent3 2 2 3 2 3 2" xfId="6313"/>
    <cellStyle name="40% - Accent3 2 2 3 2 4" xfId="6314"/>
    <cellStyle name="40% - Accent3 2 2 3 3" xfId="6315"/>
    <cellStyle name="40% - Accent3 2 2 3 3 2" xfId="6316"/>
    <cellStyle name="40% - Accent3 2 2 3 3 2 2" xfId="6317"/>
    <cellStyle name="40% - Accent3 2 2 3 3 3" xfId="6318"/>
    <cellStyle name="40% - Accent3 2 2 3 4" xfId="6319"/>
    <cellStyle name="40% - Accent3 2 2 3 4 2" xfId="6320"/>
    <cellStyle name="40% - Accent3 2 2 3 5" xfId="6321"/>
    <cellStyle name="40% - Accent3 2 2 3 6" xfId="6322"/>
    <cellStyle name="40% - Accent3 2 2 3 7" xfId="6323"/>
    <cellStyle name="40% - Accent3 2 2 4" xfId="6324"/>
    <cellStyle name="40% - Accent3 2 2 4 2" xfId="6325"/>
    <cellStyle name="40% - Accent3 2 2 4 2 2" xfId="6326"/>
    <cellStyle name="40% - Accent3 2 2 4 2 2 2" xfId="6327"/>
    <cellStyle name="40% - Accent3 2 2 4 2 3" xfId="6328"/>
    <cellStyle name="40% - Accent3 2 2 4 3" xfId="6329"/>
    <cellStyle name="40% - Accent3 2 2 4 3 2" xfId="6330"/>
    <cellStyle name="40% - Accent3 2 2 4 4" xfId="6331"/>
    <cellStyle name="40% - Accent3 2 2 5" xfId="6332"/>
    <cellStyle name="40% - Accent3 2 2 5 2" xfId="6333"/>
    <cellStyle name="40% - Accent3 2 2 5 2 2" xfId="6334"/>
    <cellStyle name="40% - Accent3 2 2 5 2 2 2" xfId="6335"/>
    <cellStyle name="40% - Accent3 2 2 5 2 3" xfId="6336"/>
    <cellStyle name="40% - Accent3 2 2 5 3" xfId="6337"/>
    <cellStyle name="40% - Accent3 2 2 5 3 2" xfId="6338"/>
    <cellStyle name="40% - Accent3 2 2 5 4" xfId="6339"/>
    <cellStyle name="40% - Accent3 2 2 6" xfId="6340"/>
    <cellStyle name="40% - Accent3 2 2 6 2" xfId="6341"/>
    <cellStyle name="40% - Accent3 2 2 7" xfId="6342"/>
    <cellStyle name="40% - Accent3 2 2 7 2" xfId="6343"/>
    <cellStyle name="40% - Accent3 2 2 7 2 2" xfId="6344"/>
    <cellStyle name="40% - Accent3 2 2 7 3" xfId="6345"/>
    <cellStyle name="40% - Accent3 2 2 8" xfId="6346"/>
    <cellStyle name="40% - Accent3 2 2 8 2" xfId="6347"/>
    <cellStyle name="40% - Accent3 2 2 9" xfId="6348"/>
    <cellStyle name="40% - Accent3 2 2 9 2" xfId="6349"/>
    <cellStyle name="40% - Accent3 2 3" xfId="163"/>
    <cellStyle name="40% - Accent3 2 3 10" xfId="6350"/>
    <cellStyle name="40% - Accent3 2 3 11" xfId="15566"/>
    <cellStyle name="40% - Accent3 2 3 11 2" xfId="20438"/>
    <cellStyle name="40% - Accent3 2 3 11 2 2" xfId="30152"/>
    <cellStyle name="40% - Accent3 2 3 11 2 2 2" xfId="49905"/>
    <cellStyle name="40% - Accent3 2 3 11 2 3" xfId="40261"/>
    <cellStyle name="40% - Accent3 2 3 11 3" xfId="25340"/>
    <cellStyle name="40% - Accent3 2 3 11 3 2" xfId="45094"/>
    <cellStyle name="40% - Accent3 2 3 11 4" xfId="35450"/>
    <cellStyle name="40% - Accent3 2 3 12" xfId="15938"/>
    <cellStyle name="40% - Accent3 2 3 12 2" xfId="25654"/>
    <cellStyle name="40% - Accent3 2 3 12 2 2" xfId="45408"/>
    <cellStyle name="40% - Accent3 2 3 12 3" xfId="35764"/>
    <cellStyle name="40% - Accent3 2 3 13" xfId="20816"/>
    <cellStyle name="40% - Accent3 2 3 13 2" xfId="40596"/>
    <cellStyle name="40% - Accent3 2 3 14" xfId="30576"/>
    <cellStyle name="40% - Accent3 2 3 14 2" xfId="50324"/>
    <cellStyle name="40% - Accent3 2 3 15" xfId="30927"/>
    <cellStyle name="40% - Accent3 2 3 2" xfId="939"/>
    <cellStyle name="40% - Accent3 2 3 2 10" xfId="31302"/>
    <cellStyle name="40% - Accent3 2 3 2 2" xfId="6351"/>
    <cellStyle name="40% - Accent3 2 3 2 2 2" xfId="6352"/>
    <cellStyle name="40% - Accent3 2 3 2 2 2 2" xfId="6353"/>
    <cellStyle name="40% - Accent3 2 3 2 2 2 2 2" xfId="6354"/>
    <cellStyle name="40% - Accent3 2 3 2 2 2 3" xfId="6355"/>
    <cellStyle name="40% - Accent3 2 3 2 2 3" xfId="6356"/>
    <cellStyle name="40% - Accent3 2 3 2 2 3 2" xfId="6357"/>
    <cellStyle name="40% - Accent3 2 3 2 2 4" xfId="6358"/>
    <cellStyle name="40% - Accent3 2 3 2 3" xfId="6359"/>
    <cellStyle name="40% - Accent3 2 3 2 3 2" xfId="6360"/>
    <cellStyle name="40% - Accent3 2 3 2 3 2 2" xfId="6361"/>
    <cellStyle name="40% - Accent3 2 3 2 3 3" xfId="6362"/>
    <cellStyle name="40% - Accent3 2 3 2 4" xfId="6363"/>
    <cellStyle name="40% - Accent3 2 3 2 4 2" xfId="6364"/>
    <cellStyle name="40% - Accent3 2 3 2 5" xfId="6365"/>
    <cellStyle name="40% - Accent3 2 3 2 6" xfId="6366"/>
    <cellStyle name="40% - Accent3 2 3 2 7" xfId="6367"/>
    <cellStyle name="40% - Accent3 2 3 2 8" xfId="16285"/>
    <cellStyle name="40% - Accent3 2 3 2 8 2" xfId="26001"/>
    <cellStyle name="40% - Accent3 2 3 2 8 2 2" xfId="45755"/>
    <cellStyle name="40% - Accent3 2 3 2 8 3" xfId="36111"/>
    <cellStyle name="40% - Accent3 2 3 2 9" xfId="21191"/>
    <cellStyle name="40% - Accent3 2 3 2 9 2" xfId="40946"/>
    <cellStyle name="40% - Accent3 2 3 3" xfId="6368"/>
    <cellStyle name="40% - Accent3 2 3 3 2" xfId="6369"/>
    <cellStyle name="40% - Accent3 2 3 3 2 2" xfId="6370"/>
    <cellStyle name="40% - Accent3 2 3 3 2 2 2" xfId="6371"/>
    <cellStyle name="40% - Accent3 2 3 3 2 3" xfId="6372"/>
    <cellStyle name="40% - Accent3 2 3 3 3" xfId="6373"/>
    <cellStyle name="40% - Accent3 2 3 3 3 2" xfId="6374"/>
    <cellStyle name="40% - Accent3 2 3 3 4" xfId="6375"/>
    <cellStyle name="40% - Accent3 2 3 4" xfId="6376"/>
    <cellStyle name="40% - Accent3 2 3 4 2" xfId="6377"/>
    <cellStyle name="40% - Accent3 2 3 4 2 2" xfId="6378"/>
    <cellStyle name="40% - Accent3 2 3 4 2 2 2" xfId="6379"/>
    <cellStyle name="40% - Accent3 2 3 4 2 3" xfId="6380"/>
    <cellStyle name="40% - Accent3 2 3 4 3" xfId="6381"/>
    <cellStyle name="40% - Accent3 2 3 4 3 2" xfId="6382"/>
    <cellStyle name="40% - Accent3 2 3 4 4" xfId="6383"/>
    <cellStyle name="40% - Accent3 2 3 5" xfId="6384"/>
    <cellStyle name="40% - Accent3 2 3 5 2" xfId="6385"/>
    <cellStyle name="40% - Accent3 2 3 5 2 2" xfId="6386"/>
    <cellStyle name="40% - Accent3 2 3 5 3" xfId="6387"/>
    <cellStyle name="40% - Accent3 2 3 6" xfId="6388"/>
    <cellStyle name="40% - Accent3 2 3 6 2" xfId="6389"/>
    <cellStyle name="40% - Accent3 2 3 7" xfId="6390"/>
    <cellStyle name="40% - Accent3 2 3 7 2" xfId="6391"/>
    <cellStyle name="40% - Accent3 2 3 8" xfId="6392"/>
    <cellStyle name="40% - Accent3 2 3 9" xfId="6393"/>
    <cellStyle name="40% - Accent3 2 4" xfId="6394"/>
    <cellStyle name="40% - Accent3 2 4 2" xfId="6395"/>
    <cellStyle name="40% - Accent3 2 4 2 2" xfId="6396"/>
    <cellStyle name="40% - Accent3 2 4 2 2 2" xfId="6397"/>
    <cellStyle name="40% - Accent3 2 4 2 2 2 2" xfId="6398"/>
    <cellStyle name="40% - Accent3 2 4 2 2 3" xfId="6399"/>
    <cellStyle name="40% - Accent3 2 4 2 3" xfId="6400"/>
    <cellStyle name="40% - Accent3 2 4 2 3 2" xfId="6401"/>
    <cellStyle name="40% - Accent3 2 4 2 4" xfId="6402"/>
    <cellStyle name="40% - Accent3 2 4 3" xfId="6403"/>
    <cellStyle name="40% - Accent3 2 4 3 2" xfId="6404"/>
    <cellStyle name="40% - Accent3 2 4 3 2 2" xfId="6405"/>
    <cellStyle name="40% - Accent3 2 4 3 3" xfId="6406"/>
    <cellStyle name="40% - Accent3 2 4 4" xfId="6407"/>
    <cellStyle name="40% - Accent3 2 4 4 2" xfId="6408"/>
    <cellStyle name="40% - Accent3 2 4 5" xfId="6409"/>
    <cellStyle name="40% - Accent3 2 4 6" xfId="6410"/>
    <cellStyle name="40% - Accent3 2 4 7" xfId="6411"/>
    <cellStyle name="40% - Accent3 2 5" xfId="6412"/>
    <cellStyle name="40% - Accent3 2 5 2" xfId="6413"/>
    <cellStyle name="40% - Accent3 2 5 2 2" xfId="6414"/>
    <cellStyle name="40% - Accent3 2 5 2 2 2" xfId="6415"/>
    <cellStyle name="40% - Accent3 2 5 2 3" xfId="6416"/>
    <cellStyle name="40% - Accent3 2 5 3" xfId="6417"/>
    <cellStyle name="40% - Accent3 2 5 3 2" xfId="6418"/>
    <cellStyle name="40% - Accent3 2 5 4" xfId="6419"/>
    <cellStyle name="40% - Accent3 2 6" xfId="6420"/>
    <cellStyle name="40% - Accent3 2 6 2" xfId="6421"/>
    <cellStyle name="40% - Accent3 2 6 2 2" xfId="6422"/>
    <cellStyle name="40% - Accent3 2 6 2 2 2" xfId="6423"/>
    <cellStyle name="40% - Accent3 2 6 2 3" xfId="6424"/>
    <cellStyle name="40% - Accent3 2 6 3" xfId="6425"/>
    <cellStyle name="40% - Accent3 2 6 3 2" xfId="6426"/>
    <cellStyle name="40% - Accent3 2 6 4" xfId="6427"/>
    <cellStyle name="40% - Accent3 2 7" xfId="6428"/>
    <cellStyle name="40% - Accent3 2 7 2" xfId="6429"/>
    <cellStyle name="40% - Accent3 2 8" xfId="6430"/>
    <cellStyle name="40% - Accent3 2 8 2" xfId="6431"/>
    <cellStyle name="40% - Accent3 2 8 2 2" xfId="6432"/>
    <cellStyle name="40% - Accent3 2 8 3" xfId="6433"/>
    <cellStyle name="40% - Accent3 2 9" xfId="6434"/>
    <cellStyle name="40% - Accent3 2 9 2" xfId="6435"/>
    <cellStyle name="40% - Accent3 20" xfId="20813"/>
    <cellStyle name="40% - Accent3 20 2" xfId="40593"/>
    <cellStyle name="40% - Accent3 21" xfId="30362"/>
    <cellStyle name="40% - Accent3 21 2" xfId="50111"/>
    <cellStyle name="40% - Accent3 22" xfId="30772"/>
    <cellStyle name="40% - Accent3 22 2" xfId="50511"/>
    <cellStyle name="40% - Accent3 23" xfId="30924"/>
    <cellStyle name="40% - Accent3 24" xfId="30786"/>
    <cellStyle name="40% - Accent3 25" xfId="50527"/>
    <cellStyle name="40% - Accent3 3" xfId="164"/>
    <cellStyle name="40% - Accent3 3 10" xfId="6436"/>
    <cellStyle name="40% - Accent3 3 10 2" xfId="6437"/>
    <cellStyle name="40% - Accent3 3 11" xfId="6438"/>
    <cellStyle name="40% - Accent3 3 12" xfId="6439"/>
    <cellStyle name="40% - Accent3 3 13" xfId="6440"/>
    <cellStyle name="40% - Accent3 3 2" xfId="6441"/>
    <cellStyle name="40% - Accent3 3 2 10" xfId="6442"/>
    <cellStyle name="40% - Accent3 3 2 11" xfId="6443"/>
    <cellStyle name="40% - Accent3 3 2 2" xfId="6444"/>
    <cellStyle name="40% - Accent3 3 2 2 10" xfId="6445"/>
    <cellStyle name="40% - Accent3 3 2 2 2" xfId="6446"/>
    <cellStyle name="40% - Accent3 3 2 2 2 2" xfId="6447"/>
    <cellStyle name="40% - Accent3 3 2 2 2 2 2" xfId="6448"/>
    <cellStyle name="40% - Accent3 3 2 2 2 2 2 2" xfId="6449"/>
    <cellStyle name="40% - Accent3 3 2 2 2 2 2 2 2" xfId="6450"/>
    <cellStyle name="40% - Accent3 3 2 2 2 2 2 3" xfId="6451"/>
    <cellStyle name="40% - Accent3 3 2 2 2 2 3" xfId="6452"/>
    <cellStyle name="40% - Accent3 3 2 2 2 2 3 2" xfId="6453"/>
    <cellStyle name="40% - Accent3 3 2 2 2 2 4" xfId="6454"/>
    <cellStyle name="40% - Accent3 3 2 2 2 3" xfId="6455"/>
    <cellStyle name="40% - Accent3 3 2 2 2 3 2" xfId="6456"/>
    <cellStyle name="40% - Accent3 3 2 2 2 3 2 2" xfId="6457"/>
    <cellStyle name="40% - Accent3 3 2 2 2 3 3" xfId="6458"/>
    <cellStyle name="40% - Accent3 3 2 2 2 4" xfId="6459"/>
    <cellStyle name="40% - Accent3 3 2 2 2 4 2" xfId="6460"/>
    <cellStyle name="40% - Accent3 3 2 2 2 5" xfId="6461"/>
    <cellStyle name="40% - Accent3 3 2 2 2 6" xfId="6462"/>
    <cellStyle name="40% - Accent3 3 2 2 2 7" xfId="6463"/>
    <cellStyle name="40% - Accent3 3 2 2 3" xfId="6464"/>
    <cellStyle name="40% - Accent3 3 2 2 3 2" xfId="6465"/>
    <cellStyle name="40% - Accent3 3 2 2 3 2 2" xfId="6466"/>
    <cellStyle name="40% - Accent3 3 2 2 3 2 2 2" xfId="6467"/>
    <cellStyle name="40% - Accent3 3 2 2 3 2 3" xfId="6468"/>
    <cellStyle name="40% - Accent3 3 2 2 3 3" xfId="6469"/>
    <cellStyle name="40% - Accent3 3 2 2 3 3 2" xfId="6470"/>
    <cellStyle name="40% - Accent3 3 2 2 3 4" xfId="6471"/>
    <cellStyle name="40% - Accent3 3 2 2 4" xfId="6472"/>
    <cellStyle name="40% - Accent3 3 2 2 4 2" xfId="6473"/>
    <cellStyle name="40% - Accent3 3 2 2 4 2 2" xfId="6474"/>
    <cellStyle name="40% - Accent3 3 2 2 4 2 2 2" xfId="6475"/>
    <cellStyle name="40% - Accent3 3 2 2 4 2 3" xfId="6476"/>
    <cellStyle name="40% - Accent3 3 2 2 4 3" xfId="6477"/>
    <cellStyle name="40% - Accent3 3 2 2 4 3 2" xfId="6478"/>
    <cellStyle name="40% - Accent3 3 2 2 4 4" xfId="6479"/>
    <cellStyle name="40% - Accent3 3 2 2 5" xfId="6480"/>
    <cellStyle name="40% - Accent3 3 2 2 5 2" xfId="6481"/>
    <cellStyle name="40% - Accent3 3 2 2 5 2 2" xfId="6482"/>
    <cellStyle name="40% - Accent3 3 2 2 5 3" xfId="6483"/>
    <cellStyle name="40% - Accent3 3 2 2 6" xfId="6484"/>
    <cellStyle name="40% - Accent3 3 2 2 6 2" xfId="6485"/>
    <cellStyle name="40% - Accent3 3 2 2 7" xfId="6486"/>
    <cellStyle name="40% - Accent3 3 2 2 7 2" xfId="6487"/>
    <cellStyle name="40% - Accent3 3 2 2 8" xfId="6488"/>
    <cellStyle name="40% - Accent3 3 2 2 9" xfId="6489"/>
    <cellStyle name="40% - Accent3 3 2 3" xfId="6490"/>
    <cellStyle name="40% - Accent3 3 2 3 2" xfId="6491"/>
    <cellStyle name="40% - Accent3 3 2 3 2 2" xfId="6492"/>
    <cellStyle name="40% - Accent3 3 2 3 2 2 2" xfId="6493"/>
    <cellStyle name="40% - Accent3 3 2 3 2 2 2 2" xfId="6494"/>
    <cellStyle name="40% - Accent3 3 2 3 2 2 3" xfId="6495"/>
    <cellStyle name="40% - Accent3 3 2 3 2 3" xfId="6496"/>
    <cellStyle name="40% - Accent3 3 2 3 2 3 2" xfId="6497"/>
    <cellStyle name="40% - Accent3 3 2 3 2 4" xfId="6498"/>
    <cellStyle name="40% - Accent3 3 2 3 3" xfId="6499"/>
    <cellStyle name="40% - Accent3 3 2 3 3 2" xfId="6500"/>
    <cellStyle name="40% - Accent3 3 2 3 3 2 2" xfId="6501"/>
    <cellStyle name="40% - Accent3 3 2 3 3 3" xfId="6502"/>
    <cellStyle name="40% - Accent3 3 2 3 4" xfId="6503"/>
    <cellStyle name="40% - Accent3 3 2 3 4 2" xfId="6504"/>
    <cellStyle name="40% - Accent3 3 2 3 5" xfId="6505"/>
    <cellStyle name="40% - Accent3 3 2 3 6" xfId="6506"/>
    <cellStyle name="40% - Accent3 3 2 3 7" xfId="6507"/>
    <cellStyle name="40% - Accent3 3 2 4" xfId="6508"/>
    <cellStyle name="40% - Accent3 3 2 4 2" xfId="6509"/>
    <cellStyle name="40% - Accent3 3 2 4 2 2" xfId="6510"/>
    <cellStyle name="40% - Accent3 3 2 4 2 2 2" xfId="6511"/>
    <cellStyle name="40% - Accent3 3 2 4 2 3" xfId="6512"/>
    <cellStyle name="40% - Accent3 3 2 4 3" xfId="6513"/>
    <cellStyle name="40% - Accent3 3 2 4 3 2" xfId="6514"/>
    <cellStyle name="40% - Accent3 3 2 4 4" xfId="6515"/>
    <cellStyle name="40% - Accent3 3 2 5" xfId="6516"/>
    <cellStyle name="40% - Accent3 3 2 5 2" xfId="6517"/>
    <cellStyle name="40% - Accent3 3 2 5 2 2" xfId="6518"/>
    <cellStyle name="40% - Accent3 3 2 5 2 2 2" xfId="6519"/>
    <cellStyle name="40% - Accent3 3 2 5 2 3" xfId="6520"/>
    <cellStyle name="40% - Accent3 3 2 5 3" xfId="6521"/>
    <cellStyle name="40% - Accent3 3 2 5 3 2" xfId="6522"/>
    <cellStyle name="40% - Accent3 3 2 5 4" xfId="6523"/>
    <cellStyle name="40% - Accent3 3 2 6" xfId="6524"/>
    <cellStyle name="40% - Accent3 3 2 6 2" xfId="6525"/>
    <cellStyle name="40% - Accent3 3 2 6 2 2" xfId="6526"/>
    <cellStyle name="40% - Accent3 3 2 6 3" xfId="6527"/>
    <cellStyle name="40% - Accent3 3 2 7" xfId="6528"/>
    <cellStyle name="40% - Accent3 3 2 7 2" xfId="6529"/>
    <cellStyle name="40% - Accent3 3 2 8" xfId="6530"/>
    <cellStyle name="40% - Accent3 3 2 8 2" xfId="6531"/>
    <cellStyle name="40% - Accent3 3 2 9" xfId="6532"/>
    <cellStyle name="40% - Accent3 3 3" xfId="6533"/>
    <cellStyle name="40% - Accent3 3 3 10" xfId="6534"/>
    <cellStyle name="40% - Accent3 3 3 2" xfId="6535"/>
    <cellStyle name="40% - Accent3 3 3 2 2" xfId="6536"/>
    <cellStyle name="40% - Accent3 3 3 2 2 2" xfId="6537"/>
    <cellStyle name="40% - Accent3 3 3 2 2 2 2" xfId="6538"/>
    <cellStyle name="40% - Accent3 3 3 2 2 2 2 2" xfId="6539"/>
    <cellStyle name="40% - Accent3 3 3 2 2 2 3" xfId="6540"/>
    <cellStyle name="40% - Accent3 3 3 2 2 3" xfId="6541"/>
    <cellStyle name="40% - Accent3 3 3 2 2 3 2" xfId="6542"/>
    <cellStyle name="40% - Accent3 3 3 2 2 4" xfId="6543"/>
    <cellStyle name="40% - Accent3 3 3 2 3" xfId="6544"/>
    <cellStyle name="40% - Accent3 3 3 2 3 2" xfId="6545"/>
    <cellStyle name="40% - Accent3 3 3 2 3 2 2" xfId="6546"/>
    <cellStyle name="40% - Accent3 3 3 2 3 3" xfId="6547"/>
    <cellStyle name="40% - Accent3 3 3 2 4" xfId="6548"/>
    <cellStyle name="40% - Accent3 3 3 2 4 2" xfId="6549"/>
    <cellStyle name="40% - Accent3 3 3 2 5" xfId="6550"/>
    <cellStyle name="40% - Accent3 3 3 2 6" xfId="6551"/>
    <cellStyle name="40% - Accent3 3 3 2 7" xfId="6552"/>
    <cellStyle name="40% - Accent3 3 3 3" xfId="6553"/>
    <cellStyle name="40% - Accent3 3 3 3 2" xfId="6554"/>
    <cellStyle name="40% - Accent3 3 3 3 2 2" xfId="6555"/>
    <cellStyle name="40% - Accent3 3 3 3 2 2 2" xfId="6556"/>
    <cellStyle name="40% - Accent3 3 3 3 2 3" xfId="6557"/>
    <cellStyle name="40% - Accent3 3 3 3 3" xfId="6558"/>
    <cellStyle name="40% - Accent3 3 3 3 3 2" xfId="6559"/>
    <cellStyle name="40% - Accent3 3 3 3 4" xfId="6560"/>
    <cellStyle name="40% - Accent3 3 3 4" xfId="6561"/>
    <cellStyle name="40% - Accent3 3 3 4 2" xfId="6562"/>
    <cellStyle name="40% - Accent3 3 3 4 2 2" xfId="6563"/>
    <cellStyle name="40% - Accent3 3 3 4 2 2 2" xfId="6564"/>
    <cellStyle name="40% - Accent3 3 3 4 2 3" xfId="6565"/>
    <cellStyle name="40% - Accent3 3 3 4 3" xfId="6566"/>
    <cellStyle name="40% - Accent3 3 3 4 3 2" xfId="6567"/>
    <cellStyle name="40% - Accent3 3 3 4 4" xfId="6568"/>
    <cellStyle name="40% - Accent3 3 3 5" xfId="6569"/>
    <cellStyle name="40% - Accent3 3 3 5 2" xfId="6570"/>
    <cellStyle name="40% - Accent3 3 3 5 2 2" xfId="6571"/>
    <cellStyle name="40% - Accent3 3 3 5 3" xfId="6572"/>
    <cellStyle name="40% - Accent3 3 3 6" xfId="6573"/>
    <cellStyle name="40% - Accent3 3 3 6 2" xfId="6574"/>
    <cellStyle name="40% - Accent3 3 3 7" xfId="6575"/>
    <cellStyle name="40% - Accent3 3 3 7 2" xfId="6576"/>
    <cellStyle name="40% - Accent3 3 3 8" xfId="6577"/>
    <cellStyle name="40% - Accent3 3 3 9" xfId="6578"/>
    <cellStyle name="40% - Accent3 3 4" xfId="6579"/>
    <cellStyle name="40% - Accent3 3 4 2" xfId="6580"/>
    <cellStyle name="40% - Accent3 3 4 2 2" xfId="6581"/>
    <cellStyle name="40% - Accent3 3 4 2 2 2" xfId="6582"/>
    <cellStyle name="40% - Accent3 3 4 2 2 2 2" xfId="6583"/>
    <cellStyle name="40% - Accent3 3 4 2 2 3" xfId="6584"/>
    <cellStyle name="40% - Accent3 3 4 2 3" xfId="6585"/>
    <cellStyle name="40% - Accent3 3 4 2 3 2" xfId="6586"/>
    <cellStyle name="40% - Accent3 3 4 2 4" xfId="6587"/>
    <cellStyle name="40% - Accent3 3 4 3" xfId="6588"/>
    <cellStyle name="40% - Accent3 3 4 3 2" xfId="6589"/>
    <cellStyle name="40% - Accent3 3 4 3 2 2" xfId="6590"/>
    <cellStyle name="40% - Accent3 3 4 3 3" xfId="6591"/>
    <cellStyle name="40% - Accent3 3 4 4" xfId="6592"/>
    <cellStyle name="40% - Accent3 3 4 4 2" xfId="6593"/>
    <cellStyle name="40% - Accent3 3 4 5" xfId="6594"/>
    <cellStyle name="40% - Accent3 3 4 6" xfId="6595"/>
    <cellStyle name="40% - Accent3 3 4 7" xfId="6596"/>
    <cellStyle name="40% - Accent3 3 5" xfId="6597"/>
    <cellStyle name="40% - Accent3 3 5 2" xfId="6598"/>
    <cellStyle name="40% - Accent3 3 5 2 2" xfId="6599"/>
    <cellStyle name="40% - Accent3 3 5 2 2 2" xfId="6600"/>
    <cellStyle name="40% - Accent3 3 5 2 3" xfId="6601"/>
    <cellStyle name="40% - Accent3 3 5 3" xfId="6602"/>
    <cellStyle name="40% - Accent3 3 5 3 2" xfId="6603"/>
    <cellStyle name="40% - Accent3 3 5 4" xfId="6604"/>
    <cellStyle name="40% - Accent3 3 6" xfId="6605"/>
    <cellStyle name="40% - Accent3 3 6 2" xfId="6606"/>
    <cellStyle name="40% - Accent3 3 6 2 2" xfId="6607"/>
    <cellStyle name="40% - Accent3 3 6 2 2 2" xfId="6608"/>
    <cellStyle name="40% - Accent3 3 6 2 3" xfId="6609"/>
    <cellStyle name="40% - Accent3 3 6 3" xfId="6610"/>
    <cellStyle name="40% - Accent3 3 6 3 2" xfId="6611"/>
    <cellStyle name="40% - Accent3 3 6 4" xfId="6612"/>
    <cellStyle name="40% - Accent3 3 7" xfId="6613"/>
    <cellStyle name="40% - Accent3 3 7 2" xfId="6614"/>
    <cellStyle name="40% - Accent3 3 8" xfId="6615"/>
    <cellStyle name="40% - Accent3 3 8 2" xfId="6616"/>
    <cellStyle name="40% - Accent3 3 8 2 2" xfId="6617"/>
    <cellStyle name="40% - Accent3 3 8 3" xfId="6618"/>
    <cellStyle name="40% - Accent3 3 9" xfId="6619"/>
    <cellStyle name="40% - Accent3 3 9 2" xfId="6620"/>
    <cellStyle name="40% - Accent3 4" xfId="165"/>
    <cellStyle name="40% - Accent3 4 10" xfId="6621"/>
    <cellStyle name="40% - Accent3 4 11" xfId="6622"/>
    <cellStyle name="40% - Accent3 4 12" xfId="6623"/>
    <cellStyle name="40% - Accent3 4 13" xfId="15567"/>
    <cellStyle name="40% - Accent3 4 13 2" xfId="20439"/>
    <cellStyle name="40% - Accent3 4 13 2 2" xfId="30153"/>
    <cellStyle name="40% - Accent3 4 13 2 2 2" xfId="49906"/>
    <cellStyle name="40% - Accent3 4 13 2 3" xfId="40262"/>
    <cellStyle name="40% - Accent3 4 13 3" xfId="25341"/>
    <cellStyle name="40% - Accent3 4 13 3 2" xfId="45095"/>
    <cellStyle name="40% - Accent3 4 13 4" xfId="35451"/>
    <cellStyle name="40% - Accent3 4 14" xfId="15939"/>
    <cellStyle name="40% - Accent3 4 14 2" xfId="25655"/>
    <cellStyle name="40% - Accent3 4 14 2 2" xfId="45409"/>
    <cellStyle name="40% - Accent3 4 14 3" xfId="35765"/>
    <cellStyle name="40% - Accent3 4 15" xfId="20817"/>
    <cellStyle name="40% - Accent3 4 15 2" xfId="40597"/>
    <cellStyle name="40% - Accent3 4 16" xfId="30577"/>
    <cellStyle name="40% - Accent3 4 16 2" xfId="50325"/>
    <cellStyle name="40% - Accent3 4 17" xfId="30928"/>
    <cellStyle name="40% - Accent3 4 2" xfId="166"/>
    <cellStyle name="40% - Accent3 4 2 10" xfId="6624"/>
    <cellStyle name="40% - Accent3 4 2 11" xfId="6625"/>
    <cellStyle name="40% - Accent3 4 2 12" xfId="15568"/>
    <cellStyle name="40% - Accent3 4 2 12 2" xfId="20440"/>
    <cellStyle name="40% - Accent3 4 2 12 2 2" xfId="30154"/>
    <cellStyle name="40% - Accent3 4 2 12 2 2 2" xfId="49907"/>
    <cellStyle name="40% - Accent3 4 2 12 2 3" xfId="40263"/>
    <cellStyle name="40% - Accent3 4 2 12 3" xfId="25342"/>
    <cellStyle name="40% - Accent3 4 2 12 3 2" xfId="45096"/>
    <cellStyle name="40% - Accent3 4 2 12 4" xfId="35452"/>
    <cellStyle name="40% - Accent3 4 2 13" xfId="15940"/>
    <cellStyle name="40% - Accent3 4 2 13 2" xfId="25656"/>
    <cellStyle name="40% - Accent3 4 2 13 2 2" xfId="45410"/>
    <cellStyle name="40% - Accent3 4 2 13 3" xfId="35766"/>
    <cellStyle name="40% - Accent3 4 2 14" xfId="20818"/>
    <cellStyle name="40% - Accent3 4 2 14 2" xfId="40598"/>
    <cellStyle name="40% - Accent3 4 2 15" xfId="30578"/>
    <cellStyle name="40% - Accent3 4 2 15 2" xfId="50326"/>
    <cellStyle name="40% - Accent3 4 2 16" xfId="30929"/>
    <cellStyle name="40% - Accent3 4 2 2" xfId="167"/>
    <cellStyle name="40% - Accent3 4 2 2 10" xfId="15569"/>
    <cellStyle name="40% - Accent3 4 2 2 10 2" xfId="20441"/>
    <cellStyle name="40% - Accent3 4 2 2 10 2 2" xfId="30155"/>
    <cellStyle name="40% - Accent3 4 2 2 10 2 2 2" xfId="49908"/>
    <cellStyle name="40% - Accent3 4 2 2 10 2 3" xfId="40264"/>
    <cellStyle name="40% - Accent3 4 2 2 10 3" xfId="25343"/>
    <cellStyle name="40% - Accent3 4 2 2 10 3 2" xfId="45097"/>
    <cellStyle name="40% - Accent3 4 2 2 10 4" xfId="35453"/>
    <cellStyle name="40% - Accent3 4 2 2 11" xfId="15941"/>
    <cellStyle name="40% - Accent3 4 2 2 11 2" xfId="25657"/>
    <cellStyle name="40% - Accent3 4 2 2 11 2 2" xfId="45411"/>
    <cellStyle name="40% - Accent3 4 2 2 11 3" xfId="35767"/>
    <cellStyle name="40% - Accent3 4 2 2 12" xfId="20819"/>
    <cellStyle name="40% - Accent3 4 2 2 12 2" xfId="40599"/>
    <cellStyle name="40% - Accent3 4 2 2 13" xfId="30579"/>
    <cellStyle name="40% - Accent3 4 2 2 13 2" xfId="50327"/>
    <cellStyle name="40% - Accent3 4 2 2 14" xfId="30930"/>
    <cellStyle name="40% - Accent3 4 2 2 2" xfId="940"/>
    <cellStyle name="40% - Accent3 4 2 2 2 2" xfId="6626"/>
    <cellStyle name="40% - Accent3 4 2 2 2 2 2" xfId="6627"/>
    <cellStyle name="40% - Accent3 4 2 2 2 2 2 2" xfId="6628"/>
    <cellStyle name="40% - Accent3 4 2 2 2 2 3" xfId="6629"/>
    <cellStyle name="40% - Accent3 4 2 2 2 3" xfId="6630"/>
    <cellStyle name="40% - Accent3 4 2 2 2 3 2" xfId="6631"/>
    <cellStyle name="40% - Accent3 4 2 2 2 4" xfId="6632"/>
    <cellStyle name="40% - Accent3 4 2 2 2 5" xfId="15570"/>
    <cellStyle name="40% - Accent3 4 2 2 2 5 2" xfId="20442"/>
    <cellStyle name="40% - Accent3 4 2 2 2 5 2 2" xfId="30156"/>
    <cellStyle name="40% - Accent3 4 2 2 2 5 2 2 2" xfId="49909"/>
    <cellStyle name="40% - Accent3 4 2 2 2 5 2 3" xfId="40265"/>
    <cellStyle name="40% - Accent3 4 2 2 2 5 3" xfId="25344"/>
    <cellStyle name="40% - Accent3 4 2 2 2 5 3 2" xfId="45098"/>
    <cellStyle name="40% - Accent3 4 2 2 2 5 4" xfId="35454"/>
    <cellStyle name="40% - Accent3 4 2 2 2 6" xfId="16286"/>
    <cellStyle name="40% - Accent3 4 2 2 2 6 2" xfId="26002"/>
    <cellStyle name="40% - Accent3 4 2 2 2 6 2 2" xfId="45756"/>
    <cellStyle name="40% - Accent3 4 2 2 2 6 3" xfId="36112"/>
    <cellStyle name="40% - Accent3 4 2 2 2 7" xfId="21192"/>
    <cellStyle name="40% - Accent3 4 2 2 2 7 2" xfId="40947"/>
    <cellStyle name="40% - Accent3 4 2 2 2 8" xfId="30580"/>
    <cellStyle name="40% - Accent3 4 2 2 2 8 2" xfId="50328"/>
    <cellStyle name="40% - Accent3 4 2 2 2 9" xfId="31303"/>
    <cellStyle name="40% - Accent3 4 2 2 3" xfId="941"/>
    <cellStyle name="40% - Accent3 4 2 2 3 2" xfId="6633"/>
    <cellStyle name="40% - Accent3 4 2 2 3 2 2" xfId="6634"/>
    <cellStyle name="40% - Accent3 4 2 2 3 2 2 2" xfId="6635"/>
    <cellStyle name="40% - Accent3 4 2 2 3 2 3" xfId="6636"/>
    <cellStyle name="40% - Accent3 4 2 2 3 3" xfId="6637"/>
    <cellStyle name="40% - Accent3 4 2 2 3 3 2" xfId="6638"/>
    <cellStyle name="40% - Accent3 4 2 2 3 4" xfId="6639"/>
    <cellStyle name="40% - Accent3 4 2 2 3 5" xfId="16287"/>
    <cellStyle name="40% - Accent3 4 2 2 3 5 2" xfId="26003"/>
    <cellStyle name="40% - Accent3 4 2 2 3 5 2 2" xfId="45757"/>
    <cellStyle name="40% - Accent3 4 2 2 3 5 3" xfId="36113"/>
    <cellStyle name="40% - Accent3 4 2 2 3 6" xfId="21193"/>
    <cellStyle name="40% - Accent3 4 2 2 3 6 2" xfId="40948"/>
    <cellStyle name="40% - Accent3 4 2 2 3 7" xfId="31304"/>
    <cellStyle name="40% - Accent3 4 2 2 4" xfId="6640"/>
    <cellStyle name="40% - Accent3 4 2 2 4 2" xfId="6641"/>
    <cellStyle name="40% - Accent3 4 2 2 4 2 2" xfId="6642"/>
    <cellStyle name="40% - Accent3 4 2 2 4 2 2 2" xfId="6643"/>
    <cellStyle name="40% - Accent3 4 2 2 4 2 3" xfId="6644"/>
    <cellStyle name="40% - Accent3 4 2 2 4 3" xfId="6645"/>
    <cellStyle name="40% - Accent3 4 2 2 4 3 2" xfId="6646"/>
    <cellStyle name="40% - Accent3 4 2 2 4 4" xfId="6647"/>
    <cellStyle name="40% - Accent3 4 2 2 5" xfId="6648"/>
    <cellStyle name="40% - Accent3 4 2 2 5 2" xfId="6649"/>
    <cellStyle name="40% - Accent3 4 2 2 5 2 2" xfId="6650"/>
    <cellStyle name="40% - Accent3 4 2 2 5 3" xfId="6651"/>
    <cellStyle name="40% - Accent3 4 2 2 6" xfId="6652"/>
    <cellStyle name="40% - Accent3 4 2 2 6 2" xfId="6653"/>
    <cellStyle name="40% - Accent3 4 2 2 7" xfId="6654"/>
    <cellStyle name="40% - Accent3 4 2 2 8" xfId="6655"/>
    <cellStyle name="40% - Accent3 4 2 2 9" xfId="6656"/>
    <cellStyle name="40% - Accent3 4 2 3" xfId="942"/>
    <cellStyle name="40% - Accent3 4 2 3 2" xfId="6657"/>
    <cellStyle name="40% - Accent3 4 2 3 2 2" xfId="6658"/>
    <cellStyle name="40% - Accent3 4 2 3 2 2 2" xfId="6659"/>
    <cellStyle name="40% - Accent3 4 2 3 2 3" xfId="6660"/>
    <cellStyle name="40% - Accent3 4 2 3 3" xfId="6661"/>
    <cellStyle name="40% - Accent3 4 2 3 3 2" xfId="6662"/>
    <cellStyle name="40% - Accent3 4 2 3 4" xfId="6663"/>
    <cellStyle name="40% - Accent3 4 2 3 5" xfId="15571"/>
    <cellStyle name="40% - Accent3 4 2 3 5 2" xfId="20443"/>
    <cellStyle name="40% - Accent3 4 2 3 5 2 2" xfId="30157"/>
    <cellStyle name="40% - Accent3 4 2 3 5 2 2 2" xfId="49910"/>
    <cellStyle name="40% - Accent3 4 2 3 5 2 3" xfId="40266"/>
    <cellStyle name="40% - Accent3 4 2 3 5 3" xfId="25345"/>
    <cellStyle name="40% - Accent3 4 2 3 5 3 2" xfId="45099"/>
    <cellStyle name="40% - Accent3 4 2 3 5 4" xfId="35455"/>
    <cellStyle name="40% - Accent3 4 2 3 6" xfId="16288"/>
    <cellStyle name="40% - Accent3 4 2 3 6 2" xfId="26004"/>
    <cellStyle name="40% - Accent3 4 2 3 6 2 2" xfId="45758"/>
    <cellStyle name="40% - Accent3 4 2 3 6 3" xfId="36114"/>
    <cellStyle name="40% - Accent3 4 2 3 7" xfId="21194"/>
    <cellStyle name="40% - Accent3 4 2 3 7 2" xfId="40949"/>
    <cellStyle name="40% - Accent3 4 2 3 8" xfId="30581"/>
    <cellStyle name="40% - Accent3 4 2 3 8 2" xfId="50329"/>
    <cellStyle name="40% - Accent3 4 2 3 9" xfId="31305"/>
    <cellStyle name="40% - Accent3 4 2 4" xfId="943"/>
    <cellStyle name="40% - Accent3 4 2 4 2" xfId="6664"/>
    <cellStyle name="40% - Accent3 4 2 4 2 2" xfId="6665"/>
    <cellStyle name="40% - Accent3 4 2 4 2 2 2" xfId="6666"/>
    <cellStyle name="40% - Accent3 4 2 4 2 3" xfId="6667"/>
    <cellStyle name="40% - Accent3 4 2 4 3" xfId="6668"/>
    <cellStyle name="40% - Accent3 4 2 4 3 2" xfId="6669"/>
    <cellStyle name="40% - Accent3 4 2 4 4" xfId="6670"/>
    <cellStyle name="40% - Accent3 4 2 4 5" xfId="16289"/>
    <cellStyle name="40% - Accent3 4 2 4 5 2" xfId="26005"/>
    <cellStyle name="40% - Accent3 4 2 4 5 2 2" xfId="45759"/>
    <cellStyle name="40% - Accent3 4 2 4 5 3" xfId="36115"/>
    <cellStyle name="40% - Accent3 4 2 4 6" xfId="21195"/>
    <cellStyle name="40% - Accent3 4 2 4 6 2" xfId="40950"/>
    <cellStyle name="40% - Accent3 4 2 4 7" xfId="31306"/>
    <cellStyle name="40% - Accent3 4 2 5" xfId="6671"/>
    <cellStyle name="40% - Accent3 4 2 5 2" xfId="6672"/>
    <cellStyle name="40% - Accent3 4 2 5 2 2" xfId="6673"/>
    <cellStyle name="40% - Accent3 4 2 5 2 2 2" xfId="6674"/>
    <cellStyle name="40% - Accent3 4 2 5 2 3" xfId="6675"/>
    <cellStyle name="40% - Accent3 4 2 5 3" xfId="6676"/>
    <cellStyle name="40% - Accent3 4 2 5 3 2" xfId="6677"/>
    <cellStyle name="40% - Accent3 4 2 5 4" xfId="6678"/>
    <cellStyle name="40% - Accent3 4 2 6" xfId="6679"/>
    <cellStyle name="40% - Accent3 4 2 6 2" xfId="6680"/>
    <cellStyle name="40% - Accent3 4 2 6 2 2" xfId="6681"/>
    <cellStyle name="40% - Accent3 4 2 6 3" xfId="6682"/>
    <cellStyle name="40% - Accent3 4 2 7" xfId="6683"/>
    <cellStyle name="40% - Accent3 4 2 7 2" xfId="6684"/>
    <cellStyle name="40% - Accent3 4 2 8" xfId="6685"/>
    <cellStyle name="40% - Accent3 4 2 8 2" xfId="6686"/>
    <cellStyle name="40% - Accent3 4 2 9" xfId="6687"/>
    <cellStyle name="40% - Accent3 4 3" xfId="168"/>
    <cellStyle name="40% - Accent3 4 3 10" xfId="15572"/>
    <cellStyle name="40% - Accent3 4 3 10 2" xfId="20444"/>
    <cellStyle name="40% - Accent3 4 3 10 2 2" xfId="30158"/>
    <cellStyle name="40% - Accent3 4 3 10 2 2 2" xfId="49911"/>
    <cellStyle name="40% - Accent3 4 3 10 2 3" xfId="40267"/>
    <cellStyle name="40% - Accent3 4 3 10 3" xfId="25346"/>
    <cellStyle name="40% - Accent3 4 3 10 3 2" xfId="45100"/>
    <cellStyle name="40% - Accent3 4 3 10 4" xfId="35456"/>
    <cellStyle name="40% - Accent3 4 3 11" xfId="15942"/>
    <cellStyle name="40% - Accent3 4 3 11 2" xfId="25658"/>
    <cellStyle name="40% - Accent3 4 3 11 2 2" xfId="45412"/>
    <cellStyle name="40% - Accent3 4 3 11 3" xfId="35768"/>
    <cellStyle name="40% - Accent3 4 3 12" xfId="20820"/>
    <cellStyle name="40% - Accent3 4 3 12 2" xfId="40600"/>
    <cellStyle name="40% - Accent3 4 3 13" xfId="30582"/>
    <cellStyle name="40% - Accent3 4 3 13 2" xfId="50330"/>
    <cellStyle name="40% - Accent3 4 3 14" xfId="30931"/>
    <cellStyle name="40% - Accent3 4 3 2" xfId="944"/>
    <cellStyle name="40% - Accent3 4 3 2 2" xfId="6688"/>
    <cellStyle name="40% - Accent3 4 3 2 2 2" xfId="6689"/>
    <cellStyle name="40% - Accent3 4 3 2 2 2 2" xfId="6690"/>
    <cellStyle name="40% - Accent3 4 3 2 2 3" xfId="6691"/>
    <cellStyle name="40% - Accent3 4 3 2 3" xfId="6692"/>
    <cellStyle name="40% - Accent3 4 3 2 3 2" xfId="6693"/>
    <cellStyle name="40% - Accent3 4 3 2 4" xfId="6694"/>
    <cellStyle name="40% - Accent3 4 3 2 5" xfId="15573"/>
    <cellStyle name="40% - Accent3 4 3 2 5 2" xfId="20445"/>
    <cellStyle name="40% - Accent3 4 3 2 5 2 2" xfId="30159"/>
    <cellStyle name="40% - Accent3 4 3 2 5 2 2 2" xfId="49912"/>
    <cellStyle name="40% - Accent3 4 3 2 5 2 3" xfId="40268"/>
    <cellStyle name="40% - Accent3 4 3 2 5 3" xfId="25347"/>
    <cellStyle name="40% - Accent3 4 3 2 5 3 2" xfId="45101"/>
    <cellStyle name="40% - Accent3 4 3 2 5 4" xfId="35457"/>
    <cellStyle name="40% - Accent3 4 3 2 6" xfId="16290"/>
    <cellStyle name="40% - Accent3 4 3 2 6 2" xfId="26006"/>
    <cellStyle name="40% - Accent3 4 3 2 6 2 2" xfId="45760"/>
    <cellStyle name="40% - Accent3 4 3 2 6 3" xfId="36116"/>
    <cellStyle name="40% - Accent3 4 3 2 7" xfId="21196"/>
    <cellStyle name="40% - Accent3 4 3 2 7 2" xfId="40951"/>
    <cellStyle name="40% - Accent3 4 3 2 8" xfId="30583"/>
    <cellStyle name="40% - Accent3 4 3 2 8 2" xfId="50331"/>
    <cellStyle name="40% - Accent3 4 3 2 9" xfId="31307"/>
    <cellStyle name="40% - Accent3 4 3 3" xfId="945"/>
    <cellStyle name="40% - Accent3 4 3 3 2" xfId="6695"/>
    <cellStyle name="40% - Accent3 4 3 3 2 2" xfId="6696"/>
    <cellStyle name="40% - Accent3 4 3 3 2 2 2" xfId="6697"/>
    <cellStyle name="40% - Accent3 4 3 3 2 3" xfId="6698"/>
    <cellStyle name="40% - Accent3 4 3 3 3" xfId="6699"/>
    <cellStyle name="40% - Accent3 4 3 3 3 2" xfId="6700"/>
    <cellStyle name="40% - Accent3 4 3 3 4" xfId="6701"/>
    <cellStyle name="40% - Accent3 4 3 3 5" xfId="16291"/>
    <cellStyle name="40% - Accent3 4 3 3 5 2" xfId="26007"/>
    <cellStyle name="40% - Accent3 4 3 3 5 2 2" xfId="45761"/>
    <cellStyle name="40% - Accent3 4 3 3 5 3" xfId="36117"/>
    <cellStyle name="40% - Accent3 4 3 3 6" xfId="21197"/>
    <cellStyle name="40% - Accent3 4 3 3 6 2" xfId="40952"/>
    <cellStyle name="40% - Accent3 4 3 3 7" xfId="31308"/>
    <cellStyle name="40% - Accent3 4 3 4" xfId="6702"/>
    <cellStyle name="40% - Accent3 4 3 4 2" xfId="6703"/>
    <cellStyle name="40% - Accent3 4 3 4 2 2" xfId="6704"/>
    <cellStyle name="40% - Accent3 4 3 4 2 2 2" xfId="6705"/>
    <cellStyle name="40% - Accent3 4 3 4 2 3" xfId="6706"/>
    <cellStyle name="40% - Accent3 4 3 4 3" xfId="6707"/>
    <cellStyle name="40% - Accent3 4 3 4 3 2" xfId="6708"/>
    <cellStyle name="40% - Accent3 4 3 4 4" xfId="6709"/>
    <cellStyle name="40% - Accent3 4 3 5" xfId="6710"/>
    <cellStyle name="40% - Accent3 4 3 5 2" xfId="6711"/>
    <cellStyle name="40% - Accent3 4 3 5 2 2" xfId="6712"/>
    <cellStyle name="40% - Accent3 4 3 5 3" xfId="6713"/>
    <cellStyle name="40% - Accent3 4 3 6" xfId="6714"/>
    <cellStyle name="40% - Accent3 4 3 6 2" xfId="6715"/>
    <cellStyle name="40% - Accent3 4 3 7" xfId="6716"/>
    <cellStyle name="40% - Accent3 4 3 8" xfId="6717"/>
    <cellStyle name="40% - Accent3 4 3 9" xfId="6718"/>
    <cellStyle name="40% - Accent3 4 4" xfId="946"/>
    <cellStyle name="40% - Accent3 4 4 2" xfId="6719"/>
    <cellStyle name="40% - Accent3 4 4 2 2" xfId="6720"/>
    <cellStyle name="40% - Accent3 4 4 2 2 2" xfId="6721"/>
    <cellStyle name="40% - Accent3 4 4 2 3" xfId="6722"/>
    <cellStyle name="40% - Accent3 4 4 3" xfId="6723"/>
    <cellStyle name="40% - Accent3 4 4 3 2" xfId="6724"/>
    <cellStyle name="40% - Accent3 4 4 4" xfId="6725"/>
    <cellStyle name="40% - Accent3 4 4 5" xfId="15574"/>
    <cellStyle name="40% - Accent3 4 4 5 2" xfId="20446"/>
    <cellStyle name="40% - Accent3 4 4 5 2 2" xfId="30160"/>
    <cellStyle name="40% - Accent3 4 4 5 2 2 2" xfId="49913"/>
    <cellStyle name="40% - Accent3 4 4 5 2 3" xfId="40269"/>
    <cellStyle name="40% - Accent3 4 4 5 3" xfId="25348"/>
    <cellStyle name="40% - Accent3 4 4 5 3 2" xfId="45102"/>
    <cellStyle name="40% - Accent3 4 4 5 4" xfId="35458"/>
    <cellStyle name="40% - Accent3 4 4 6" xfId="16292"/>
    <cellStyle name="40% - Accent3 4 4 6 2" xfId="26008"/>
    <cellStyle name="40% - Accent3 4 4 6 2 2" xfId="45762"/>
    <cellStyle name="40% - Accent3 4 4 6 3" xfId="36118"/>
    <cellStyle name="40% - Accent3 4 4 7" xfId="21198"/>
    <cellStyle name="40% - Accent3 4 4 7 2" xfId="40953"/>
    <cellStyle name="40% - Accent3 4 4 8" xfId="30584"/>
    <cellStyle name="40% - Accent3 4 4 8 2" xfId="50332"/>
    <cellStyle name="40% - Accent3 4 4 9" xfId="31309"/>
    <cellStyle name="40% - Accent3 4 5" xfId="947"/>
    <cellStyle name="40% - Accent3 4 5 2" xfId="6726"/>
    <cellStyle name="40% - Accent3 4 5 2 2" xfId="6727"/>
    <cellStyle name="40% - Accent3 4 5 2 2 2" xfId="6728"/>
    <cellStyle name="40% - Accent3 4 5 2 3" xfId="6729"/>
    <cellStyle name="40% - Accent3 4 5 3" xfId="6730"/>
    <cellStyle name="40% - Accent3 4 5 3 2" xfId="6731"/>
    <cellStyle name="40% - Accent3 4 5 4" xfId="6732"/>
    <cellStyle name="40% - Accent3 4 5 5" xfId="16293"/>
    <cellStyle name="40% - Accent3 4 5 5 2" xfId="26009"/>
    <cellStyle name="40% - Accent3 4 5 5 2 2" xfId="45763"/>
    <cellStyle name="40% - Accent3 4 5 5 3" xfId="36119"/>
    <cellStyle name="40% - Accent3 4 5 6" xfId="21199"/>
    <cellStyle name="40% - Accent3 4 5 6 2" xfId="40954"/>
    <cellStyle name="40% - Accent3 4 5 7" xfId="31310"/>
    <cellStyle name="40% - Accent3 4 6" xfId="6733"/>
    <cellStyle name="40% - Accent3 4 6 2" xfId="6734"/>
    <cellStyle name="40% - Accent3 4 6 2 2" xfId="6735"/>
    <cellStyle name="40% - Accent3 4 6 2 2 2" xfId="6736"/>
    <cellStyle name="40% - Accent3 4 6 2 3" xfId="6737"/>
    <cellStyle name="40% - Accent3 4 6 3" xfId="6738"/>
    <cellStyle name="40% - Accent3 4 6 3 2" xfId="6739"/>
    <cellStyle name="40% - Accent3 4 6 4" xfId="6740"/>
    <cellStyle name="40% - Accent3 4 7" xfId="6741"/>
    <cellStyle name="40% - Accent3 4 7 2" xfId="6742"/>
    <cellStyle name="40% - Accent3 4 7 2 2" xfId="6743"/>
    <cellStyle name="40% - Accent3 4 7 3" xfId="6744"/>
    <cellStyle name="40% - Accent3 4 8" xfId="6745"/>
    <cellStyle name="40% - Accent3 4 8 2" xfId="6746"/>
    <cellStyle name="40% - Accent3 4 9" xfId="6747"/>
    <cellStyle name="40% - Accent3 4 9 2" xfId="6748"/>
    <cellStyle name="40% - Accent3 5" xfId="169"/>
    <cellStyle name="40% - Accent3 5 10" xfId="6749"/>
    <cellStyle name="40% - Accent3 5 11" xfId="6750"/>
    <cellStyle name="40% - Accent3 5 12" xfId="15575"/>
    <cellStyle name="40% - Accent3 5 12 2" xfId="20447"/>
    <cellStyle name="40% - Accent3 5 12 2 2" xfId="30161"/>
    <cellStyle name="40% - Accent3 5 12 2 2 2" xfId="49914"/>
    <cellStyle name="40% - Accent3 5 12 2 3" xfId="40270"/>
    <cellStyle name="40% - Accent3 5 12 3" xfId="25349"/>
    <cellStyle name="40% - Accent3 5 12 3 2" xfId="45103"/>
    <cellStyle name="40% - Accent3 5 12 4" xfId="35459"/>
    <cellStyle name="40% - Accent3 5 13" xfId="15943"/>
    <cellStyle name="40% - Accent3 5 13 2" xfId="25659"/>
    <cellStyle name="40% - Accent3 5 13 2 2" xfId="45413"/>
    <cellStyle name="40% - Accent3 5 13 3" xfId="35769"/>
    <cellStyle name="40% - Accent3 5 14" xfId="20821"/>
    <cellStyle name="40% - Accent3 5 14 2" xfId="40601"/>
    <cellStyle name="40% - Accent3 5 15" xfId="30585"/>
    <cellStyle name="40% - Accent3 5 15 2" xfId="50333"/>
    <cellStyle name="40% - Accent3 5 16" xfId="30932"/>
    <cellStyle name="40% - Accent3 5 2" xfId="170"/>
    <cellStyle name="40% - Accent3 5 2 10" xfId="15576"/>
    <cellStyle name="40% - Accent3 5 2 10 2" xfId="20448"/>
    <cellStyle name="40% - Accent3 5 2 10 2 2" xfId="30162"/>
    <cellStyle name="40% - Accent3 5 2 10 2 2 2" xfId="49915"/>
    <cellStyle name="40% - Accent3 5 2 10 2 3" xfId="40271"/>
    <cellStyle name="40% - Accent3 5 2 10 3" xfId="25350"/>
    <cellStyle name="40% - Accent3 5 2 10 3 2" xfId="45104"/>
    <cellStyle name="40% - Accent3 5 2 10 4" xfId="35460"/>
    <cellStyle name="40% - Accent3 5 2 11" xfId="15944"/>
    <cellStyle name="40% - Accent3 5 2 11 2" xfId="25660"/>
    <cellStyle name="40% - Accent3 5 2 11 2 2" xfId="45414"/>
    <cellStyle name="40% - Accent3 5 2 11 3" xfId="35770"/>
    <cellStyle name="40% - Accent3 5 2 12" xfId="20822"/>
    <cellStyle name="40% - Accent3 5 2 12 2" xfId="40602"/>
    <cellStyle name="40% - Accent3 5 2 13" xfId="30586"/>
    <cellStyle name="40% - Accent3 5 2 13 2" xfId="50334"/>
    <cellStyle name="40% - Accent3 5 2 14" xfId="30933"/>
    <cellStyle name="40% - Accent3 5 2 2" xfId="948"/>
    <cellStyle name="40% - Accent3 5 2 2 2" xfId="6751"/>
    <cellStyle name="40% - Accent3 5 2 2 2 2" xfId="6752"/>
    <cellStyle name="40% - Accent3 5 2 2 2 2 2" xfId="6753"/>
    <cellStyle name="40% - Accent3 5 2 2 2 3" xfId="6754"/>
    <cellStyle name="40% - Accent3 5 2 2 3" xfId="6755"/>
    <cellStyle name="40% - Accent3 5 2 2 3 2" xfId="6756"/>
    <cellStyle name="40% - Accent3 5 2 2 4" xfId="6757"/>
    <cellStyle name="40% - Accent3 5 2 2 5" xfId="15577"/>
    <cellStyle name="40% - Accent3 5 2 2 5 2" xfId="20449"/>
    <cellStyle name="40% - Accent3 5 2 2 5 2 2" xfId="30163"/>
    <cellStyle name="40% - Accent3 5 2 2 5 2 2 2" xfId="49916"/>
    <cellStyle name="40% - Accent3 5 2 2 5 2 3" xfId="40272"/>
    <cellStyle name="40% - Accent3 5 2 2 5 3" xfId="25351"/>
    <cellStyle name="40% - Accent3 5 2 2 5 3 2" xfId="45105"/>
    <cellStyle name="40% - Accent3 5 2 2 5 4" xfId="35461"/>
    <cellStyle name="40% - Accent3 5 2 2 6" xfId="16294"/>
    <cellStyle name="40% - Accent3 5 2 2 6 2" xfId="26010"/>
    <cellStyle name="40% - Accent3 5 2 2 6 2 2" xfId="45764"/>
    <cellStyle name="40% - Accent3 5 2 2 6 3" xfId="36120"/>
    <cellStyle name="40% - Accent3 5 2 2 7" xfId="21200"/>
    <cellStyle name="40% - Accent3 5 2 2 7 2" xfId="40955"/>
    <cellStyle name="40% - Accent3 5 2 2 8" xfId="30587"/>
    <cellStyle name="40% - Accent3 5 2 2 8 2" xfId="50335"/>
    <cellStyle name="40% - Accent3 5 2 2 9" xfId="31311"/>
    <cellStyle name="40% - Accent3 5 2 3" xfId="949"/>
    <cellStyle name="40% - Accent3 5 2 3 2" xfId="6758"/>
    <cellStyle name="40% - Accent3 5 2 3 2 2" xfId="6759"/>
    <cellStyle name="40% - Accent3 5 2 3 2 2 2" xfId="6760"/>
    <cellStyle name="40% - Accent3 5 2 3 2 3" xfId="6761"/>
    <cellStyle name="40% - Accent3 5 2 3 3" xfId="6762"/>
    <cellStyle name="40% - Accent3 5 2 3 3 2" xfId="6763"/>
    <cellStyle name="40% - Accent3 5 2 3 4" xfId="6764"/>
    <cellStyle name="40% - Accent3 5 2 3 5" xfId="16295"/>
    <cellStyle name="40% - Accent3 5 2 3 5 2" xfId="26011"/>
    <cellStyle name="40% - Accent3 5 2 3 5 2 2" xfId="45765"/>
    <cellStyle name="40% - Accent3 5 2 3 5 3" xfId="36121"/>
    <cellStyle name="40% - Accent3 5 2 3 6" xfId="21201"/>
    <cellStyle name="40% - Accent3 5 2 3 6 2" xfId="40956"/>
    <cellStyle name="40% - Accent3 5 2 3 7" xfId="31312"/>
    <cellStyle name="40% - Accent3 5 2 4" xfId="6765"/>
    <cellStyle name="40% - Accent3 5 2 4 2" xfId="6766"/>
    <cellStyle name="40% - Accent3 5 2 4 2 2" xfId="6767"/>
    <cellStyle name="40% - Accent3 5 2 4 2 2 2" xfId="6768"/>
    <cellStyle name="40% - Accent3 5 2 4 2 3" xfId="6769"/>
    <cellStyle name="40% - Accent3 5 2 4 3" xfId="6770"/>
    <cellStyle name="40% - Accent3 5 2 4 3 2" xfId="6771"/>
    <cellStyle name="40% - Accent3 5 2 4 4" xfId="6772"/>
    <cellStyle name="40% - Accent3 5 2 5" xfId="6773"/>
    <cellStyle name="40% - Accent3 5 2 5 2" xfId="6774"/>
    <cellStyle name="40% - Accent3 5 2 5 2 2" xfId="6775"/>
    <cellStyle name="40% - Accent3 5 2 5 3" xfId="6776"/>
    <cellStyle name="40% - Accent3 5 2 6" xfId="6777"/>
    <cellStyle name="40% - Accent3 5 2 6 2" xfId="6778"/>
    <cellStyle name="40% - Accent3 5 2 7" xfId="6779"/>
    <cellStyle name="40% - Accent3 5 2 8" xfId="6780"/>
    <cellStyle name="40% - Accent3 5 2 9" xfId="6781"/>
    <cellStyle name="40% - Accent3 5 3" xfId="950"/>
    <cellStyle name="40% - Accent3 5 3 2" xfId="6782"/>
    <cellStyle name="40% - Accent3 5 3 2 2" xfId="6783"/>
    <cellStyle name="40% - Accent3 5 3 2 2 2" xfId="6784"/>
    <cellStyle name="40% - Accent3 5 3 2 3" xfId="6785"/>
    <cellStyle name="40% - Accent3 5 3 3" xfId="6786"/>
    <cellStyle name="40% - Accent3 5 3 3 2" xfId="6787"/>
    <cellStyle name="40% - Accent3 5 3 4" xfId="6788"/>
    <cellStyle name="40% - Accent3 5 3 5" xfId="15578"/>
    <cellStyle name="40% - Accent3 5 3 5 2" xfId="20450"/>
    <cellStyle name="40% - Accent3 5 3 5 2 2" xfId="30164"/>
    <cellStyle name="40% - Accent3 5 3 5 2 2 2" xfId="49917"/>
    <cellStyle name="40% - Accent3 5 3 5 2 3" xfId="40273"/>
    <cellStyle name="40% - Accent3 5 3 5 3" xfId="25352"/>
    <cellStyle name="40% - Accent3 5 3 5 3 2" xfId="45106"/>
    <cellStyle name="40% - Accent3 5 3 5 4" xfId="35462"/>
    <cellStyle name="40% - Accent3 5 3 6" xfId="16296"/>
    <cellStyle name="40% - Accent3 5 3 6 2" xfId="26012"/>
    <cellStyle name="40% - Accent3 5 3 6 2 2" xfId="45766"/>
    <cellStyle name="40% - Accent3 5 3 6 3" xfId="36122"/>
    <cellStyle name="40% - Accent3 5 3 7" xfId="21202"/>
    <cellStyle name="40% - Accent3 5 3 7 2" xfId="40957"/>
    <cellStyle name="40% - Accent3 5 3 8" xfId="30588"/>
    <cellStyle name="40% - Accent3 5 3 8 2" xfId="50336"/>
    <cellStyle name="40% - Accent3 5 3 9" xfId="31313"/>
    <cellStyle name="40% - Accent3 5 4" xfId="951"/>
    <cellStyle name="40% - Accent3 5 4 2" xfId="6789"/>
    <cellStyle name="40% - Accent3 5 4 2 2" xfId="6790"/>
    <cellStyle name="40% - Accent3 5 4 2 2 2" xfId="6791"/>
    <cellStyle name="40% - Accent3 5 4 2 3" xfId="6792"/>
    <cellStyle name="40% - Accent3 5 4 3" xfId="6793"/>
    <cellStyle name="40% - Accent3 5 4 3 2" xfId="6794"/>
    <cellStyle name="40% - Accent3 5 4 4" xfId="6795"/>
    <cellStyle name="40% - Accent3 5 4 5" xfId="16297"/>
    <cellStyle name="40% - Accent3 5 4 5 2" xfId="26013"/>
    <cellStyle name="40% - Accent3 5 4 5 2 2" xfId="45767"/>
    <cellStyle name="40% - Accent3 5 4 5 3" xfId="36123"/>
    <cellStyle name="40% - Accent3 5 4 6" xfId="21203"/>
    <cellStyle name="40% - Accent3 5 4 6 2" xfId="40958"/>
    <cellStyle name="40% - Accent3 5 4 7" xfId="31314"/>
    <cellStyle name="40% - Accent3 5 5" xfId="6796"/>
    <cellStyle name="40% - Accent3 5 5 2" xfId="6797"/>
    <cellStyle name="40% - Accent3 5 5 2 2" xfId="6798"/>
    <cellStyle name="40% - Accent3 5 5 2 2 2" xfId="6799"/>
    <cellStyle name="40% - Accent3 5 5 2 3" xfId="6800"/>
    <cellStyle name="40% - Accent3 5 5 3" xfId="6801"/>
    <cellStyle name="40% - Accent3 5 5 3 2" xfId="6802"/>
    <cellStyle name="40% - Accent3 5 5 4" xfId="6803"/>
    <cellStyle name="40% - Accent3 5 6" xfId="6804"/>
    <cellStyle name="40% - Accent3 5 6 2" xfId="6805"/>
    <cellStyle name="40% - Accent3 5 6 2 2" xfId="6806"/>
    <cellStyle name="40% - Accent3 5 6 3" xfId="6807"/>
    <cellStyle name="40% - Accent3 5 7" xfId="6808"/>
    <cellStyle name="40% - Accent3 5 7 2" xfId="6809"/>
    <cellStyle name="40% - Accent3 5 8" xfId="6810"/>
    <cellStyle name="40% - Accent3 5 8 2" xfId="6811"/>
    <cellStyle name="40% - Accent3 5 9" xfId="6812"/>
    <cellStyle name="40% - Accent3 6" xfId="171"/>
    <cellStyle name="40% - Accent3 6 10" xfId="6813"/>
    <cellStyle name="40% - Accent3 6 11" xfId="6814"/>
    <cellStyle name="40% - Accent3 6 12" xfId="15579"/>
    <cellStyle name="40% - Accent3 6 12 2" xfId="20451"/>
    <cellStyle name="40% - Accent3 6 12 2 2" xfId="30165"/>
    <cellStyle name="40% - Accent3 6 12 2 2 2" xfId="49918"/>
    <cellStyle name="40% - Accent3 6 12 2 3" xfId="40274"/>
    <cellStyle name="40% - Accent3 6 12 3" xfId="25353"/>
    <cellStyle name="40% - Accent3 6 12 3 2" xfId="45107"/>
    <cellStyle name="40% - Accent3 6 12 4" xfId="35463"/>
    <cellStyle name="40% - Accent3 6 13" xfId="15945"/>
    <cellStyle name="40% - Accent3 6 13 2" xfId="25661"/>
    <cellStyle name="40% - Accent3 6 13 2 2" xfId="45415"/>
    <cellStyle name="40% - Accent3 6 13 3" xfId="35771"/>
    <cellStyle name="40% - Accent3 6 14" xfId="20823"/>
    <cellStyle name="40% - Accent3 6 14 2" xfId="40603"/>
    <cellStyle name="40% - Accent3 6 15" xfId="30589"/>
    <cellStyle name="40% - Accent3 6 15 2" xfId="50337"/>
    <cellStyle name="40% - Accent3 6 16" xfId="30934"/>
    <cellStyle name="40% - Accent3 6 2" xfId="172"/>
    <cellStyle name="40% - Accent3 6 2 10" xfId="15580"/>
    <cellStyle name="40% - Accent3 6 2 10 2" xfId="20452"/>
    <cellStyle name="40% - Accent3 6 2 10 2 2" xfId="30166"/>
    <cellStyle name="40% - Accent3 6 2 10 2 2 2" xfId="49919"/>
    <cellStyle name="40% - Accent3 6 2 10 2 3" xfId="40275"/>
    <cellStyle name="40% - Accent3 6 2 10 3" xfId="25354"/>
    <cellStyle name="40% - Accent3 6 2 10 3 2" xfId="45108"/>
    <cellStyle name="40% - Accent3 6 2 10 4" xfId="35464"/>
    <cellStyle name="40% - Accent3 6 2 11" xfId="15946"/>
    <cellStyle name="40% - Accent3 6 2 11 2" xfId="25662"/>
    <cellStyle name="40% - Accent3 6 2 11 2 2" xfId="45416"/>
    <cellStyle name="40% - Accent3 6 2 11 3" xfId="35772"/>
    <cellStyle name="40% - Accent3 6 2 12" xfId="20824"/>
    <cellStyle name="40% - Accent3 6 2 12 2" xfId="40604"/>
    <cellStyle name="40% - Accent3 6 2 13" xfId="30590"/>
    <cellStyle name="40% - Accent3 6 2 13 2" xfId="50338"/>
    <cellStyle name="40% - Accent3 6 2 14" xfId="30935"/>
    <cellStyle name="40% - Accent3 6 2 2" xfId="952"/>
    <cellStyle name="40% - Accent3 6 2 2 2" xfId="6815"/>
    <cellStyle name="40% - Accent3 6 2 2 2 2" xfId="6816"/>
    <cellStyle name="40% - Accent3 6 2 2 2 2 2" xfId="6817"/>
    <cellStyle name="40% - Accent3 6 2 2 2 3" xfId="6818"/>
    <cellStyle name="40% - Accent3 6 2 2 3" xfId="6819"/>
    <cellStyle name="40% - Accent3 6 2 2 3 2" xfId="6820"/>
    <cellStyle name="40% - Accent3 6 2 2 4" xfId="6821"/>
    <cellStyle name="40% - Accent3 6 2 2 5" xfId="15581"/>
    <cellStyle name="40% - Accent3 6 2 2 5 2" xfId="20453"/>
    <cellStyle name="40% - Accent3 6 2 2 5 2 2" xfId="30167"/>
    <cellStyle name="40% - Accent3 6 2 2 5 2 2 2" xfId="49920"/>
    <cellStyle name="40% - Accent3 6 2 2 5 2 3" xfId="40276"/>
    <cellStyle name="40% - Accent3 6 2 2 5 3" xfId="25355"/>
    <cellStyle name="40% - Accent3 6 2 2 5 3 2" xfId="45109"/>
    <cellStyle name="40% - Accent3 6 2 2 5 4" xfId="35465"/>
    <cellStyle name="40% - Accent3 6 2 2 6" xfId="16298"/>
    <cellStyle name="40% - Accent3 6 2 2 6 2" xfId="26014"/>
    <cellStyle name="40% - Accent3 6 2 2 6 2 2" xfId="45768"/>
    <cellStyle name="40% - Accent3 6 2 2 6 3" xfId="36124"/>
    <cellStyle name="40% - Accent3 6 2 2 7" xfId="21204"/>
    <cellStyle name="40% - Accent3 6 2 2 7 2" xfId="40959"/>
    <cellStyle name="40% - Accent3 6 2 2 8" xfId="30591"/>
    <cellStyle name="40% - Accent3 6 2 2 8 2" xfId="50339"/>
    <cellStyle name="40% - Accent3 6 2 2 9" xfId="31315"/>
    <cellStyle name="40% - Accent3 6 2 3" xfId="953"/>
    <cellStyle name="40% - Accent3 6 2 3 2" xfId="6822"/>
    <cellStyle name="40% - Accent3 6 2 3 2 2" xfId="6823"/>
    <cellStyle name="40% - Accent3 6 2 3 2 2 2" xfId="6824"/>
    <cellStyle name="40% - Accent3 6 2 3 2 3" xfId="6825"/>
    <cellStyle name="40% - Accent3 6 2 3 3" xfId="6826"/>
    <cellStyle name="40% - Accent3 6 2 3 3 2" xfId="6827"/>
    <cellStyle name="40% - Accent3 6 2 3 4" xfId="6828"/>
    <cellStyle name="40% - Accent3 6 2 3 5" xfId="16299"/>
    <cellStyle name="40% - Accent3 6 2 3 5 2" xfId="26015"/>
    <cellStyle name="40% - Accent3 6 2 3 5 2 2" xfId="45769"/>
    <cellStyle name="40% - Accent3 6 2 3 5 3" xfId="36125"/>
    <cellStyle name="40% - Accent3 6 2 3 6" xfId="21205"/>
    <cellStyle name="40% - Accent3 6 2 3 6 2" xfId="40960"/>
    <cellStyle name="40% - Accent3 6 2 3 7" xfId="31316"/>
    <cellStyle name="40% - Accent3 6 2 4" xfId="6829"/>
    <cellStyle name="40% - Accent3 6 2 4 2" xfId="6830"/>
    <cellStyle name="40% - Accent3 6 2 4 2 2" xfId="6831"/>
    <cellStyle name="40% - Accent3 6 2 4 2 2 2" xfId="6832"/>
    <cellStyle name="40% - Accent3 6 2 4 2 3" xfId="6833"/>
    <cellStyle name="40% - Accent3 6 2 4 3" xfId="6834"/>
    <cellStyle name="40% - Accent3 6 2 4 3 2" xfId="6835"/>
    <cellStyle name="40% - Accent3 6 2 4 4" xfId="6836"/>
    <cellStyle name="40% - Accent3 6 2 5" xfId="6837"/>
    <cellStyle name="40% - Accent3 6 2 5 2" xfId="6838"/>
    <cellStyle name="40% - Accent3 6 2 5 2 2" xfId="6839"/>
    <cellStyle name="40% - Accent3 6 2 5 3" xfId="6840"/>
    <cellStyle name="40% - Accent3 6 2 6" xfId="6841"/>
    <cellStyle name="40% - Accent3 6 2 6 2" xfId="6842"/>
    <cellStyle name="40% - Accent3 6 2 7" xfId="6843"/>
    <cellStyle name="40% - Accent3 6 2 8" xfId="6844"/>
    <cellStyle name="40% - Accent3 6 2 9" xfId="6845"/>
    <cellStyle name="40% - Accent3 6 3" xfId="954"/>
    <cellStyle name="40% - Accent3 6 3 2" xfId="6846"/>
    <cellStyle name="40% - Accent3 6 3 2 2" xfId="6847"/>
    <cellStyle name="40% - Accent3 6 3 2 2 2" xfId="6848"/>
    <cellStyle name="40% - Accent3 6 3 2 3" xfId="6849"/>
    <cellStyle name="40% - Accent3 6 3 3" xfId="6850"/>
    <cellStyle name="40% - Accent3 6 3 3 2" xfId="6851"/>
    <cellStyle name="40% - Accent3 6 3 4" xfId="6852"/>
    <cellStyle name="40% - Accent3 6 3 5" xfId="15582"/>
    <cellStyle name="40% - Accent3 6 3 5 2" xfId="20454"/>
    <cellStyle name="40% - Accent3 6 3 5 2 2" xfId="30168"/>
    <cellStyle name="40% - Accent3 6 3 5 2 2 2" xfId="49921"/>
    <cellStyle name="40% - Accent3 6 3 5 2 3" xfId="40277"/>
    <cellStyle name="40% - Accent3 6 3 5 3" xfId="25356"/>
    <cellStyle name="40% - Accent3 6 3 5 3 2" xfId="45110"/>
    <cellStyle name="40% - Accent3 6 3 5 4" xfId="35466"/>
    <cellStyle name="40% - Accent3 6 3 6" xfId="16300"/>
    <cellStyle name="40% - Accent3 6 3 6 2" xfId="26016"/>
    <cellStyle name="40% - Accent3 6 3 6 2 2" xfId="45770"/>
    <cellStyle name="40% - Accent3 6 3 6 3" xfId="36126"/>
    <cellStyle name="40% - Accent3 6 3 7" xfId="21206"/>
    <cellStyle name="40% - Accent3 6 3 7 2" xfId="40961"/>
    <cellStyle name="40% - Accent3 6 3 8" xfId="30592"/>
    <cellStyle name="40% - Accent3 6 3 8 2" xfId="50340"/>
    <cellStyle name="40% - Accent3 6 3 9" xfId="31317"/>
    <cellStyle name="40% - Accent3 6 4" xfId="955"/>
    <cellStyle name="40% - Accent3 6 4 2" xfId="6853"/>
    <cellStyle name="40% - Accent3 6 4 2 2" xfId="6854"/>
    <cellStyle name="40% - Accent3 6 4 2 2 2" xfId="6855"/>
    <cellStyle name="40% - Accent3 6 4 2 3" xfId="6856"/>
    <cellStyle name="40% - Accent3 6 4 3" xfId="6857"/>
    <cellStyle name="40% - Accent3 6 4 3 2" xfId="6858"/>
    <cellStyle name="40% - Accent3 6 4 4" xfId="6859"/>
    <cellStyle name="40% - Accent3 6 4 5" xfId="16301"/>
    <cellStyle name="40% - Accent3 6 4 5 2" xfId="26017"/>
    <cellStyle name="40% - Accent3 6 4 5 2 2" xfId="45771"/>
    <cellStyle name="40% - Accent3 6 4 5 3" xfId="36127"/>
    <cellStyle name="40% - Accent3 6 4 6" xfId="21207"/>
    <cellStyle name="40% - Accent3 6 4 6 2" xfId="40962"/>
    <cellStyle name="40% - Accent3 6 4 7" xfId="31318"/>
    <cellStyle name="40% - Accent3 6 5" xfId="6860"/>
    <cellStyle name="40% - Accent3 6 5 2" xfId="6861"/>
    <cellStyle name="40% - Accent3 6 5 2 2" xfId="6862"/>
    <cellStyle name="40% - Accent3 6 5 2 2 2" xfId="6863"/>
    <cellStyle name="40% - Accent3 6 5 2 3" xfId="6864"/>
    <cellStyle name="40% - Accent3 6 5 3" xfId="6865"/>
    <cellStyle name="40% - Accent3 6 5 3 2" xfId="6866"/>
    <cellStyle name="40% - Accent3 6 5 4" xfId="6867"/>
    <cellStyle name="40% - Accent3 6 6" xfId="6868"/>
    <cellStyle name="40% - Accent3 6 6 2" xfId="6869"/>
    <cellStyle name="40% - Accent3 6 6 2 2" xfId="6870"/>
    <cellStyle name="40% - Accent3 6 6 3" xfId="6871"/>
    <cellStyle name="40% - Accent3 6 7" xfId="6872"/>
    <cellStyle name="40% - Accent3 6 7 2" xfId="6873"/>
    <cellStyle name="40% - Accent3 6 8" xfId="6874"/>
    <cellStyle name="40% - Accent3 6 8 2" xfId="6875"/>
    <cellStyle name="40% - Accent3 6 9" xfId="6876"/>
    <cellStyle name="40% - Accent3 7" xfId="173"/>
    <cellStyle name="40% - Accent3 7 10" xfId="30936"/>
    <cellStyle name="40% - Accent3 7 2" xfId="174"/>
    <cellStyle name="40% - Accent3 7 2 2" xfId="956"/>
    <cellStyle name="40% - Accent3 7 2 2 2" xfId="6877"/>
    <cellStyle name="40% - Accent3 7 2 2 2 2" xfId="6878"/>
    <cellStyle name="40% - Accent3 7 2 2 3" xfId="6879"/>
    <cellStyle name="40% - Accent3 7 2 2 4" xfId="15585"/>
    <cellStyle name="40% - Accent3 7 2 2 4 2" xfId="20457"/>
    <cellStyle name="40% - Accent3 7 2 2 4 2 2" xfId="30171"/>
    <cellStyle name="40% - Accent3 7 2 2 4 2 2 2" xfId="49924"/>
    <cellStyle name="40% - Accent3 7 2 2 4 2 3" xfId="40280"/>
    <cellStyle name="40% - Accent3 7 2 2 4 3" xfId="25359"/>
    <cellStyle name="40% - Accent3 7 2 2 4 3 2" xfId="45113"/>
    <cellStyle name="40% - Accent3 7 2 2 4 4" xfId="35469"/>
    <cellStyle name="40% - Accent3 7 2 2 5" xfId="16302"/>
    <cellStyle name="40% - Accent3 7 2 2 5 2" xfId="26018"/>
    <cellStyle name="40% - Accent3 7 2 2 5 2 2" xfId="45772"/>
    <cellStyle name="40% - Accent3 7 2 2 5 3" xfId="36128"/>
    <cellStyle name="40% - Accent3 7 2 2 6" xfId="21208"/>
    <cellStyle name="40% - Accent3 7 2 2 6 2" xfId="40963"/>
    <cellStyle name="40% - Accent3 7 2 2 7" xfId="30595"/>
    <cellStyle name="40% - Accent3 7 2 2 7 2" xfId="50343"/>
    <cellStyle name="40% - Accent3 7 2 2 8" xfId="31319"/>
    <cellStyle name="40% - Accent3 7 2 3" xfId="957"/>
    <cellStyle name="40% - Accent3 7 2 3 2" xfId="6880"/>
    <cellStyle name="40% - Accent3 7 2 3 3" xfId="16303"/>
    <cellStyle name="40% - Accent3 7 2 3 3 2" xfId="26019"/>
    <cellStyle name="40% - Accent3 7 2 3 3 2 2" xfId="45773"/>
    <cellStyle name="40% - Accent3 7 2 3 3 3" xfId="36129"/>
    <cellStyle name="40% - Accent3 7 2 3 4" xfId="21209"/>
    <cellStyle name="40% - Accent3 7 2 3 4 2" xfId="40964"/>
    <cellStyle name="40% - Accent3 7 2 3 5" xfId="31320"/>
    <cellStyle name="40% - Accent3 7 2 4" xfId="6881"/>
    <cellStyle name="40% - Accent3 7 2 5" xfId="15584"/>
    <cellStyle name="40% - Accent3 7 2 5 2" xfId="20456"/>
    <cellStyle name="40% - Accent3 7 2 5 2 2" xfId="30170"/>
    <cellStyle name="40% - Accent3 7 2 5 2 2 2" xfId="49923"/>
    <cellStyle name="40% - Accent3 7 2 5 2 3" xfId="40279"/>
    <cellStyle name="40% - Accent3 7 2 5 3" xfId="25358"/>
    <cellStyle name="40% - Accent3 7 2 5 3 2" xfId="45112"/>
    <cellStyle name="40% - Accent3 7 2 5 4" xfId="35468"/>
    <cellStyle name="40% - Accent3 7 2 6" xfId="15948"/>
    <cellStyle name="40% - Accent3 7 2 6 2" xfId="25664"/>
    <cellStyle name="40% - Accent3 7 2 6 2 2" xfId="45418"/>
    <cellStyle name="40% - Accent3 7 2 6 3" xfId="35774"/>
    <cellStyle name="40% - Accent3 7 2 7" xfId="20826"/>
    <cellStyle name="40% - Accent3 7 2 7 2" xfId="40606"/>
    <cellStyle name="40% - Accent3 7 2 8" xfId="30594"/>
    <cellStyle name="40% - Accent3 7 2 8 2" xfId="50342"/>
    <cellStyle name="40% - Accent3 7 2 9" xfId="30937"/>
    <cellStyle name="40% - Accent3 7 3" xfId="958"/>
    <cellStyle name="40% - Accent3 7 3 2" xfId="6882"/>
    <cellStyle name="40% - Accent3 7 3 2 2" xfId="6883"/>
    <cellStyle name="40% - Accent3 7 3 3" xfId="6884"/>
    <cellStyle name="40% - Accent3 7 3 4" xfId="15586"/>
    <cellStyle name="40% - Accent3 7 3 4 2" xfId="20458"/>
    <cellStyle name="40% - Accent3 7 3 4 2 2" xfId="30172"/>
    <cellStyle name="40% - Accent3 7 3 4 2 2 2" xfId="49925"/>
    <cellStyle name="40% - Accent3 7 3 4 2 3" xfId="40281"/>
    <cellStyle name="40% - Accent3 7 3 4 3" xfId="25360"/>
    <cellStyle name="40% - Accent3 7 3 4 3 2" xfId="45114"/>
    <cellStyle name="40% - Accent3 7 3 4 4" xfId="35470"/>
    <cellStyle name="40% - Accent3 7 3 5" xfId="16304"/>
    <cellStyle name="40% - Accent3 7 3 5 2" xfId="26020"/>
    <cellStyle name="40% - Accent3 7 3 5 2 2" xfId="45774"/>
    <cellStyle name="40% - Accent3 7 3 5 3" xfId="36130"/>
    <cellStyle name="40% - Accent3 7 3 6" xfId="21210"/>
    <cellStyle name="40% - Accent3 7 3 6 2" xfId="40965"/>
    <cellStyle name="40% - Accent3 7 3 7" xfId="30596"/>
    <cellStyle name="40% - Accent3 7 3 7 2" xfId="50344"/>
    <cellStyle name="40% - Accent3 7 3 8" xfId="31321"/>
    <cellStyle name="40% - Accent3 7 4" xfId="959"/>
    <cellStyle name="40% - Accent3 7 4 2" xfId="6885"/>
    <cellStyle name="40% - Accent3 7 4 3" xfId="16305"/>
    <cellStyle name="40% - Accent3 7 4 3 2" xfId="26021"/>
    <cellStyle name="40% - Accent3 7 4 3 2 2" xfId="45775"/>
    <cellStyle name="40% - Accent3 7 4 3 3" xfId="36131"/>
    <cellStyle name="40% - Accent3 7 4 4" xfId="21211"/>
    <cellStyle name="40% - Accent3 7 4 4 2" xfId="40966"/>
    <cellStyle name="40% - Accent3 7 4 5" xfId="31322"/>
    <cellStyle name="40% - Accent3 7 5" xfId="6886"/>
    <cellStyle name="40% - Accent3 7 6" xfId="15583"/>
    <cellStyle name="40% - Accent3 7 6 2" xfId="20455"/>
    <cellStyle name="40% - Accent3 7 6 2 2" xfId="30169"/>
    <cellStyle name="40% - Accent3 7 6 2 2 2" xfId="49922"/>
    <cellStyle name="40% - Accent3 7 6 2 3" xfId="40278"/>
    <cellStyle name="40% - Accent3 7 6 3" xfId="25357"/>
    <cellStyle name="40% - Accent3 7 6 3 2" xfId="45111"/>
    <cellStyle name="40% - Accent3 7 6 4" xfId="35467"/>
    <cellStyle name="40% - Accent3 7 7" xfId="15947"/>
    <cellStyle name="40% - Accent3 7 7 2" xfId="25663"/>
    <cellStyle name="40% - Accent3 7 7 2 2" xfId="45417"/>
    <cellStyle name="40% - Accent3 7 7 3" xfId="35773"/>
    <cellStyle name="40% - Accent3 7 8" xfId="20825"/>
    <cellStyle name="40% - Accent3 7 8 2" xfId="40605"/>
    <cellStyle name="40% - Accent3 7 9" xfId="30593"/>
    <cellStyle name="40% - Accent3 7 9 2" xfId="50341"/>
    <cellStyle name="40% - Accent3 8" xfId="175"/>
    <cellStyle name="40% - Accent3 8 10" xfId="30938"/>
    <cellStyle name="40% - Accent3 8 2" xfId="176"/>
    <cellStyle name="40% - Accent3 8 2 2" xfId="960"/>
    <cellStyle name="40% - Accent3 8 2 2 2" xfId="6887"/>
    <cellStyle name="40% - Accent3 8 2 2 2 2" xfId="6888"/>
    <cellStyle name="40% - Accent3 8 2 2 3" xfId="6889"/>
    <cellStyle name="40% - Accent3 8 2 2 4" xfId="15589"/>
    <cellStyle name="40% - Accent3 8 2 2 4 2" xfId="20461"/>
    <cellStyle name="40% - Accent3 8 2 2 4 2 2" xfId="30175"/>
    <cellStyle name="40% - Accent3 8 2 2 4 2 2 2" xfId="49928"/>
    <cellStyle name="40% - Accent3 8 2 2 4 2 3" xfId="40284"/>
    <cellStyle name="40% - Accent3 8 2 2 4 3" xfId="25363"/>
    <cellStyle name="40% - Accent3 8 2 2 4 3 2" xfId="45117"/>
    <cellStyle name="40% - Accent3 8 2 2 4 4" xfId="35473"/>
    <cellStyle name="40% - Accent3 8 2 2 5" xfId="16306"/>
    <cellStyle name="40% - Accent3 8 2 2 5 2" xfId="26022"/>
    <cellStyle name="40% - Accent3 8 2 2 5 2 2" xfId="45776"/>
    <cellStyle name="40% - Accent3 8 2 2 5 3" xfId="36132"/>
    <cellStyle name="40% - Accent3 8 2 2 6" xfId="21212"/>
    <cellStyle name="40% - Accent3 8 2 2 6 2" xfId="40967"/>
    <cellStyle name="40% - Accent3 8 2 2 7" xfId="30599"/>
    <cellStyle name="40% - Accent3 8 2 2 7 2" xfId="50347"/>
    <cellStyle name="40% - Accent3 8 2 2 8" xfId="31323"/>
    <cellStyle name="40% - Accent3 8 2 3" xfId="961"/>
    <cellStyle name="40% - Accent3 8 2 3 2" xfId="6890"/>
    <cellStyle name="40% - Accent3 8 2 3 3" xfId="16307"/>
    <cellStyle name="40% - Accent3 8 2 3 3 2" xfId="26023"/>
    <cellStyle name="40% - Accent3 8 2 3 3 2 2" xfId="45777"/>
    <cellStyle name="40% - Accent3 8 2 3 3 3" xfId="36133"/>
    <cellStyle name="40% - Accent3 8 2 3 4" xfId="21213"/>
    <cellStyle name="40% - Accent3 8 2 3 4 2" xfId="40968"/>
    <cellStyle name="40% - Accent3 8 2 3 5" xfId="31324"/>
    <cellStyle name="40% - Accent3 8 2 4" xfId="6891"/>
    <cellStyle name="40% - Accent3 8 2 5" xfId="15588"/>
    <cellStyle name="40% - Accent3 8 2 5 2" xfId="20460"/>
    <cellStyle name="40% - Accent3 8 2 5 2 2" xfId="30174"/>
    <cellStyle name="40% - Accent3 8 2 5 2 2 2" xfId="49927"/>
    <cellStyle name="40% - Accent3 8 2 5 2 3" xfId="40283"/>
    <cellStyle name="40% - Accent3 8 2 5 3" xfId="25362"/>
    <cellStyle name="40% - Accent3 8 2 5 3 2" xfId="45116"/>
    <cellStyle name="40% - Accent3 8 2 5 4" xfId="35472"/>
    <cellStyle name="40% - Accent3 8 2 6" xfId="15950"/>
    <cellStyle name="40% - Accent3 8 2 6 2" xfId="25666"/>
    <cellStyle name="40% - Accent3 8 2 6 2 2" xfId="45420"/>
    <cellStyle name="40% - Accent3 8 2 6 3" xfId="35776"/>
    <cellStyle name="40% - Accent3 8 2 7" xfId="20828"/>
    <cellStyle name="40% - Accent3 8 2 7 2" xfId="40608"/>
    <cellStyle name="40% - Accent3 8 2 8" xfId="30598"/>
    <cellStyle name="40% - Accent3 8 2 8 2" xfId="50346"/>
    <cellStyle name="40% - Accent3 8 2 9" xfId="30939"/>
    <cellStyle name="40% - Accent3 8 3" xfId="962"/>
    <cellStyle name="40% - Accent3 8 3 2" xfId="6892"/>
    <cellStyle name="40% - Accent3 8 3 2 2" xfId="6893"/>
    <cellStyle name="40% - Accent3 8 3 3" xfId="6894"/>
    <cellStyle name="40% - Accent3 8 3 4" xfId="15590"/>
    <cellStyle name="40% - Accent3 8 3 4 2" xfId="20462"/>
    <cellStyle name="40% - Accent3 8 3 4 2 2" xfId="30176"/>
    <cellStyle name="40% - Accent3 8 3 4 2 2 2" xfId="49929"/>
    <cellStyle name="40% - Accent3 8 3 4 2 3" xfId="40285"/>
    <cellStyle name="40% - Accent3 8 3 4 3" xfId="25364"/>
    <cellStyle name="40% - Accent3 8 3 4 3 2" xfId="45118"/>
    <cellStyle name="40% - Accent3 8 3 4 4" xfId="35474"/>
    <cellStyle name="40% - Accent3 8 3 5" xfId="16308"/>
    <cellStyle name="40% - Accent3 8 3 5 2" xfId="26024"/>
    <cellStyle name="40% - Accent3 8 3 5 2 2" xfId="45778"/>
    <cellStyle name="40% - Accent3 8 3 5 3" xfId="36134"/>
    <cellStyle name="40% - Accent3 8 3 6" xfId="21214"/>
    <cellStyle name="40% - Accent3 8 3 6 2" xfId="40969"/>
    <cellStyle name="40% - Accent3 8 3 7" xfId="30600"/>
    <cellStyle name="40% - Accent3 8 3 7 2" xfId="50348"/>
    <cellStyle name="40% - Accent3 8 3 8" xfId="31325"/>
    <cellStyle name="40% - Accent3 8 4" xfId="963"/>
    <cellStyle name="40% - Accent3 8 4 2" xfId="6895"/>
    <cellStyle name="40% - Accent3 8 4 3" xfId="16309"/>
    <cellStyle name="40% - Accent3 8 4 3 2" xfId="26025"/>
    <cellStyle name="40% - Accent3 8 4 3 2 2" xfId="45779"/>
    <cellStyle name="40% - Accent3 8 4 3 3" xfId="36135"/>
    <cellStyle name="40% - Accent3 8 4 4" xfId="21215"/>
    <cellStyle name="40% - Accent3 8 4 4 2" xfId="40970"/>
    <cellStyle name="40% - Accent3 8 4 5" xfId="31326"/>
    <cellStyle name="40% - Accent3 8 5" xfId="6896"/>
    <cellStyle name="40% - Accent3 8 6" xfId="15587"/>
    <cellStyle name="40% - Accent3 8 6 2" xfId="20459"/>
    <cellStyle name="40% - Accent3 8 6 2 2" xfId="30173"/>
    <cellStyle name="40% - Accent3 8 6 2 2 2" xfId="49926"/>
    <cellStyle name="40% - Accent3 8 6 2 3" xfId="40282"/>
    <cellStyle name="40% - Accent3 8 6 3" xfId="25361"/>
    <cellStyle name="40% - Accent3 8 6 3 2" xfId="45115"/>
    <cellStyle name="40% - Accent3 8 6 4" xfId="35471"/>
    <cellStyle name="40% - Accent3 8 7" xfId="15949"/>
    <cellStyle name="40% - Accent3 8 7 2" xfId="25665"/>
    <cellStyle name="40% - Accent3 8 7 2 2" xfId="45419"/>
    <cellStyle name="40% - Accent3 8 7 3" xfId="35775"/>
    <cellStyle name="40% - Accent3 8 8" xfId="20827"/>
    <cellStyle name="40% - Accent3 8 8 2" xfId="40607"/>
    <cellStyle name="40% - Accent3 8 9" xfId="30597"/>
    <cellStyle name="40% - Accent3 8 9 2" xfId="50345"/>
    <cellStyle name="40% - Accent3 9" xfId="177"/>
    <cellStyle name="40% - Accent3 9 2" xfId="964"/>
    <cellStyle name="40% - Accent3 9 2 2" xfId="6897"/>
    <cellStyle name="40% - Accent3 9 2 2 2" xfId="6898"/>
    <cellStyle name="40% - Accent3 9 2 3" xfId="6899"/>
    <cellStyle name="40% - Accent3 9 2 4" xfId="15592"/>
    <cellStyle name="40% - Accent3 9 2 4 2" xfId="20464"/>
    <cellStyle name="40% - Accent3 9 2 4 2 2" xfId="30178"/>
    <cellStyle name="40% - Accent3 9 2 4 2 2 2" xfId="49931"/>
    <cellStyle name="40% - Accent3 9 2 4 2 3" xfId="40287"/>
    <cellStyle name="40% - Accent3 9 2 4 3" xfId="25366"/>
    <cellStyle name="40% - Accent3 9 2 4 3 2" xfId="45120"/>
    <cellStyle name="40% - Accent3 9 2 4 4" xfId="35476"/>
    <cellStyle name="40% - Accent3 9 2 5" xfId="16310"/>
    <cellStyle name="40% - Accent3 9 2 5 2" xfId="26026"/>
    <cellStyle name="40% - Accent3 9 2 5 2 2" xfId="45780"/>
    <cellStyle name="40% - Accent3 9 2 5 3" xfId="36136"/>
    <cellStyle name="40% - Accent3 9 2 6" xfId="21216"/>
    <cellStyle name="40% - Accent3 9 2 6 2" xfId="40971"/>
    <cellStyle name="40% - Accent3 9 2 7" xfId="30602"/>
    <cellStyle name="40% - Accent3 9 2 7 2" xfId="50350"/>
    <cellStyle name="40% - Accent3 9 2 8" xfId="31327"/>
    <cellStyle name="40% - Accent3 9 3" xfId="965"/>
    <cellStyle name="40% - Accent3 9 3 2" xfId="6900"/>
    <cellStyle name="40% - Accent3 9 3 3" xfId="16311"/>
    <cellStyle name="40% - Accent3 9 3 3 2" xfId="26027"/>
    <cellStyle name="40% - Accent3 9 3 3 2 2" xfId="45781"/>
    <cellStyle name="40% - Accent3 9 3 3 3" xfId="36137"/>
    <cellStyle name="40% - Accent3 9 3 4" xfId="21217"/>
    <cellStyle name="40% - Accent3 9 3 4 2" xfId="40972"/>
    <cellStyle name="40% - Accent3 9 3 5" xfId="31328"/>
    <cellStyle name="40% - Accent3 9 4" xfId="6901"/>
    <cellStyle name="40% - Accent3 9 5" xfId="15591"/>
    <cellStyle name="40% - Accent3 9 5 2" xfId="20463"/>
    <cellStyle name="40% - Accent3 9 5 2 2" xfId="30177"/>
    <cellStyle name="40% - Accent3 9 5 2 2 2" xfId="49930"/>
    <cellStyle name="40% - Accent3 9 5 2 3" xfId="40286"/>
    <cellStyle name="40% - Accent3 9 5 3" xfId="25365"/>
    <cellStyle name="40% - Accent3 9 5 3 2" xfId="45119"/>
    <cellStyle name="40% - Accent3 9 5 4" xfId="35475"/>
    <cellStyle name="40% - Accent3 9 6" xfId="15951"/>
    <cellStyle name="40% - Accent3 9 6 2" xfId="25667"/>
    <cellStyle name="40% - Accent3 9 6 2 2" xfId="45421"/>
    <cellStyle name="40% - Accent3 9 6 3" xfId="35777"/>
    <cellStyle name="40% - Accent3 9 7" xfId="20829"/>
    <cellStyle name="40% - Accent3 9 7 2" xfId="40609"/>
    <cellStyle name="40% - Accent3 9 8" xfId="30601"/>
    <cellStyle name="40% - Accent3 9 8 2" xfId="50349"/>
    <cellStyle name="40% - Accent3 9 9" xfId="30940"/>
    <cellStyle name="40% - Accent4" xfId="178" builtinId="43" customBuiltin="1"/>
    <cellStyle name="40% - Accent4 10" xfId="179"/>
    <cellStyle name="40% - Accent4 10 2" xfId="966"/>
    <cellStyle name="40% - Accent4 10 2 2" xfId="6902"/>
    <cellStyle name="40% - Accent4 10 2 2 2" xfId="6903"/>
    <cellStyle name="40% - Accent4 10 2 3" xfId="6904"/>
    <cellStyle name="40% - Accent4 10 2 4" xfId="16312"/>
    <cellStyle name="40% - Accent4 10 2 4 2" xfId="26028"/>
    <cellStyle name="40% - Accent4 10 2 4 2 2" xfId="45782"/>
    <cellStyle name="40% - Accent4 10 2 4 3" xfId="36138"/>
    <cellStyle name="40% - Accent4 10 2 5" xfId="21218"/>
    <cellStyle name="40% - Accent4 10 2 5 2" xfId="40973"/>
    <cellStyle name="40% - Accent4 10 2 6" xfId="31329"/>
    <cellStyle name="40% - Accent4 10 3" xfId="967"/>
    <cellStyle name="40% - Accent4 10 3 2" xfId="6905"/>
    <cellStyle name="40% - Accent4 10 3 3" xfId="16313"/>
    <cellStyle name="40% - Accent4 10 3 3 2" xfId="26029"/>
    <cellStyle name="40% - Accent4 10 3 3 2 2" xfId="45783"/>
    <cellStyle name="40% - Accent4 10 3 3 3" xfId="36139"/>
    <cellStyle name="40% - Accent4 10 3 4" xfId="21219"/>
    <cellStyle name="40% - Accent4 10 3 4 2" xfId="40974"/>
    <cellStyle name="40% - Accent4 10 3 5" xfId="31330"/>
    <cellStyle name="40% - Accent4 10 4" xfId="6906"/>
    <cellStyle name="40% - Accent4 10 5" xfId="15594"/>
    <cellStyle name="40% - Accent4 10 5 2" xfId="20466"/>
    <cellStyle name="40% - Accent4 10 5 2 2" xfId="30180"/>
    <cellStyle name="40% - Accent4 10 5 2 2 2" xfId="49933"/>
    <cellStyle name="40% - Accent4 10 5 2 3" xfId="40289"/>
    <cellStyle name="40% - Accent4 10 5 3" xfId="25368"/>
    <cellStyle name="40% - Accent4 10 5 3 2" xfId="45122"/>
    <cellStyle name="40% - Accent4 10 5 4" xfId="35478"/>
    <cellStyle name="40% - Accent4 10 6" xfId="15953"/>
    <cellStyle name="40% - Accent4 10 6 2" xfId="25669"/>
    <cellStyle name="40% - Accent4 10 6 2 2" xfId="45423"/>
    <cellStyle name="40% - Accent4 10 6 3" xfId="35779"/>
    <cellStyle name="40% - Accent4 10 7" xfId="20831"/>
    <cellStyle name="40% - Accent4 10 7 2" xfId="40611"/>
    <cellStyle name="40% - Accent4 10 8" xfId="30603"/>
    <cellStyle name="40% - Accent4 10 8 2" xfId="50351"/>
    <cellStyle name="40% - Accent4 10 9" xfId="30942"/>
    <cellStyle name="40% - Accent4 11" xfId="180"/>
    <cellStyle name="40% - Accent4 11 2" xfId="968"/>
    <cellStyle name="40% - Accent4 11 2 2" xfId="16314"/>
    <cellStyle name="40% - Accent4 11 2 2 2" xfId="26030"/>
    <cellStyle name="40% - Accent4 11 2 2 2 2" xfId="45784"/>
    <cellStyle name="40% - Accent4 11 2 2 3" xfId="36140"/>
    <cellStyle name="40% - Accent4 11 2 3" xfId="21220"/>
    <cellStyle name="40% - Accent4 11 2 3 2" xfId="40975"/>
    <cellStyle name="40% - Accent4 11 2 4" xfId="31331"/>
    <cellStyle name="40% - Accent4 11 3" xfId="15595"/>
    <cellStyle name="40% - Accent4 11 3 2" xfId="20467"/>
    <cellStyle name="40% - Accent4 11 3 2 2" xfId="30181"/>
    <cellStyle name="40% - Accent4 11 3 2 2 2" xfId="49934"/>
    <cellStyle name="40% - Accent4 11 3 2 3" xfId="40290"/>
    <cellStyle name="40% - Accent4 11 3 3" xfId="25369"/>
    <cellStyle name="40% - Accent4 11 3 3 2" xfId="45123"/>
    <cellStyle name="40% - Accent4 11 3 4" xfId="35479"/>
    <cellStyle name="40% - Accent4 11 4" xfId="15952"/>
    <cellStyle name="40% - Accent4 11 4 2" xfId="25668"/>
    <cellStyle name="40% - Accent4 11 4 2 2" xfId="45422"/>
    <cellStyle name="40% - Accent4 11 4 3" xfId="35778"/>
    <cellStyle name="40% - Accent4 11 5" xfId="20832"/>
    <cellStyle name="40% - Accent4 11 5 2" xfId="40612"/>
    <cellStyle name="40% - Accent4 11 6" xfId="30604"/>
    <cellStyle name="40% - Accent4 11 6 2" xfId="50352"/>
    <cellStyle name="40% - Accent4 11 7" xfId="30943"/>
    <cellStyle name="40% - Accent4 12" xfId="969"/>
    <cellStyle name="40% - Accent4 12 2" xfId="16315"/>
    <cellStyle name="40% - Accent4 12 2 2" xfId="26031"/>
    <cellStyle name="40% - Accent4 12 2 2 2" xfId="45785"/>
    <cellStyle name="40% - Accent4 12 2 3" xfId="36141"/>
    <cellStyle name="40% - Accent4 12 3" xfId="21221"/>
    <cellStyle name="40% - Accent4 12 3 2" xfId="40976"/>
    <cellStyle name="40% - Accent4 12 4" xfId="31332"/>
    <cellStyle name="40% - Accent4 13" xfId="970"/>
    <cellStyle name="40% - Accent4 13 2" xfId="16316"/>
    <cellStyle name="40% - Accent4 13 2 2" xfId="26032"/>
    <cellStyle name="40% - Accent4 13 2 2 2" xfId="45786"/>
    <cellStyle name="40% - Accent4 13 2 3" xfId="36142"/>
    <cellStyle name="40% - Accent4 13 3" xfId="21222"/>
    <cellStyle name="40% - Accent4 13 3 2" xfId="40977"/>
    <cellStyle name="40% - Accent4 13 4" xfId="31333"/>
    <cellStyle name="40% - Accent4 14" xfId="971"/>
    <cellStyle name="40% - Accent4 14 2" xfId="16317"/>
    <cellStyle name="40% - Accent4 14 2 2" xfId="26033"/>
    <cellStyle name="40% - Accent4 14 2 2 2" xfId="45787"/>
    <cellStyle name="40% - Accent4 14 2 3" xfId="36143"/>
    <cellStyle name="40% - Accent4 14 3" xfId="21223"/>
    <cellStyle name="40% - Accent4 14 3 2" xfId="40978"/>
    <cellStyle name="40% - Accent4 14 4" xfId="31334"/>
    <cellStyle name="40% - Accent4 15" xfId="15323"/>
    <cellStyle name="40% - Accent4 15 2" xfId="20220"/>
    <cellStyle name="40% - Accent4 15 2 2" xfId="29934"/>
    <cellStyle name="40% - Accent4 15 2 2 2" xfId="49687"/>
    <cellStyle name="40% - Accent4 15 2 3" xfId="40043"/>
    <cellStyle name="40% - Accent4 15 3" xfId="25122"/>
    <cellStyle name="40% - Accent4 15 3 2" xfId="44876"/>
    <cellStyle name="40% - Accent4 15 4" xfId="35232"/>
    <cellStyle name="40% - Accent4 16" xfId="15593"/>
    <cellStyle name="40% - Accent4 16 2" xfId="20465"/>
    <cellStyle name="40% - Accent4 16 2 2" xfId="30179"/>
    <cellStyle name="40% - Accent4 16 2 2 2" xfId="49932"/>
    <cellStyle name="40% - Accent4 16 2 3" xfId="40288"/>
    <cellStyle name="40% - Accent4 16 3" xfId="25367"/>
    <cellStyle name="40% - Accent4 16 3 2" xfId="45121"/>
    <cellStyle name="40% - Accent4 16 4" xfId="35477"/>
    <cellStyle name="40% - Accent4 17" xfId="15807"/>
    <cellStyle name="40% - Accent4 17 2" xfId="25523"/>
    <cellStyle name="40% - Accent4 17 2 2" xfId="45277"/>
    <cellStyle name="40% - Accent4 17 3" xfId="35633"/>
    <cellStyle name="40% - Accent4 18" xfId="20645"/>
    <cellStyle name="40% - Accent4 18 2" xfId="30329"/>
    <cellStyle name="40% - Accent4 18 2 2" xfId="50081"/>
    <cellStyle name="40% - Accent4 18 3" xfId="40437"/>
    <cellStyle name="40% - Accent4 19" xfId="20673"/>
    <cellStyle name="40% - Accent4 19 2" xfId="30350"/>
    <cellStyle name="40% - Accent4 19 2 2" xfId="50099"/>
    <cellStyle name="40% - Accent4 19 3" xfId="40455"/>
    <cellStyle name="40% - Accent4 2" xfId="181"/>
    <cellStyle name="40% - Accent4 2 10" xfId="6907"/>
    <cellStyle name="40% - Accent4 2 10 2" xfId="6908"/>
    <cellStyle name="40% - Accent4 2 11" xfId="6909"/>
    <cellStyle name="40% - Accent4 2 12" xfId="6910"/>
    <cellStyle name="40% - Accent4 2 13" xfId="6911"/>
    <cellStyle name="40% - Accent4 2 2" xfId="182"/>
    <cellStyle name="40% - Accent4 2 2 10" xfId="6912"/>
    <cellStyle name="40% - Accent4 2 2 11" xfId="6913"/>
    <cellStyle name="40% - Accent4 2 2 12" xfId="6914"/>
    <cellStyle name="40% - Accent4 2 2 2" xfId="6915"/>
    <cellStyle name="40% - Accent4 2 2 2 10" xfId="6916"/>
    <cellStyle name="40% - Accent4 2 2 2 2" xfId="6917"/>
    <cellStyle name="40% - Accent4 2 2 2 2 2" xfId="6918"/>
    <cellStyle name="40% - Accent4 2 2 2 2 2 2" xfId="6919"/>
    <cellStyle name="40% - Accent4 2 2 2 2 2 2 2" xfId="6920"/>
    <cellStyle name="40% - Accent4 2 2 2 2 2 2 2 2" xfId="6921"/>
    <cellStyle name="40% - Accent4 2 2 2 2 2 2 3" xfId="6922"/>
    <cellStyle name="40% - Accent4 2 2 2 2 2 3" xfId="6923"/>
    <cellStyle name="40% - Accent4 2 2 2 2 2 3 2" xfId="6924"/>
    <cellStyle name="40% - Accent4 2 2 2 2 2 4" xfId="6925"/>
    <cellStyle name="40% - Accent4 2 2 2 2 3" xfId="6926"/>
    <cellStyle name="40% - Accent4 2 2 2 2 3 2" xfId="6927"/>
    <cellStyle name="40% - Accent4 2 2 2 2 3 2 2" xfId="6928"/>
    <cellStyle name="40% - Accent4 2 2 2 2 3 3" xfId="6929"/>
    <cellStyle name="40% - Accent4 2 2 2 2 4" xfId="6930"/>
    <cellStyle name="40% - Accent4 2 2 2 2 4 2" xfId="6931"/>
    <cellStyle name="40% - Accent4 2 2 2 2 5" xfId="6932"/>
    <cellStyle name="40% - Accent4 2 2 2 2 6" xfId="6933"/>
    <cellStyle name="40% - Accent4 2 2 2 2 7" xfId="6934"/>
    <cellStyle name="40% - Accent4 2 2 2 3" xfId="6935"/>
    <cellStyle name="40% - Accent4 2 2 2 3 2" xfId="6936"/>
    <cellStyle name="40% - Accent4 2 2 2 3 2 2" xfId="6937"/>
    <cellStyle name="40% - Accent4 2 2 2 3 2 2 2" xfId="6938"/>
    <cellStyle name="40% - Accent4 2 2 2 3 2 3" xfId="6939"/>
    <cellStyle name="40% - Accent4 2 2 2 3 3" xfId="6940"/>
    <cellStyle name="40% - Accent4 2 2 2 3 3 2" xfId="6941"/>
    <cellStyle name="40% - Accent4 2 2 2 3 4" xfId="6942"/>
    <cellStyle name="40% - Accent4 2 2 2 4" xfId="6943"/>
    <cellStyle name="40% - Accent4 2 2 2 4 2" xfId="6944"/>
    <cellStyle name="40% - Accent4 2 2 2 4 2 2" xfId="6945"/>
    <cellStyle name="40% - Accent4 2 2 2 4 2 2 2" xfId="6946"/>
    <cellStyle name="40% - Accent4 2 2 2 4 2 3" xfId="6947"/>
    <cellStyle name="40% - Accent4 2 2 2 4 3" xfId="6948"/>
    <cellStyle name="40% - Accent4 2 2 2 4 3 2" xfId="6949"/>
    <cellStyle name="40% - Accent4 2 2 2 4 4" xfId="6950"/>
    <cellStyle name="40% - Accent4 2 2 2 5" xfId="6951"/>
    <cellStyle name="40% - Accent4 2 2 2 5 2" xfId="6952"/>
    <cellStyle name="40% - Accent4 2 2 2 5 2 2" xfId="6953"/>
    <cellStyle name="40% - Accent4 2 2 2 5 3" xfId="6954"/>
    <cellStyle name="40% - Accent4 2 2 2 6" xfId="6955"/>
    <cellStyle name="40% - Accent4 2 2 2 6 2" xfId="6956"/>
    <cellStyle name="40% - Accent4 2 2 2 7" xfId="6957"/>
    <cellStyle name="40% - Accent4 2 2 2 7 2" xfId="6958"/>
    <cellStyle name="40% - Accent4 2 2 2 8" xfId="6959"/>
    <cellStyle name="40% - Accent4 2 2 2 9" xfId="6960"/>
    <cellStyle name="40% - Accent4 2 2 3" xfId="6961"/>
    <cellStyle name="40% - Accent4 2 2 3 2" xfId="6962"/>
    <cellStyle name="40% - Accent4 2 2 3 2 2" xfId="6963"/>
    <cellStyle name="40% - Accent4 2 2 3 2 2 2" xfId="6964"/>
    <cellStyle name="40% - Accent4 2 2 3 2 2 2 2" xfId="6965"/>
    <cellStyle name="40% - Accent4 2 2 3 2 2 3" xfId="6966"/>
    <cellStyle name="40% - Accent4 2 2 3 2 3" xfId="6967"/>
    <cellStyle name="40% - Accent4 2 2 3 2 3 2" xfId="6968"/>
    <cellStyle name="40% - Accent4 2 2 3 2 4" xfId="6969"/>
    <cellStyle name="40% - Accent4 2 2 3 3" xfId="6970"/>
    <cellStyle name="40% - Accent4 2 2 3 3 2" xfId="6971"/>
    <cellStyle name="40% - Accent4 2 2 3 3 2 2" xfId="6972"/>
    <cellStyle name="40% - Accent4 2 2 3 3 3" xfId="6973"/>
    <cellStyle name="40% - Accent4 2 2 3 4" xfId="6974"/>
    <cellStyle name="40% - Accent4 2 2 3 4 2" xfId="6975"/>
    <cellStyle name="40% - Accent4 2 2 3 5" xfId="6976"/>
    <cellStyle name="40% - Accent4 2 2 3 6" xfId="6977"/>
    <cellStyle name="40% - Accent4 2 2 3 7" xfId="6978"/>
    <cellStyle name="40% - Accent4 2 2 4" xfId="6979"/>
    <cellStyle name="40% - Accent4 2 2 4 2" xfId="6980"/>
    <cellStyle name="40% - Accent4 2 2 4 2 2" xfId="6981"/>
    <cellStyle name="40% - Accent4 2 2 4 2 2 2" xfId="6982"/>
    <cellStyle name="40% - Accent4 2 2 4 2 3" xfId="6983"/>
    <cellStyle name="40% - Accent4 2 2 4 3" xfId="6984"/>
    <cellStyle name="40% - Accent4 2 2 4 3 2" xfId="6985"/>
    <cellStyle name="40% - Accent4 2 2 4 4" xfId="6986"/>
    <cellStyle name="40% - Accent4 2 2 5" xfId="6987"/>
    <cellStyle name="40% - Accent4 2 2 5 2" xfId="6988"/>
    <cellStyle name="40% - Accent4 2 2 5 2 2" xfId="6989"/>
    <cellStyle name="40% - Accent4 2 2 5 2 2 2" xfId="6990"/>
    <cellStyle name="40% - Accent4 2 2 5 2 3" xfId="6991"/>
    <cellStyle name="40% - Accent4 2 2 5 3" xfId="6992"/>
    <cellStyle name="40% - Accent4 2 2 5 3 2" xfId="6993"/>
    <cellStyle name="40% - Accent4 2 2 5 4" xfId="6994"/>
    <cellStyle name="40% - Accent4 2 2 6" xfId="6995"/>
    <cellStyle name="40% - Accent4 2 2 6 2" xfId="6996"/>
    <cellStyle name="40% - Accent4 2 2 7" xfId="6997"/>
    <cellStyle name="40% - Accent4 2 2 7 2" xfId="6998"/>
    <cellStyle name="40% - Accent4 2 2 7 2 2" xfId="6999"/>
    <cellStyle name="40% - Accent4 2 2 7 3" xfId="7000"/>
    <cellStyle name="40% - Accent4 2 2 8" xfId="7001"/>
    <cellStyle name="40% - Accent4 2 2 8 2" xfId="7002"/>
    <cellStyle name="40% - Accent4 2 2 9" xfId="7003"/>
    <cellStyle name="40% - Accent4 2 2 9 2" xfId="7004"/>
    <cellStyle name="40% - Accent4 2 3" xfId="183"/>
    <cellStyle name="40% - Accent4 2 3 10" xfId="7005"/>
    <cellStyle name="40% - Accent4 2 3 11" xfId="15596"/>
    <cellStyle name="40% - Accent4 2 3 11 2" xfId="20468"/>
    <cellStyle name="40% - Accent4 2 3 11 2 2" xfId="30182"/>
    <cellStyle name="40% - Accent4 2 3 11 2 2 2" xfId="49935"/>
    <cellStyle name="40% - Accent4 2 3 11 2 3" xfId="40291"/>
    <cellStyle name="40% - Accent4 2 3 11 3" xfId="25370"/>
    <cellStyle name="40% - Accent4 2 3 11 3 2" xfId="45124"/>
    <cellStyle name="40% - Accent4 2 3 11 4" xfId="35480"/>
    <cellStyle name="40% - Accent4 2 3 12" xfId="15954"/>
    <cellStyle name="40% - Accent4 2 3 12 2" xfId="25670"/>
    <cellStyle name="40% - Accent4 2 3 12 2 2" xfId="45424"/>
    <cellStyle name="40% - Accent4 2 3 12 3" xfId="35780"/>
    <cellStyle name="40% - Accent4 2 3 13" xfId="20833"/>
    <cellStyle name="40% - Accent4 2 3 13 2" xfId="40613"/>
    <cellStyle name="40% - Accent4 2 3 14" xfId="30605"/>
    <cellStyle name="40% - Accent4 2 3 14 2" xfId="50353"/>
    <cellStyle name="40% - Accent4 2 3 15" xfId="30944"/>
    <cellStyle name="40% - Accent4 2 3 2" xfId="972"/>
    <cellStyle name="40% - Accent4 2 3 2 10" xfId="31335"/>
    <cellStyle name="40% - Accent4 2 3 2 2" xfId="7006"/>
    <cellStyle name="40% - Accent4 2 3 2 2 2" xfId="7007"/>
    <cellStyle name="40% - Accent4 2 3 2 2 2 2" xfId="7008"/>
    <cellStyle name="40% - Accent4 2 3 2 2 2 2 2" xfId="7009"/>
    <cellStyle name="40% - Accent4 2 3 2 2 2 3" xfId="7010"/>
    <cellStyle name="40% - Accent4 2 3 2 2 3" xfId="7011"/>
    <cellStyle name="40% - Accent4 2 3 2 2 3 2" xfId="7012"/>
    <cellStyle name="40% - Accent4 2 3 2 2 4" xfId="7013"/>
    <cellStyle name="40% - Accent4 2 3 2 3" xfId="7014"/>
    <cellStyle name="40% - Accent4 2 3 2 3 2" xfId="7015"/>
    <cellStyle name="40% - Accent4 2 3 2 3 2 2" xfId="7016"/>
    <cellStyle name="40% - Accent4 2 3 2 3 3" xfId="7017"/>
    <cellStyle name="40% - Accent4 2 3 2 4" xfId="7018"/>
    <cellStyle name="40% - Accent4 2 3 2 4 2" xfId="7019"/>
    <cellStyle name="40% - Accent4 2 3 2 5" xfId="7020"/>
    <cellStyle name="40% - Accent4 2 3 2 6" xfId="7021"/>
    <cellStyle name="40% - Accent4 2 3 2 7" xfId="7022"/>
    <cellStyle name="40% - Accent4 2 3 2 8" xfId="16318"/>
    <cellStyle name="40% - Accent4 2 3 2 8 2" xfId="26034"/>
    <cellStyle name="40% - Accent4 2 3 2 8 2 2" xfId="45788"/>
    <cellStyle name="40% - Accent4 2 3 2 8 3" xfId="36144"/>
    <cellStyle name="40% - Accent4 2 3 2 9" xfId="21224"/>
    <cellStyle name="40% - Accent4 2 3 2 9 2" xfId="40979"/>
    <cellStyle name="40% - Accent4 2 3 3" xfId="7023"/>
    <cellStyle name="40% - Accent4 2 3 3 2" xfId="7024"/>
    <cellStyle name="40% - Accent4 2 3 3 2 2" xfId="7025"/>
    <cellStyle name="40% - Accent4 2 3 3 2 2 2" xfId="7026"/>
    <cellStyle name="40% - Accent4 2 3 3 2 3" xfId="7027"/>
    <cellStyle name="40% - Accent4 2 3 3 3" xfId="7028"/>
    <cellStyle name="40% - Accent4 2 3 3 3 2" xfId="7029"/>
    <cellStyle name="40% - Accent4 2 3 3 4" xfId="7030"/>
    <cellStyle name="40% - Accent4 2 3 4" xfId="7031"/>
    <cellStyle name="40% - Accent4 2 3 4 2" xfId="7032"/>
    <cellStyle name="40% - Accent4 2 3 4 2 2" xfId="7033"/>
    <cellStyle name="40% - Accent4 2 3 4 2 2 2" xfId="7034"/>
    <cellStyle name="40% - Accent4 2 3 4 2 3" xfId="7035"/>
    <cellStyle name="40% - Accent4 2 3 4 3" xfId="7036"/>
    <cellStyle name="40% - Accent4 2 3 4 3 2" xfId="7037"/>
    <cellStyle name="40% - Accent4 2 3 4 4" xfId="7038"/>
    <cellStyle name="40% - Accent4 2 3 5" xfId="7039"/>
    <cellStyle name="40% - Accent4 2 3 5 2" xfId="7040"/>
    <cellStyle name="40% - Accent4 2 3 5 2 2" xfId="7041"/>
    <cellStyle name="40% - Accent4 2 3 5 3" xfId="7042"/>
    <cellStyle name="40% - Accent4 2 3 6" xfId="7043"/>
    <cellStyle name="40% - Accent4 2 3 6 2" xfId="7044"/>
    <cellStyle name="40% - Accent4 2 3 7" xfId="7045"/>
    <cellStyle name="40% - Accent4 2 3 7 2" xfId="7046"/>
    <cellStyle name="40% - Accent4 2 3 8" xfId="7047"/>
    <cellStyle name="40% - Accent4 2 3 9" xfId="7048"/>
    <cellStyle name="40% - Accent4 2 4" xfId="7049"/>
    <cellStyle name="40% - Accent4 2 4 2" xfId="7050"/>
    <cellStyle name="40% - Accent4 2 4 2 2" xfId="7051"/>
    <cellStyle name="40% - Accent4 2 4 2 2 2" xfId="7052"/>
    <cellStyle name="40% - Accent4 2 4 2 2 2 2" xfId="7053"/>
    <cellStyle name="40% - Accent4 2 4 2 2 3" xfId="7054"/>
    <cellStyle name="40% - Accent4 2 4 2 3" xfId="7055"/>
    <cellStyle name="40% - Accent4 2 4 2 3 2" xfId="7056"/>
    <cellStyle name="40% - Accent4 2 4 2 4" xfId="7057"/>
    <cellStyle name="40% - Accent4 2 4 3" xfId="7058"/>
    <cellStyle name="40% - Accent4 2 4 3 2" xfId="7059"/>
    <cellStyle name="40% - Accent4 2 4 3 2 2" xfId="7060"/>
    <cellStyle name="40% - Accent4 2 4 3 3" xfId="7061"/>
    <cellStyle name="40% - Accent4 2 4 4" xfId="7062"/>
    <cellStyle name="40% - Accent4 2 4 4 2" xfId="7063"/>
    <cellStyle name="40% - Accent4 2 4 5" xfId="7064"/>
    <cellStyle name="40% - Accent4 2 4 6" xfId="7065"/>
    <cellStyle name="40% - Accent4 2 4 7" xfId="7066"/>
    <cellStyle name="40% - Accent4 2 5" xfId="7067"/>
    <cellStyle name="40% - Accent4 2 5 2" xfId="7068"/>
    <cellStyle name="40% - Accent4 2 5 2 2" xfId="7069"/>
    <cellStyle name="40% - Accent4 2 5 2 2 2" xfId="7070"/>
    <cellStyle name="40% - Accent4 2 5 2 3" xfId="7071"/>
    <cellStyle name="40% - Accent4 2 5 3" xfId="7072"/>
    <cellStyle name="40% - Accent4 2 5 3 2" xfId="7073"/>
    <cellStyle name="40% - Accent4 2 5 4" xfId="7074"/>
    <cellStyle name="40% - Accent4 2 6" xfId="7075"/>
    <cellStyle name="40% - Accent4 2 6 2" xfId="7076"/>
    <cellStyle name="40% - Accent4 2 6 2 2" xfId="7077"/>
    <cellStyle name="40% - Accent4 2 6 2 2 2" xfId="7078"/>
    <cellStyle name="40% - Accent4 2 6 2 3" xfId="7079"/>
    <cellStyle name="40% - Accent4 2 6 3" xfId="7080"/>
    <cellStyle name="40% - Accent4 2 6 3 2" xfId="7081"/>
    <cellStyle name="40% - Accent4 2 6 4" xfId="7082"/>
    <cellStyle name="40% - Accent4 2 7" xfId="7083"/>
    <cellStyle name="40% - Accent4 2 7 2" xfId="7084"/>
    <cellStyle name="40% - Accent4 2 8" xfId="7085"/>
    <cellStyle name="40% - Accent4 2 8 2" xfId="7086"/>
    <cellStyle name="40% - Accent4 2 8 2 2" xfId="7087"/>
    <cellStyle name="40% - Accent4 2 8 3" xfId="7088"/>
    <cellStyle name="40% - Accent4 2 9" xfId="7089"/>
    <cellStyle name="40% - Accent4 2 9 2" xfId="7090"/>
    <cellStyle name="40% - Accent4 20" xfId="20830"/>
    <cellStyle name="40% - Accent4 20 2" xfId="40610"/>
    <cellStyle name="40% - Accent4 21" xfId="30364"/>
    <cellStyle name="40% - Accent4 21 2" xfId="50113"/>
    <cellStyle name="40% - Accent4 22" xfId="30774"/>
    <cellStyle name="40% - Accent4 22 2" xfId="50513"/>
    <cellStyle name="40% - Accent4 23" xfId="30941"/>
    <cellStyle name="40% - Accent4 24" xfId="30788"/>
    <cellStyle name="40% - Accent4 25" xfId="50529"/>
    <cellStyle name="40% - Accent4 3" xfId="184"/>
    <cellStyle name="40% - Accent4 3 10" xfId="7091"/>
    <cellStyle name="40% - Accent4 3 10 2" xfId="7092"/>
    <cellStyle name="40% - Accent4 3 11" xfId="7093"/>
    <cellStyle name="40% - Accent4 3 12" xfId="7094"/>
    <cellStyle name="40% - Accent4 3 13" xfId="7095"/>
    <cellStyle name="40% - Accent4 3 2" xfId="7096"/>
    <cellStyle name="40% - Accent4 3 2 10" xfId="7097"/>
    <cellStyle name="40% - Accent4 3 2 11" xfId="7098"/>
    <cellStyle name="40% - Accent4 3 2 2" xfId="7099"/>
    <cellStyle name="40% - Accent4 3 2 2 10" xfId="7100"/>
    <cellStyle name="40% - Accent4 3 2 2 2" xfId="7101"/>
    <cellStyle name="40% - Accent4 3 2 2 2 2" xfId="7102"/>
    <cellStyle name="40% - Accent4 3 2 2 2 2 2" xfId="7103"/>
    <cellStyle name="40% - Accent4 3 2 2 2 2 2 2" xfId="7104"/>
    <cellStyle name="40% - Accent4 3 2 2 2 2 2 2 2" xfId="7105"/>
    <cellStyle name="40% - Accent4 3 2 2 2 2 2 3" xfId="7106"/>
    <cellStyle name="40% - Accent4 3 2 2 2 2 3" xfId="7107"/>
    <cellStyle name="40% - Accent4 3 2 2 2 2 3 2" xfId="7108"/>
    <cellStyle name="40% - Accent4 3 2 2 2 2 4" xfId="7109"/>
    <cellStyle name="40% - Accent4 3 2 2 2 3" xfId="7110"/>
    <cellStyle name="40% - Accent4 3 2 2 2 3 2" xfId="7111"/>
    <cellStyle name="40% - Accent4 3 2 2 2 3 2 2" xfId="7112"/>
    <cellStyle name="40% - Accent4 3 2 2 2 3 3" xfId="7113"/>
    <cellStyle name="40% - Accent4 3 2 2 2 4" xfId="7114"/>
    <cellStyle name="40% - Accent4 3 2 2 2 4 2" xfId="7115"/>
    <cellStyle name="40% - Accent4 3 2 2 2 5" xfId="7116"/>
    <cellStyle name="40% - Accent4 3 2 2 2 6" xfId="7117"/>
    <cellStyle name="40% - Accent4 3 2 2 2 7" xfId="7118"/>
    <cellStyle name="40% - Accent4 3 2 2 3" xfId="7119"/>
    <cellStyle name="40% - Accent4 3 2 2 3 2" xfId="7120"/>
    <cellStyle name="40% - Accent4 3 2 2 3 2 2" xfId="7121"/>
    <cellStyle name="40% - Accent4 3 2 2 3 2 2 2" xfId="7122"/>
    <cellStyle name="40% - Accent4 3 2 2 3 2 3" xfId="7123"/>
    <cellStyle name="40% - Accent4 3 2 2 3 3" xfId="7124"/>
    <cellStyle name="40% - Accent4 3 2 2 3 3 2" xfId="7125"/>
    <cellStyle name="40% - Accent4 3 2 2 3 4" xfId="7126"/>
    <cellStyle name="40% - Accent4 3 2 2 4" xfId="7127"/>
    <cellStyle name="40% - Accent4 3 2 2 4 2" xfId="7128"/>
    <cellStyle name="40% - Accent4 3 2 2 4 2 2" xfId="7129"/>
    <cellStyle name="40% - Accent4 3 2 2 4 2 2 2" xfId="7130"/>
    <cellStyle name="40% - Accent4 3 2 2 4 2 3" xfId="7131"/>
    <cellStyle name="40% - Accent4 3 2 2 4 3" xfId="7132"/>
    <cellStyle name="40% - Accent4 3 2 2 4 3 2" xfId="7133"/>
    <cellStyle name="40% - Accent4 3 2 2 4 4" xfId="7134"/>
    <cellStyle name="40% - Accent4 3 2 2 5" xfId="7135"/>
    <cellStyle name="40% - Accent4 3 2 2 5 2" xfId="7136"/>
    <cellStyle name="40% - Accent4 3 2 2 5 2 2" xfId="7137"/>
    <cellStyle name="40% - Accent4 3 2 2 5 3" xfId="7138"/>
    <cellStyle name="40% - Accent4 3 2 2 6" xfId="7139"/>
    <cellStyle name="40% - Accent4 3 2 2 6 2" xfId="7140"/>
    <cellStyle name="40% - Accent4 3 2 2 7" xfId="7141"/>
    <cellStyle name="40% - Accent4 3 2 2 7 2" xfId="7142"/>
    <cellStyle name="40% - Accent4 3 2 2 8" xfId="7143"/>
    <cellStyle name="40% - Accent4 3 2 2 9" xfId="7144"/>
    <cellStyle name="40% - Accent4 3 2 3" xfId="7145"/>
    <cellStyle name="40% - Accent4 3 2 3 2" xfId="7146"/>
    <cellStyle name="40% - Accent4 3 2 3 2 2" xfId="7147"/>
    <cellStyle name="40% - Accent4 3 2 3 2 2 2" xfId="7148"/>
    <cellStyle name="40% - Accent4 3 2 3 2 2 2 2" xfId="7149"/>
    <cellStyle name="40% - Accent4 3 2 3 2 2 3" xfId="7150"/>
    <cellStyle name="40% - Accent4 3 2 3 2 3" xfId="7151"/>
    <cellStyle name="40% - Accent4 3 2 3 2 3 2" xfId="7152"/>
    <cellStyle name="40% - Accent4 3 2 3 2 4" xfId="7153"/>
    <cellStyle name="40% - Accent4 3 2 3 3" xfId="7154"/>
    <cellStyle name="40% - Accent4 3 2 3 3 2" xfId="7155"/>
    <cellStyle name="40% - Accent4 3 2 3 3 2 2" xfId="7156"/>
    <cellStyle name="40% - Accent4 3 2 3 3 3" xfId="7157"/>
    <cellStyle name="40% - Accent4 3 2 3 4" xfId="7158"/>
    <cellStyle name="40% - Accent4 3 2 3 4 2" xfId="7159"/>
    <cellStyle name="40% - Accent4 3 2 3 5" xfId="7160"/>
    <cellStyle name="40% - Accent4 3 2 3 6" xfId="7161"/>
    <cellStyle name="40% - Accent4 3 2 3 7" xfId="7162"/>
    <cellStyle name="40% - Accent4 3 2 4" xfId="7163"/>
    <cellStyle name="40% - Accent4 3 2 4 2" xfId="7164"/>
    <cellStyle name="40% - Accent4 3 2 4 2 2" xfId="7165"/>
    <cellStyle name="40% - Accent4 3 2 4 2 2 2" xfId="7166"/>
    <cellStyle name="40% - Accent4 3 2 4 2 3" xfId="7167"/>
    <cellStyle name="40% - Accent4 3 2 4 3" xfId="7168"/>
    <cellStyle name="40% - Accent4 3 2 4 3 2" xfId="7169"/>
    <cellStyle name="40% - Accent4 3 2 4 4" xfId="7170"/>
    <cellStyle name="40% - Accent4 3 2 5" xfId="7171"/>
    <cellStyle name="40% - Accent4 3 2 5 2" xfId="7172"/>
    <cellStyle name="40% - Accent4 3 2 5 2 2" xfId="7173"/>
    <cellStyle name="40% - Accent4 3 2 5 2 2 2" xfId="7174"/>
    <cellStyle name="40% - Accent4 3 2 5 2 3" xfId="7175"/>
    <cellStyle name="40% - Accent4 3 2 5 3" xfId="7176"/>
    <cellStyle name="40% - Accent4 3 2 5 3 2" xfId="7177"/>
    <cellStyle name="40% - Accent4 3 2 5 4" xfId="7178"/>
    <cellStyle name="40% - Accent4 3 2 6" xfId="7179"/>
    <cellStyle name="40% - Accent4 3 2 6 2" xfId="7180"/>
    <cellStyle name="40% - Accent4 3 2 6 2 2" xfId="7181"/>
    <cellStyle name="40% - Accent4 3 2 6 3" xfId="7182"/>
    <cellStyle name="40% - Accent4 3 2 7" xfId="7183"/>
    <cellStyle name="40% - Accent4 3 2 7 2" xfId="7184"/>
    <cellStyle name="40% - Accent4 3 2 8" xfId="7185"/>
    <cellStyle name="40% - Accent4 3 2 8 2" xfId="7186"/>
    <cellStyle name="40% - Accent4 3 2 9" xfId="7187"/>
    <cellStyle name="40% - Accent4 3 3" xfId="7188"/>
    <cellStyle name="40% - Accent4 3 3 10" xfId="7189"/>
    <cellStyle name="40% - Accent4 3 3 2" xfId="7190"/>
    <cellStyle name="40% - Accent4 3 3 2 2" xfId="7191"/>
    <cellStyle name="40% - Accent4 3 3 2 2 2" xfId="7192"/>
    <cellStyle name="40% - Accent4 3 3 2 2 2 2" xfId="7193"/>
    <cellStyle name="40% - Accent4 3 3 2 2 2 2 2" xfId="7194"/>
    <cellStyle name="40% - Accent4 3 3 2 2 2 3" xfId="7195"/>
    <cellStyle name="40% - Accent4 3 3 2 2 3" xfId="7196"/>
    <cellStyle name="40% - Accent4 3 3 2 2 3 2" xfId="7197"/>
    <cellStyle name="40% - Accent4 3 3 2 2 4" xfId="7198"/>
    <cellStyle name="40% - Accent4 3 3 2 3" xfId="7199"/>
    <cellStyle name="40% - Accent4 3 3 2 3 2" xfId="7200"/>
    <cellStyle name="40% - Accent4 3 3 2 3 2 2" xfId="7201"/>
    <cellStyle name="40% - Accent4 3 3 2 3 3" xfId="7202"/>
    <cellStyle name="40% - Accent4 3 3 2 4" xfId="7203"/>
    <cellStyle name="40% - Accent4 3 3 2 4 2" xfId="7204"/>
    <cellStyle name="40% - Accent4 3 3 2 5" xfId="7205"/>
    <cellStyle name="40% - Accent4 3 3 2 6" xfId="7206"/>
    <cellStyle name="40% - Accent4 3 3 2 7" xfId="7207"/>
    <cellStyle name="40% - Accent4 3 3 3" xfId="7208"/>
    <cellStyle name="40% - Accent4 3 3 3 2" xfId="7209"/>
    <cellStyle name="40% - Accent4 3 3 3 2 2" xfId="7210"/>
    <cellStyle name="40% - Accent4 3 3 3 2 2 2" xfId="7211"/>
    <cellStyle name="40% - Accent4 3 3 3 2 3" xfId="7212"/>
    <cellStyle name="40% - Accent4 3 3 3 3" xfId="7213"/>
    <cellStyle name="40% - Accent4 3 3 3 3 2" xfId="7214"/>
    <cellStyle name="40% - Accent4 3 3 3 4" xfId="7215"/>
    <cellStyle name="40% - Accent4 3 3 4" xfId="7216"/>
    <cellStyle name="40% - Accent4 3 3 4 2" xfId="7217"/>
    <cellStyle name="40% - Accent4 3 3 4 2 2" xfId="7218"/>
    <cellStyle name="40% - Accent4 3 3 4 2 2 2" xfId="7219"/>
    <cellStyle name="40% - Accent4 3 3 4 2 3" xfId="7220"/>
    <cellStyle name="40% - Accent4 3 3 4 3" xfId="7221"/>
    <cellStyle name="40% - Accent4 3 3 4 3 2" xfId="7222"/>
    <cellStyle name="40% - Accent4 3 3 4 4" xfId="7223"/>
    <cellStyle name="40% - Accent4 3 3 5" xfId="7224"/>
    <cellStyle name="40% - Accent4 3 3 5 2" xfId="7225"/>
    <cellStyle name="40% - Accent4 3 3 5 2 2" xfId="7226"/>
    <cellStyle name="40% - Accent4 3 3 5 3" xfId="7227"/>
    <cellStyle name="40% - Accent4 3 3 6" xfId="7228"/>
    <cellStyle name="40% - Accent4 3 3 6 2" xfId="7229"/>
    <cellStyle name="40% - Accent4 3 3 7" xfId="7230"/>
    <cellStyle name="40% - Accent4 3 3 7 2" xfId="7231"/>
    <cellStyle name="40% - Accent4 3 3 8" xfId="7232"/>
    <cellStyle name="40% - Accent4 3 3 9" xfId="7233"/>
    <cellStyle name="40% - Accent4 3 4" xfId="7234"/>
    <cellStyle name="40% - Accent4 3 4 2" xfId="7235"/>
    <cellStyle name="40% - Accent4 3 4 2 2" xfId="7236"/>
    <cellStyle name="40% - Accent4 3 4 2 2 2" xfId="7237"/>
    <cellStyle name="40% - Accent4 3 4 2 2 2 2" xfId="7238"/>
    <cellStyle name="40% - Accent4 3 4 2 2 3" xfId="7239"/>
    <cellStyle name="40% - Accent4 3 4 2 3" xfId="7240"/>
    <cellStyle name="40% - Accent4 3 4 2 3 2" xfId="7241"/>
    <cellStyle name="40% - Accent4 3 4 2 4" xfId="7242"/>
    <cellStyle name="40% - Accent4 3 4 3" xfId="7243"/>
    <cellStyle name="40% - Accent4 3 4 3 2" xfId="7244"/>
    <cellStyle name="40% - Accent4 3 4 3 2 2" xfId="7245"/>
    <cellStyle name="40% - Accent4 3 4 3 3" xfId="7246"/>
    <cellStyle name="40% - Accent4 3 4 4" xfId="7247"/>
    <cellStyle name="40% - Accent4 3 4 4 2" xfId="7248"/>
    <cellStyle name="40% - Accent4 3 4 5" xfId="7249"/>
    <cellStyle name="40% - Accent4 3 4 6" xfId="7250"/>
    <cellStyle name="40% - Accent4 3 4 7" xfId="7251"/>
    <cellStyle name="40% - Accent4 3 5" xfId="7252"/>
    <cellStyle name="40% - Accent4 3 5 2" xfId="7253"/>
    <cellStyle name="40% - Accent4 3 5 2 2" xfId="7254"/>
    <cellStyle name="40% - Accent4 3 5 2 2 2" xfId="7255"/>
    <cellStyle name="40% - Accent4 3 5 2 3" xfId="7256"/>
    <cellStyle name="40% - Accent4 3 5 3" xfId="7257"/>
    <cellStyle name="40% - Accent4 3 5 3 2" xfId="7258"/>
    <cellStyle name="40% - Accent4 3 5 4" xfId="7259"/>
    <cellStyle name="40% - Accent4 3 6" xfId="7260"/>
    <cellStyle name="40% - Accent4 3 6 2" xfId="7261"/>
    <cellStyle name="40% - Accent4 3 6 2 2" xfId="7262"/>
    <cellStyle name="40% - Accent4 3 6 2 2 2" xfId="7263"/>
    <cellStyle name="40% - Accent4 3 6 2 3" xfId="7264"/>
    <cellStyle name="40% - Accent4 3 6 3" xfId="7265"/>
    <cellStyle name="40% - Accent4 3 6 3 2" xfId="7266"/>
    <cellStyle name="40% - Accent4 3 6 4" xfId="7267"/>
    <cellStyle name="40% - Accent4 3 7" xfId="7268"/>
    <cellStyle name="40% - Accent4 3 7 2" xfId="7269"/>
    <cellStyle name="40% - Accent4 3 8" xfId="7270"/>
    <cellStyle name="40% - Accent4 3 8 2" xfId="7271"/>
    <cellStyle name="40% - Accent4 3 8 2 2" xfId="7272"/>
    <cellStyle name="40% - Accent4 3 8 3" xfId="7273"/>
    <cellStyle name="40% - Accent4 3 9" xfId="7274"/>
    <cellStyle name="40% - Accent4 3 9 2" xfId="7275"/>
    <cellStyle name="40% - Accent4 4" xfId="185"/>
    <cellStyle name="40% - Accent4 4 10" xfId="7276"/>
    <cellStyle name="40% - Accent4 4 11" xfId="7277"/>
    <cellStyle name="40% - Accent4 4 12" xfId="7278"/>
    <cellStyle name="40% - Accent4 4 13" xfId="15597"/>
    <cellStyle name="40% - Accent4 4 13 2" xfId="20469"/>
    <cellStyle name="40% - Accent4 4 13 2 2" xfId="30183"/>
    <cellStyle name="40% - Accent4 4 13 2 2 2" xfId="49936"/>
    <cellStyle name="40% - Accent4 4 13 2 3" xfId="40292"/>
    <cellStyle name="40% - Accent4 4 13 3" xfId="25371"/>
    <cellStyle name="40% - Accent4 4 13 3 2" xfId="45125"/>
    <cellStyle name="40% - Accent4 4 13 4" xfId="35481"/>
    <cellStyle name="40% - Accent4 4 14" xfId="15955"/>
    <cellStyle name="40% - Accent4 4 14 2" xfId="25671"/>
    <cellStyle name="40% - Accent4 4 14 2 2" xfId="45425"/>
    <cellStyle name="40% - Accent4 4 14 3" xfId="35781"/>
    <cellStyle name="40% - Accent4 4 15" xfId="20834"/>
    <cellStyle name="40% - Accent4 4 15 2" xfId="40614"/>
    <cellStyle name="40% - Accent4 4 16" xfId="30606"/>
    <cellStyle name="40% - Accent4 4 16 2" xfId="50354"/>
    <cellStyle name="40% - Accent4 4 17" xfId="30945"/>
    <cellStyle name="40% - Accent4 4 2" xfId="186"/>
    <cellStyle name="40% - Accent4 4 2 10" xfId="7279"/>
    <cellStyle name="40% - Accent4 4 2 11" xfId="7280"/>
    <cellStyle name="40% - Accent4 4 2 12" xfId="15598"/>
    <cellStyle name="40% - Accent4 4 2 12 2" xfId="20470"/>
    <cellStyle name="40% - Accent4 4 2 12 2 2" xfId="30184"/>
    <cellStyle name="40% - Accent4 4 2 12 2 2 2" xfId="49937"/>
    <cellStyle name="40% - Accent4 4 2 12 2 3" xfId="40293"/>
    <cellStyle name="40% - Accent4 4 2 12 3" xfId="25372"/>
    <cellStyle name="40% - Accent4 4 2 12 3 2" xfId="45126"/>
    <cellStyle name="40% - Accent4 4 2 12 4" xfId="35482"/>
    <cellStyle name="40% - Accent4 4 2 13" xfId="15956"/>
    <cellStyle name="40% - Accent4 4 2 13 2" xfId="25672"/>
    <cellStyle name="40% - Accent4 4 2 13 2 2" xfId="45426"/>
    <cellStyle name="40% - Accent4 4 2 13 3" xfId="35782"/>
    <cellStyle name="40% - Accent4 4 2 14" xfId="20835"/>
    <cellStyle name="40% - Accent4 4 2 14 2" xfId="40615"/>
    <cellStyle name="40% - Accent4 4 2 15" xfId="30607"/>
    <cellStyle name="40% - Accent4 4 2 15 2" xfId="50355"/>
    <cellStyle name="40% - Accent4 4 2 16" xfId="30946"/>
    <cellStyle name="40% - Accent4 4 2 2" xfId="187"/>
    <cellStyle name="40% - Accent4 4 2 2 10" xfId="15599"/>
    <cellStyle name="40% - Accent4 4 2 2 10 2" xfId="20471"/>
    <cellStyle name="40% - Accent4 4 2 2 10 2 2" xfId="30185"/>
    <cellStyle name="40% - Accent4 4 2 2 10 2 2 2" xfId="49938"/>
    <cellStyle name="40% - Accent4 4 2 2 10 2 3" xfId="40294"/>
    <cellStyle name="40% - Accent4 4 2 2 10 3" xfId="25373"/>
    <cellStyle name="40% - Accent4 4 2 2 10 3 2" xfId="45127"/>
    <cellStyle name="40% - Accent4 4 2 2 10 4" xfId="35483"/>
    <cellStyle name="40% - Accent4 4 2 2 11" xfId="15957"/>
    <cellStyle name="40% - Accent4 4 2 2 11 2" xfId="25673"/>
    <cellStyle name="40% - Accent4 4 2 2 11 2 2" xfId="45427"/>
    <cellStyle name="40% - Accent4 4 2 2 11 3" xfId="35783"/>
    <cellStyle name="40% - Accent4 4 2 2 12" xfId="20836"/>
    <cellStyle name="40% - Accent4 4 2 2 12 2" xfId="40616"/>
    <cellStyle name="40% - Accent4 4 2 2 13" xfId="30608"/>
    <cellStyle name="40% - Accent4 4 2 2 13 2" xfId="50356"/>
    <cellStyle name="40% - Accent4 4 2 2 14" xfId="30947"/>
    <cellStyle name="40% - Accent4 4 2 2 2" xfId="973"/>
    <cellStyle name="40% - Accent4 4 2 2 2 2" xfId="7281"/>
    <cellStyle name="40% - Accent4 4 2 2 2 2 2" xfId="7282"/>
    <cellStyle name="40% - Accent4 4 2 2 2 2 2 2" xfId="7283"/>
    <cellStyle name="40% - Accent4 4 2 2 2 2 3" xfId="7284"/>
    <cellStyle name="40% - Accent4 4 2 2 2 3" xfId="7285"/>
    <cellStyle name="40% - Accent4 4 2 2 2 3 2" xfId="7286"/>
    <cellStyle name="40% - Accent4 4 2 2 2 4" xfId="7287"/>
    <cellStyle name="40% - Accent4 4 2 2 2 5" xfId="15600"/>
    <cellStyle name="40% - Accent4 4 2 2 2 5 2" xfId="20472"/>
    <cellStyle name="40% - Accent4 4 2 2 2 5 2 2" xfId="30186"/>
    <cellStyle name="40% - Accent4 4 2 2 2 5 2 2 2" xfId="49939"/>
    <cellStyle name="40% - Accent4 4 2 2 2 5 2 3" xfId="40295"/>
    <cellStyle name="40% - Accent4 4 2 2 2 5 3" xfId="25374"/>
    <cellStyle name="40% - Accent4 4 2 2 2 5 3 2" xfId="45128"/>
    <cellStyle name="40% - Accent4 4 2 2 2 5 4" xfId="35484"/>
    <cellStyle name="40% - Accent4 4 2 2 2 6" xfId="16319"/>
    <cellStyle name="40% - Accent4 4 2 2 2 6 2" xfId="26035"/>
    <cellStyle name="40% - Accent4 4 2 2 2 6 2 2" xfId="45789"/>
    <cellStyle name="40% - Accent4 4 2 2 2 6 3" xfId="36145"/>
    <cellStyle name="40% - Accent4 4 2 2 2 7" xfId="21225"/>
    <cellStyle name="40% - Accent4 4 2 2 2 7 2" xfId="40980"/>
    <cellStyle name="40% - Accent4 4 2 2 2 8" xfId="30609"/>
    <cellStyle name="40% - Accent4 4 2 2 2 8 2" xfId="50357"/>
    <cellStyle name="40% - Accent4 4 2 2 2 9" xfId="31336"/>
    <cellStyle name="40% - Accent4 4 2 2 3" xfId="974"/>
    <cellStyle name="40% - Accent4 4 2 2 3 2" xfId="7288"/>
    <cellStyle name="40% - Accent4 4 2 2 3 2 2" xfId="7289"/>
    <cellStyle name="40% - Accent4 4 2 2 3 2 2 2" xfId="7290"/>
    <cellStyle name="40% - Accent4 4 2 2 3 2 3" xfId="7291"/>
    <cellStyle name="40% - Accent4 4 2 2 3 3" xfId="7292"/>
    <cellStyle name="40% - Accent4 4 2 2 3 3 2" xfId="7293"/>
    <cellStyle name="40% - Accent4 4 2 2 3 4" xfId="7294"/>
    <cellStyle name="40% - Accent4 4 2 2 3 5" xfId="16320"/>
    <cellStyle name="40% - Accent4 4 2 2 3 5 2" xfId="26036"/>
    <cellStyle name="40% - Accent4 4 2 2 3 5 2 2" xfId="45790"/>
    <cellStyle name="40% - Accent4 4 2 2 3 5 3" xfId="36146"/>
    <cellStyle name="40% - Accent4 4 2 2 3 6" xfId="21226"/>
    <cellStyle name="40% - Accent4 4 2 2 3 6 2" xfId="40981"/>
    <cellStyle name="40% - Accent4 4 2 2 3 7" xfId="31337"/>
    <cellStyle name="40% - Accent4 4 2 2 4" xfId="7295"/>
    <cellStyle name="40% - Accent4 4 2 2 4 2" xfId="7296"/>
    <cellStyle name="40% - Accent4 4 2 2 4 2 2" xfId="7297"/>
    <cellStyle name="40% - Accent4 4 2 2 4 2 2 2" xfId="7298"/>
    <cellStyle name="40% - Accent4 4 2 2 4 2 3" xfId="7299"/>
    <cellStyle name="40% - Accent4 4 2 2 4 3" xfId="7300"/>
    <cellStyle name="40% - Accent4 4 2 2 4 3 2" xfId="7301"/>
    <cellStyle name="40% - Accent4 4 2 2 4 4" xfId="7302"/>
    <cellStyle name="40% - Accent4 4 2 2 5" xfId="7303"/>
    <cellStyle name="40% - Accent4 4 2 2 5 2" xfId="7304"/>
    <cellStyle name="40% - Accent4 4 2 2 5 2 2" xfId="7305"/>
    <cellStyle name="40% - Accent4 4 2 2 5 3" xfId="7306"/>
    <cellStyle name="40% - Accent4 4 2 2 6" xfId="7307"/>
    <cellStyle name="40% - Accent4 4 2 2 6 2" xfId="7308"/>
    <cellStyle name="40% - Accent4 4 2 2 7" xfId="7309"/>
    <cellStyle name="40% - Accent4 4 2 2 8" xfId="7310"/>
    <cellStyle name="40% - Accent4 4 2 2 9" xfId="7311"/>
    <cellStyle name="40% - Accent4 4 2 3" xfId="975"/>
    <cellStyle name="40% - Accent4 4 2 3 2" xfId="7312"/>
    <cellStyle name="40% - Accent4 4 2 3 2 2" xfId="7313"/>
    <cellStyle name="40% - Accent4 4 2 3 2 2 2" xfId="7314"/>
    <cellStyle name="40% - Accent4 4 2 3 2 3" xfId="7315"/>
    <cellStyle name="40% - Accent4 4 2 3 3" xfId="7316"/>
    <cellStyle name="40% - Accent4 4 2 3 3 2" xfId="7317"/>
    <cellStyle name="40% - Accent4 4 2 3 4" xfId="7318"/>
    <cellStyle name="40% - Accent4 4 2 3 5" xfId="15601"/>
    <cellStyle name="40% - Accent4 4 2 3 5 2" xfId="20473"/>
    <cellStyle name="40% - Accent4 4 2 3 5 2 2" xfId="30187"/>
    <cellStyle name="40% - Accent4 4 2 3 5 2 2 2" xfId="49940"/>
    <cellStyle name="40% - Accent4 4 2 3 5 2 3" xfId="40296"/>
    <cellStyle name="40% - Accent4 4 2 3 5 3" xfId="25375"/>
    <cellStyle name="40% - Accent4 4 2 3 5 3 2" xfId="45129"/>
    <cellStyle name="40% - Accent4 4 2 3 5 4" xfId="35485"/>
    <cellStyle name="40% - Accent4 4 2 3 6" xfId="16321"/>
    <cellStyle name="40% - Accent4 4 2 3 6 2" xfId="26037"/>
    <cellStyle name="40% - Accent4 4 2 3 6 2 2" xfId="45791"/>
    <cellStyle name="40% - Accent4 4 2 3 6 3" xfId="36147"/>
    <cellStyle name="40% - Accent4 4 2 3 7" xfId="21227"/>
    <cellStyle name="40% - Accent4 4 2 3 7 2" xfId="40982"/>
    <cellStyle name="40% - Accent4 4 2 3 8" xfId="30610"/>
    <cellStyle name="40% - Accent4 4 2 3 8 2" xfId="50358"/>
    <cellStyle name="40% - Accent4 4 2 3 9" xfId="31338"/>
    <cellStyle name="40% - Accent4 4 2 4" xfId="976"/>
    <cellStyle name="40% - Accent4 4 2 4 2" xfId="7319"/>
    <cellStyle name="40% - Accent4 4 2 4 2 2" xfId="7320"/>
    <cellStyle name="40% - Accent4 4 2 4 2 2 2" xfId="7321"/>
    <cellStyle name="40% - Accent4 4 2 4 2 3" xfId="7322"/>
    <cellStyle name="40% - Accent4 4 2 4 3" xfId="7323"/>
    <cellStyle name="40% - Accent4 4 2 4 3 2" xfId="7324"/>
    <cellStyle name="40% - Accent4 4 2 4 4" xfId="7325"/>
    <cellStyle name="40% - Accent4 4 2 4 5" xfId="16322"/>
    <cellStyle name="40% - Accent4 4 2 4 5 2" xfId="26038"/>
    <cellStyle name="40% - Accent4 4 2 4 5 2 2" xfId="45792"/>
    <cellStyle name="40% - Accent4 4 2 4 5 3" xfId="36148"/>
    <cellStyle name="40% - Accent4 4 2 4 6" xfId="21228"/>
    <cellStyle name="40% - Accent4 4 2 4 6 2" xfId="40983"/>
    <cellStyle name="40% - Accent4 4 2 4 7" xfId="31339"/>
    <cellStyle name="40% - Accent4 4 2 5" xfId="7326"/>
    <cellStyle name="40% - Accent4 4 2 5 2" xfId="7327"/>
    <cellStyle name="40% - Accent4 4 2 5 2 2" xfId="7328"/>
    <cellStyle name="40% - Accent4 4 2 5 2 2 2" xfId="7329"/>
    <cellStyle name="40% - Accent4 4 2 5 2 3" xfId="7330"/>
    <cellStyle name="40% - Accent4 4 2 5 3" xfId="7331"/>
    <cellStyle name="40% - Accent4 4 2 5 3 2" xfId="7332"/>
    <cellStyle name="40% - Accent4 4 2 5 4" xfId="7333"/>
    <cellStyle name="40% - Accent4 4 2 6" xfId="7334"/>
    <cellStyle name="40% - Accent4 4 2 6 2" xfId="7335"/>
    <cellStyle name="40% - Accent4 4 2 6 2 2" xfId="7336"/>
    <cellStyle name="40% - Accent4 4 2 6 3" xfId="7337"/>
    <cellStyle name="40% - Accent4 4 2 7" xfId="7338"/>
    <cellStyle name="40% - Accent4 4 2 7 2" xfId="7339"/>
    <cellStyle name="40% - Accent4 4 2 8" xfId="7340"/>
    <cellStyle name="40% - Accent4 4 2 8 2" xfId="7341"/>
    <cellStyle name="40% - Accent4 4 2 9" xfId="7342"/>
    <cellStyle name="40% - Accent4 4 3" xfId="188"/>
    <cellStyle name="40% - Accent4 4 3 10" xfId="15602"/>
    <cellStyle name="40% - Accent4 4 3 10 2" xfId="20474"/>
    <cellStyle name="40% - Accent4 4 3 10 2 2" xfId="30188"/>
    <cellStyle name="40% - Accent4 4 3 10 2 2 2" xfId="49941"/>
    <cellStyle name="40% - Accent4 4 3 10 2 3" xfId="40297"/>
    <cellStyle name="40% - Accent4 4 3 10 3" xfId="25376"/>
    <cellStyle name="40% - Accent4 4 3 10 3 2" xfId="45130"/>
    <cellStyle name="40% - Accent4 4 3 10 4" xfId="35486"/>
    <cellStyle name="40% - Accent4 4 3 11" xfId="15958"/>
    <cellStyle name="40% - Accent4 4 3 11 2" xfId="25674"/>
    <cellStyle name="40% - Accent4 4 3 11 2 2" xfId="45428"/>
    <cellStyle name="40% - Accent4 4 3 11 3" xfId="35784"/>
    <cellStyle name="40% - Accent4 4 3 12" xfId="20837"/>
    <cellStyle name="40% - Accent4 4 3 12 2" xfId="40617"/>
    <cellStyle name="40% - Accent4 4 3 13" xfId="30611"/>
    <cellStyle name="40% - Accent4 4 3 13 2" xfId="50359"/>
    <cellStyle name="40% - Accent4 4 3 14" xfId="30948"/>
    <cellStyle name="40% - Accent4 4 3 2" xfId="977"/>
    <cellStyle name="40% - Accent4 4 3 2 2" xfId="7343"/>
    <cellStyle name="40% - Accent4 4 3 2 2 2" xfId="7344"/>
    <cellStyle name="40% - Accent4 4 3 2 2 2 2" xfId="7345"/>
    <cellStyle name="40% - Accent4 4 3 2 2 3" xfId="7346"/>
    <cellStyle name="40% - Accent4 4 3 2 3" xfId="7347"/>
    <cellStyle name="40% - Accent4 4 3 2 3 2" xfId="7348"/>
    <cellStyle name="40% - Accent4 4 3 2 4" xfId="7349"/>
    <cellStyle name="40% - Accent4 4 3 2 5" xfId="15603"/>
    <cellStyle name="40% - Accent4 4 3 2 5 2" xfId="20475"/>
    <cellStyle name="40% - Accent4 4 3 2 5 2 2" xfId="30189"/>
    <cellStyle name="40% - Accent4 4 3 2 5 2 2 2" xfId="49942"/>
    <cellStyle name="40% - Accent4 4 3 2 5 2 3" xfId="40298"/>
    <cellStyle name="40% - Accent4 4 3 2 5 3" xfId="25377"/>
    <cellStyle name="40% - Accent4 4 3 2 5 3 2" xfId="45131"/>
    <cellStyle name="40% - Accent4 4 3 2 5 4" xfId="35487"/>
    <cellStyle name="40% - Accent4 4 3 2 6" xfId="16323"/>
    <cellStyle name="40% - Accent4 4 3 2 6 2" xfId="26039"/>
    <cellStyle name="40% - Accent4 4 3 2 6 2 2" xfId="45793"/>
    <cellStyle name="40% - Accent4 4 3 2 6 3" xfId="36149"/>
    <cellStyle name="40% - Accent4 4 3 2 7" xfId="21229"/>
    <cellStyle name="40% - Accent4 4 3 2 7 2" xfId="40984"/>
    <cellStyle name="40% - Accent4 4 3 2 8" xfId="30612"/>
    <cellStyle name="40% - Accent4 4 3 2 8 2" xfId="50360"/>
    <cellStyle name="40% - Accent4 4 3 2 9" xfId="31340"/>
    <cellStyle name="40% - Accent4 4 3 3" xfId="978"/>
    <cellStyle name="40% - Accent4 4 3 3 2" xfId="7350"/>
    <cellStyle name="40% - Accent4 4 3 3 2 2" xfId="7351"/>
    <cellStyle name="40% - Accent4 4 3 3 2 2 2" xfId="7352"/>
    <cellStyle name="40% - Accent4 4 3 3 2 3" xfId="7353"/>
    <cellStyle name="40% - Accent4 4 3 3 3" xfId="7354"/>
    <cellStyle name="40% - Accent4 4 3 3 3 2" xfId="7355"/>
    <cellStyle name="40% - Accent4 4 3 3 4" xfId="7356"/>
    <cellStyle name="40% - Accent4 4 3 3 5" xfId="16324"/>
    <cellStyle name="40% - Accent4 4 3 3 5 2" xfId="26040"/>
    <cellStyle name="40% - Accent4 4 3 3 5 2 2" xfId="45794"/>
    <cellStyle name="40% - Accent4 4 3 3 5 3" xfId="36150"/>
    <cellStyle name="40% - Accent4 4 3 3 6" xfId="21230"/>
    <cellStyle name="40% - Accent4 4 3 3 6 2" xfId="40985"/>
    <cellStyle name="40% - Accent4 4 3 3 7" xfId="31341"/>
    <cellStyle name="40% - Accent4 4 3 4" xfId="7357"/>
    <cellStyle name="40% - Accent4 4 3 4 2" xfId="7358"/>
    <cellStyle name="40% - Accent4 4 3 4 2 2" xfId="7359"/>
    <cellStyle name="40% - Accent4 4 3 4 2 2 2" xfId="7360"/>
    <cellStyle name="40% - Accent4 4 3 4 2 3" xfId="7361"/>
    <cellStyle name="40% - Accent4 4 3 4 3" xfId="7362"/>
    <cellStyle name="40% - Accent4 4 3 4 3 2" xfId="7363"/>
    <cellStyle name="40% - Accent4 4 3 4 4" xfId="7364"/>
    <cellStyle name="40% - Accent4 4 3 5" xfId="7365"/>
    <cellStyle name="40% - Accent4 4 3 5 2" xfId="7366"/>
    <cellStyle name="40% - Accent4 4 3 5 2 2" xfId="7367"/>
    <cellStyle name="40% - Accent4 4 3 5 3" xfId="7368"/>
    <cellStyle name="40% - Accent4 4 3 6" xfId="7369"/>
    <cellStyle name="40% - Accent4 4 3 6 2" xfId="7370"/>
    <cellStyle name="40% - Accent4 4 3 7" xfId="7371"/>
    <cellStyle name="40% - Accent4 4 3 8" xfId="7372"/>
    <cellStyle name="40% - Accent4 4 3 9" xfId="7373"/>
    <cellStyle name="40% - Accent4 4 4" xfId="979"/>
    <cellStyle name="40% - Accent4 4 4 2" xfId="7374"/>
    <cellStyle name="40% - Accent4 4 4 2 2" xfId="7375"/>
    <cellStyle name="40% - Accent4 4 4 2 2 2" xfId="7376"/>
    <cellStyle name="40% - Accent4 4 4 2 3" xfId="7377"/>
    <cellStyle name="40% - Accent4 4 4 3" xfId="7378"/>
    <cellStyle name="40% - Accent4 4 4 3 2" xfId="7379"/>
    <cellStyle name="40% - Accent4 4 4 4" xfId="7380"/>
    <cellStyle name="40% - Accent4 4 4 5" xfId="15604"/>
    <cellStyle name="40% - Accent4 4 4 5 2" xfId="20476"/>
    <cellStyle name="40% - Accent4 4 4 5 2 2" xfId="30190"/>
    <cellStyle name="40% - Accent4 4 4 5 2 2 2" xfId="49943"/>
    <cellStyle name="40% - Accent4 4 4 5 2 3" xfId="40299"/>
    <cellStyle name="40% - Accent4 4 4 5 3" xfId="25378"/>
    <cellStyle name="40% - Accent4 4 4 5 3 2" xfId="45132"/>
    <cellStyle name="40% - Accent4 4 4 5 4" xfId="35488"/>
    <cellStyle name="40% - Accent4 4 4 6" xfId="16325"/>
    <cellStyle name="40% - Accent4 4 4 6 2" xfId="26041"/>
    <cellStyle name="40% - Accent4 4 4 6 2 2" xfId="45795"/>
    <cellStyle name="40% - Accent4 4 4 6 3" xfId="36151"/>
    <cellStyle name="40% - Accent4 4 4 7" xfId="21231"/>
    <cellStyle name="40% - Accent4 4 4 7 2" xfId="40986"/>
    <cellStyle name="40% - Accent4 4 4 8" xfId="30613"/>
    <cellStyle name="40% - Accent4 4 4 8 2" xfId="50361"/>
    <cellStyle name="40% - Accent4 4 4 9" xfId="31342"/>
    <cellStyle name="40% - Accent4 4 5" xfId="980"/>
    <cellStyle name="40% - Accent4 4 5 2" xfId="7381"/>
    <cellStyle name="40% - Accent4 4 5 2 2" xfId="7382"/>
    <cellStyle name="40% - Accent4 4 5 2 2 2" xfId="7383"/>
    <cellStyle name="40% - Accent4 4 5 2 3" xfId="7384"/>
    <cellStyle name="40% - Accent4 4 5 3" xfId="7385"/>
    <cellStyle name="40% - Accent4 4 5 3 2" xfId="7386"/>
    <cellStyle name="40% - Accent4 4 5 4" xfId="7387"/>
    <cellStyle name="40% - Accent4 4 5 5" xfId="16326"/>
    <cellStyle name="40% - Accent4 4 5 5 2" xfId="26042"/>
    <cellStyle name="40% - Accent4 4 5 5 2 2" xfId="45796"/>
    <cellStyle name="40% - Accent4 4 5 5 3" xfId="36152"/>
    <cellStyle name="40% - Accent4 4 5 6" xfId="21232"/>
    <cellStyle name="40% - Accent4 4 5 6 2" xfId="40987"/>
    <cellStyle name="40% - Accent4 4 5 7" xfId="31343"/>
    <cellStyle name="40% - Accent4 4 6" xfId="7388"/>
    <cellStyle name="40% - Accent4 4 6 2" xfId="7389"/>
    <cellStyle name="40% - Accent4 4 6 2 2" xfId="7390"/>
    <cellStyle name="40% - Accent4 4 6 2 2 2" xfId="7391"/>
    <cellStyle name="40% - Accent4 4 6 2 3" xfId="7392"/>
    <cellStyle name="40% - Accent4 4 6 3" xfId="7393"/>
    <cellStyle name="40% - Accent4 4 6 3 2" xfId="7394"/>
    <cellStyle name="40% - Accent4 4 6 4" xfId="7395"/>
    <cellStyle name="40% - Accent4 4 7" xfId="7396"/>
    <cellStyle name="40% - Accent4 4 7 2" xfId="7397"/>
    <cellStyle name="40% - Accent4 4 7 2 2" xfId="7398"/>
    <cellStyle name="40% - Accent4 4 7 3" xfId="7399"/>
    <cellStyle name="40% - Accent4 4 8" xfId="7400"/>
    <cellStyle name="40% - Accent4 4 8 2" xfId="7401"/>
    <cellStyle name="40% - Accent4 4 9" xfId="7402"/>
    <cellStyle name="40% - Accent4 4 9 2" xfId="7403"/>
    <cellStyle name="40% - Accent4 5" xfId="189"/>
    <cellStyle name="40% - Accent4 5 10" xfId="7404"/>
    <cellStyle name="40% - Accent4 5 11" xfId="7405"/>
    <cellStyle name="40% - Accent4 5 12" xfId="15605"/>
    <cellStyle name="40% - Accent4 5 12 2" xfId="20477"/>
    <cellStyle name="40% - Accent4 5 12 2 2" xfId="30191"/>
    <cellStyle name="40% - Accent4 5 12 2 2 2" xfId="49944"/>
    <cellStyle name="40% - Accent4 5 12 2 3" xfId="40300"/>
    <cellStyle name="40% - Accent4 5 12 3" xfId="25379"/>
    <cellStyle name="40% - Accent4 5 12 3 2" xfId="45133"/>
    <cellStyle name="40% - Accent4 5 12 4" xfId="35489"/>
    <cellStyle name="40% - Accent4 5 13" xfId="15959"/>
    <cellStyle name="40% - Accent4 5 13 2" xfId="25675"/>
    <cellStyle name="40% - Accent4 5 13 2 2" xfId="45429"/>
    <cellStyle name="40% - Accent4 5 13 3" xfId="35785"/>
    <cellStyle name="40% - Accent4 5 14" xfId="20838"/>
    <cellStyle name="40% - Accent4 5 14 2" xfId="40618"/>
    <cellStyle name="40% - Accent4 5 15" xfId="30614"/>
    <cellStyle name="40% - Accent4 5 15 2" xfId="50362"/>
    <cellStyle name="40% - Accent4 5 16" xfId="30949"/>
    <cellStyle name="40% - Accent4 5 2" xfId="190"/>
    <cellStyle name="40% - Accent4 5 2 10" xfId="15606"/>
    <cellStyle name="40% - Accent4 5 2 10 2" xfId="20478"/>
    <cellStyle name="40% - Accent4 5 2 10 2 2" xfId="30192"/>
    <cellStyle name="40% - Accent4 5 2 10 2 2 2" xfId="49945"/>
    <cellStyle name="40% - Accent4 5 2 10 2 3" xfId="40301"/>
    <cellStyle name="40% - Accent4 5 2 10 3" xfId="25380"/>
    <cellStyle name="40% - Accent4 5 2 10 3 2" xfId="45134"/>
    <cellStyle name="40% - Accent4 5 2 10 4" xfId="35490"/>
    <cellStyle name="40% - Accent4 5 2 11" xfId="15960"/>
    <cellStyle name="40% - Accent4 5 2 11 2" xfId="25676"/>
    <cellStyle name="40% - Accent4 5 2 11 2 2" xfId="45430"/>
    <cellStyle name="40% - Accent4 5 2 11 3" xfId="35786"/>
    <cellStyle name="40% - Accent4 5 2 12" xfId="20839"/>
    <cellStyle name="40% - Accent4 5 2 12 2" xfId="40619"/>
    <cellStyle name="40% - Accent4 5 2 13" xfId="30615"/>
    <cellStyle name="40% - Accent4 5 2 13 2" xfId="50363"/>
    <cellStyle name="40% - Accent4 5 2 14" xfId="30950"/>
    <cellStyle name="40% - Accent4 5 2 2" xfId="981"/>
    <cellStyle name="40% - Accent4 5 2 2 2" xfId="7406"/>
    <cellStyle name="40% - Accent4 5 2 2 2 2" xfId="7407"/>
    <cellStyle name="40% - Accent4 5 2 2 2 2 2" xfId="7408"/>
    <cellStyle name="40% - Accent4 5 2 2 2 3" xfId="7409"/>
    <cellStyle name="40% - Accent4 5 2 2 3" xfId="7410"/>
    <cellStyle name="40% - Accent4 5 2 2 3 2" xfId="7411"/>
    <cellStyle name="40% - Accent4 5 2 2 4" xfId="7412"/>
    <cellStyle name="40% - Accent4 5 2 2 5" xfId="15607"/>
    <cellStyle name="40% - Accent4 5 2 2 5 2" xfId="20479"/>
    <cellStyle name="40% - Accent4 5 2 2 5 2 2" xfId="30193"/>
    <cellStyle name="40% - Accent4 5 2 2 5 2 2 2" xfId="49946"/>
    <cellStyle name="40% - Accent4 5 2 2 5 2 3" xfId="40302"/>
    <cellStyle name="40% - Accent4 5 2 2 5 3" xfId="25381"/>
    <cellStyle name="40% - Accent4 5 2 2 5 3 2" xfId="45135"/>
    <cellStyle name="40% - Accent4 5 2 2 5 4" xfId="35491"/>
    <cellStyle name="40% - Accent4 5 2 2 6" xfId="16327"/>
    <cellStyle name="40% - Accent4 5 2 2 6 2" xfId="26043"/>
    <cellStyle name="40% - Accent4 5 2 2 6 2 2" xfId="45797"/>
    <cellStyle name="40% - Accent4 5 2 2 6 3" xfId="36153"/>
    <cellStyle name="40% - Accent4 5 2 2 7" xfId="21233"/>
    <cellStyle name="40% - Accent4 5 2 2 7 2" xfId="40988"/>
    <cellStyle name="40% - Accent4 5 2 2 8" xfId="30616"/>
    <cellStyle name="40% - Accent4 5 2 2 8 2" xfId="50364"/>
    <cellStyle name="40% - Accent4 5 2 2 9" xfId="31344"/>
    <cellStyle name="40% - Accent4 5 2 3" xfId="982"/>
    <cellStyle name="40% - Accent4 5 2 3 2" xfId="7413"/>
    <cellStyle name="40% - Accent4 5 2 3 2 2" xfId="7414"/>
    <cellStyle name="40% - Accent4 5 2 3 2 2 2" xfId="7415"/>
    <cellStyle name="40% - Accent4 5 2 3 2 3" xfId="7416"/>
    <cellStyle name="40% - Accent4 5 2 3 3" xfId="7417"/>
    <cellStyle name="40% - Accent4 5 2 3 3 2" xfId="7418"/>
    <cellStyle name="40% - Accent4 5 2 3 4" xfId="7419"/>
    <cellStyle name="40% - Accent4 5 2 3 5" xfId="16328"/>
    <cellStyle name="40% - Accent4 5 2 3 5 2" xfId="26044"/>
    <cellStyle name="40% - Accent4 5 2 3 5 2 2" xfId="45798"/>
    <cellStyle name="40% - Accent4 5 2 3 5 3" xfId="36154"/>
    <cellStyle name="40% - Accent4 5 2 3 6" xfId="21234"/>
    <cellStyle name="40% - Accent4 5 2 3 6 2" xfId="40989"/>
    <cellStyle name="40% - Accent4 5 2 3 7" xfId="31345"/>
    <cellStyle name="40% - Accent4 5 2 4" xfId="7420"/>
    <cellStyle name="40% - Accent4 5 2 4 2" xfId="7421"/>
    <cellStyle name="40% - Accent4 5 2 4 2 2" xfId="7422"/>
    <cellStyle name="40% - Accent4 5 2 4 2 2 2" xfId="7423"/>
    <cellStyle name="40% - Accent4 5 2 4 2 3" xfId="7424"/>
    <cellStyle name="40% - Accent4 5 2 4 3" xfId="7425"/>
    <cellStyle name="40% - Accent4 5 2 4 3 2" xfId="7426"/>
    <cellStyle name="40% - Accent4 5 2 4 4" xfId="7427"/>
    <cellStyle name="40% - Accent4 5 2 5" xfId="7428"/>
    <cellStyle name="40% - Accent4 5 2 5 2" xfId="7429"/>
    <cellStyle name="40% - Accent4 5 2 5 2 2" xfId="7430"/>
    <cellStyle name="40% - Accent4 5 2 5 3" xfId="7431"/>
    <cellStyle name="40% - Accent4 5 2 6" xfId="7432"/>
    <cellStyle name="40% - Accent4 5 2 6 2" xfId="7433"/>
    <cellStyle name="40% - Accent4 5 2 7" xfId="7434"/>
    <cellStyle name="40% - Accent4 5 2 8" xfId="7435"/>
    <cellStyle name="40% - Accent4 5 2 9" xfId="7436"/>
    <cellStyle name="40% - Accent4 5 3" xfId="983"/>
    <cellStyle name="40% - Accent4 5 3 2" xfId="7437"/>
    <cellStyle name="40% - Accent4 5 3 2 2" xfId="7438"/>
    <cellStyle name="40% - Accent4 5 3 2 2 2" xfId="7439"/>
    <cellStyle name="40% - Accent4 5 3 2 3" xfId="7440"/>
    <cellStyle name="40% - Accent4 5 3 3" xfId="7441"/>
    <cellStyle name="40% - Accent4 5 3 3 2" xfId="7442"/>
    <cellStyle name="40% - Accent4 5 3 4" xfId="7443"/>
    <cellStyle name="40% - Accent4 5 3 5" xfId="15608"/>
    <cellStyle name="40% - Accent4 5 3 5 2" xfId="20480"/>
    <cellStyle name="40% - Accent4 5 3 5 2 2" xfId="30194"/>
    <cellStyle name="40% - Accent4 5 3 5 2 2 2" xfId="49947"/>
    <cellStyle name="40% - Accent4 5 3 5 2 3" xfId="40303"/>
    <cellStyle name="40% - Accent4 5 3 5 3" xfId="25382"/>
    <cellStyle name="40% - Accent4 5 3 5 3 2" xfId="45136"/>
    <cellStyle name="40% - Accent4 5 3 5 4" xfId="35492"/>
    <cellStyle name="40% - Accent4 5 3 6" xfId="16329"/>
    <cellStyle name="40% - Accent4 5 3 6 2" xfId="26045"/>
    <cellStyle name="40% - Accent4 5 3 6 2 2" xfId="45799"/>
    <cellStyle name="40% - Accent4 5 3 6 3" xfId="36155"/>
    <cellStyle name="40% - Accent4 5 3 7" xfId="21235"/>
    <cellStyle name="40% - Accent4 5 3 7 2" xfId="40990"/>
    <cellStyle name="40% - Accent4 5 3 8" xfId="30617"/>
    <cellStyle name="40% - Accent4 5 3 8 2" xfId="50365"/>
    <cellStyle name="40% - Accent4 5 3 9" xfId="31346"/>
    <cellStyle name="40% - Accent4 5 4" xfId="984"/>
    <cellStyle name="40% - Accent4 5 4 2" xfId="7444"/>
    <cellStyle name="40% - Accent4 5 4 2 2" xfId="7445"/>
    <cellStyle name="40% - Accent4 5 4 2 2 2" xfId="7446"/>
    <cellStyle name="40% - Accent4 5 4 2 3" xfId="7447"/>
    <cellStyle name="40% - Accent4 5 4 3" xfId="7448"/>
    <cellStyle name="40% - Accent4 5 4 3 2" xfId="7449"/>
    <cellStyle name="40% - Accent4 5 4 4" xfId="7450"/>
    <cellStyle name="40% - Accent4 5 4 5" xfId="16330"/>
    <cellStyle name="40% - Accent4 5 4 5 2" xfId="26046"/>
    <cellStyle name="40% - Accent4 5 4 5 2 2" xfId="45800"/>
    <cellStyle name="40% - Accent4 5 4 5 3" xfId="36156"/>
    <cellStyle name="40% - Accent4 5 4 6" xfId="21236"/>
    <cellStyle name="40% - Accent4 5 4 6 2" xfId="40991"/>
    <cellStyle name="40% - Accent4 5 4 7" xfId="31347"/>
    <cellStyle name="40% - Accent4 5 5" xfId="7451"/>
    <cellStyle name="40% - Accent4 5 5 2" xfId="7452"/>
    <cellStyle name="40% - Accent4 5 5 2 2" xfId="7453"/>
    <cellStyle name="40% - Accent4 5 5 2 2 2" xfId="7454"/>
    <cellStyle name="40% - Accent4 5 5 2 3" xfId="7455"/>
    <cellStyle name="40% - Accent4 5 5 3" xfId="7456"/>
    <cellStyle name="40% - Accent4 5 5 3 2" xfId="7457"/>
    <cellStyle name="40% - Accent4 5 5 4" xfId="7458"/>
    <cellStyle name="40% - Accent4 5 6" xfId="7459"/>
    <cellStyle name="40% - Accent4 5 6 2" xfId="7460"/>
    <cellStyle name="40% - Accent4 5 6 2 2" xfId="7461"/>
    <cellStyle name="40% - Accent4 5 6 3" xfId="7462"/>
    <cellStyle name="40% - Accent4 5 7" xfId="7463"/>
    <cellStyle name="40% - Accent4 5 7 2" xfId="7464"/>
    <cellStyle name="40% - Accent4 5 8" xfId="7465"/>
    <cellStyle name="40% - Accent4 5 8 2" xfId="7466"/>
    <cellStyle name="40% - Accent4 5 9" xfId="7467"/>
    <cellStyle name="40% - Accent4 6" xfId="191"/>
    <cellStyle name="40% - Accent4 6 10" xfId="7468"/>
    <cellStyle name="40% - Accent4 6 11" xfId="7469"/>
    <cellStyle name="40% - Accent4 6 12" xfId="15609"/>
    <cellStyle name="40% - Accent4 6 12 2" xfId="20481"/>
    <cellStyle name="40% - Accent4 6 12 2 2" xfId="30195"/>
    <cellStyle name="40% - Accent4 6 12 2 2 2" xfId="49948"/>
    <cellStyle name="40% - Accent4 6 12 2 3" xfId="40304"/>
    <cellStyle name="40% - Accent4 6 12 3" xfId="25383"/>
    <cellStyle name="40% - Accent4 6 12 3 2" xfId="45137"/>
    <cellStyle name="40% - Accent4 6 12 4" xfId="35493"/>
    <cellStyle name="40% - Accent4 6 13" xfId="15961"/>
    <cellStyle name="40% - Accent4 6 13 2" xfId="25677"/>
    <cellStyle name="40% - Accent4 6 13 2 2" xfId="45431"/>
    <cellStyle name="40% - Accent4 6 13 3" xfId="35787"/>
    <cellStyle name="40% - Accent4 6 14" xfId="20840"/>
    <cellStyle name="40% - Accent4 6 14 2" xfId="40620"/>
    <cellStyle name="40% - Accent4 6 15" xfId="30618"/>
    <cellStyle name="40% - Accent4 6 15 2" xfId="50366"/>
    <cellStyle name="40% - Accent4 6 16" xfId="30951"/>
    <cellStyle name="40% - Accent4 6 2" xfId="192"/>
    <cellStyle name="40% - Accent4 6 2 10" xfId="15610"/>
    <cellStyle name="40% - Accent4 6 2 10 2" xfId="20482"/>
    <cellStyle name="40% - Accent4 6 2 10 2 2" xfId="30196"/>
    <cellStyle name="40% - Accent4 6 2 10 2 2 2" xfId="49949"/>
    <cellStyle name="40% - Accent4 6 2 10 2 3" xfId="40305"/>
    <cellStyle name="40% - Accent4 6 2 10 3" xfId="25384"/>
    <cellStyle name="40% - Accent4 6 2 10 3 2" xfId="45138"/>
    <cellStyle name="40% - Accent4 6 2 10 4" xfId="35494"/>
    <cellStyle name="40% - Accent4 6 2 11" xfId="15962"/>
    <cellStyle name="40% - Accent4 6 2 11 2" xfId="25678"/>
    <cellStyle name="40% - Accent4 6 2 11 2 2" xfId="45432"/>
    <cellStyle name="40% - Accent4 6 2 11 3" xfId="35788"/>
    <cellStyle name="40% - Accent4 6 2 12" xfId="20841"/>
    <cellStyle name="40% - Accent4 6 2 12 2" xfId="40621"/>
    <cellStyle name="40% - Accent4 6 2 13" xfId="30619"/>
    <cellStyle name="40% - Accent4 6 2 13 2" xfId="50367"/>
    <cellStyle name="40% - Accent4 6 2 14" xfId="30952"/>
    <cellStyle name="40% - Accent4 6 2 2" xfId="985"/>
    <cellStyle name="40% - Accent4 6 2 2 2" xfId="7470"/>
    <cellStyle name="40% - Accent4 6 2 2 2 2" xfId="7471"/>
    <cellStyle name="40% - Accent4 6 2 2 2 2 2" xfId="7472"/>
    <cellStyle name="40% - Accent4 6 2 2 2 3" xfId="7473"/>
    <cellStyle name="40% - Accent4 6 2 2 3" xfId="7474"/>
    <cellStyle name="40% - Accent4 6 2 2 3 2" xfId="7475"/>
    <cellStyle name="40% - Accent4 6 2 2 4" xfId="7476"/>
    <cellStyle name="40% - Accent4 6 2 2 5" xfId="15611"/>
    <cellStyle name="40% - Accent4 6 2 2 5 2" xfId="20483"/>
    <cellStyle name="40% - Accent4 6 2 2 5 2 2" xfId="30197"/>
    <cellStyle name="40% - Accent4 6 2 2 5 2 2 2" xfId="49950"/>
    <cellStyle name="40% - Accent4 6 2 2 5 2 3" xfId="40306"/>
    <cellStyle name="40% - Accent4 6 2 2 5 3" xfId="25385"/>
    <cellStyle name="40% - Accent4 6 2 2 5 3 2" xfId="45139"/>
    <cellStyle name="40% - Accent4 6 2 2 5 4" xfId="35495"/>
    <cellStyle name="40% - Accent4 6 2 2 6" xfId="16331"/>
    <cellStyle name="40% - Accent4 6 2 2 6 2" xfId="26047"/>
    <cellStyle name="40% - Accent4 6 2 2 6 2 2" xfId="45801"/>
    <cellStyle name="40% - Accent4 6 2 2 6 3" xfId="36157"/>
    <cellStyle name="40% - Accent4 6 2 2 7" xfId="21237"/>
    <cellStyle name="40% - Accent4 6 2 2 7 2" xfId="40992"/>
    <cellStyle name="40% - Accent4 6 2 2 8" xfId="30620"/>
    <cellStyle name="40% - Accent4 6 2 2 8 2" xfId="50368"/>
    <cellStyle name="40% - Accent4 6 2 2 9" xfId="31348"/>
    <cellStyle name="40% - Accent4 6 2 3" xfId="986"/>
    <cellStyle name="40% - Accent4 6 2 3 2" xfId="7477"/>
    <cellStyle name="40% - Accent4 6 2 3 2 2" xfId="7478"/>
    <cellStyle name="40% - Accent4 6 2 3 2 2 2" xfId="7479"/>
    <cellStyle name="40% - Accent4 6 2 3 2 3" xfId="7480"/>
    <cellStyle name="40% - Accent4 6 2 3 3" xfId="7481"/>
    <cellStyle name="40% - Accent4 6 2 3 3 2" xfId="7482"/>
    <cellStyle name="40% - Accent4 6 2 3 4" xfId="7483"/>
    <cellStyle name="40% - Accent4 6 2 3 5" xfId="16332"/>
    <cellStyle name="40% - Accent4 6 2 3 5 2" xfId="26048"/>
    <cellStyle name="40% - Accent4 6 2 3 5 2 2" xfId="45802"/>
    <cellStyle name="40% - Accent4 6 2 3 5 3" xfId="36158"/>
    <cellStyle name="40% - Accent4 6 2 3 6" xfId="21238"/>
    <cellStyle name="40% - Accent4 6 2 3 6 2" xfId="40993"/>
    <cellStyle name="40% - Accent4 6 2 3 7" xfId="31349"/>
    <cellStyle name="40% - Accent4 6 2 4" xfId="7484"/>
    <cellStyle name="40% - Accent4 6 2 4 2" xfId="7485"/>
    <cellStyle name="40% - Accent4 6 2 4 2 2" xfId="7486"/>
    <cellStyle name="40% - Accent4 6 2 4 2 2 2" xfId="7487"/>
    <cellStyle name="40% - Accent4 6 2 4 2 3" xfId="7488"/>
    <cellStyle name="40% - Accent4 6 2 4 3" xfId="7489"/>
    <cellStyle name="40% - Accent4 6 2 4 3 2" xfId="7490"/>
    <cellStyle name="40% - Accent4 6 2 4 4" xfId="7491"/>
    <cellStyle name="40% - Accent4 6 2 5" xfId="7492"/>
    <cellStyle name="40% - Accent4 6 2 5 2" xfId="7493"/>
    <cellStyle name="40% - Accent4 6 2 5 2 2" xfId="7494"/>
    <cellStyle name="40% - Accent4 6 2 5 3" xfId="7495"/>
    <cellStyle name="40% - Accent4 6 2 6" xfId="7496"/>
    <cellStyle name="40% - Accent4 6 2 6 2" xfId="7497"/>
    <cellStyle name="40% - Accent4 6 2 7" xfId="7498"/>
    <cellStyle name="40% - Accent4 6 2 8" xfId="7499"/>
    <cellStyle name="40% - Accent4 6 2 9" xfId="7500"/>
    <cellStyle name="40% - Accent4 6 3" xfId="987"/>
    <cellStyle name="40% - Accent4 6 3 2" xfId="7501"/>
    <cellStyle name="40% - Accent4 6 3 2 2" xfId="7502"/>
    <cellStyle name="40% - Accent4 6 3 2 2 2" xfId="7503"/>
    <cellStyle name="40% - Accent4 6 3 2 3" xfId="7504"/>
    <cellStyle name="40% - Accent4 6 3 3" xfId="7505"/>
    <cellStyle name="40% - Accent4 6 3 3 2" xfId="7506"/>
    <cellStyle name="40% - Accent4 6 3 4" xfId="7507"/>
    <cellStyle name="40% - Accent4 6 3 5" xfId="15612"/>
    <cellStyle name="40% - Accent4 6 3 5 2" xfId="20484"/>
    <cellStyle name="40% - Accent4 6 3 5 2 2" xfId="30198"/>
    <cellStyle name="40% - Accent4 6 3 5 2 2 2" xfId="49951"/>
    <cellStyle name="40% - Accent4 6 3 5 2 3" xfId="40307"/>
    <cellStyle name="40% - Accent4 6 3 5 3" xfId="25386"/>
    <cellStyle name="40% - Accent4 6 3 5 3 2" xfId="45140"/>
    <cellStyle name="40% - Accent4 6 3 5 4" xfId="35496"/>
    <cellStyle name="40% - Accent4 6 3 6" xfId="16333"/>
    <cellStyle name="40% - Accent4 6 3 6 2" xfId="26049"/>
    <cellStyle name="40% - Accent4 6 3 6 2 2" xfId="45803"/>
    <cellStyle name="40% - Accent4 6 3 6 3" xfId="36159"/>
    <cellStyle name="40% - Accent4 6 3 7" xfId="21239"/>
    <cellStyle name="40% - Accent4 6 3 7 2" xfId="40994"/>
    <cellStyle name="40% - Accent4 6 3 8" xfId="30621"/>
    <cellStyle name="40% - Accent4 6 3 8 2" xfId="50369"/>
    <cellStyle name="40% - Accent4 6 3 9" xfId="31350"/>
    <cellStyle name="40% - Accent4 6 4" xfId="988"/>
    <cellStyle name="40% - Accent4 6 4 2" xfId="7508"/>
    <cellStyle name="40% - Accent4 6 4 2 2" xfId="7509"/>
    <cellStyle name="40% - Accent4 6 4 2 2 2" xfId="7510"/>
    <cellStyle name="40% - Accent4 6 4 2 3" xfId="7511"/>
    <cellStyle name="40% - Accent4 6 4 3" xfId="7512"/>
    <cellStyle name="40% - Accent4 6 4 3 2" xfId="7513"/>
    <cellStyle name="40% - Accent4 6 4 4" xfId="7514"/>
    <cellStyle name="40% - Accent4 6 4 5" xfId="16334"/>
    <cellStyle name="40% - Accent4 6 4 5 2" xfId="26050"/>
    <cellStyle name="40% - Accent4 6 4 5 2 2" xfId="45804"/>
    <cellStyle name="40% - Accent4 6 4 5 3" xfId="36160"/>
    <cellStyle name="40% - Accent4 6 4 6" xfId="21240"/>
    <cellStyle name="40% - Accent4 6 4 6 2" xfId="40995"/>
    <cellStyle name="40% - Accent4 6 4 7" xfId="31351"/>
    <cellStyle name="40% - Accent4 6 5" xfId="7515"/>
    <cellStyle name="40% - Accent4 6 5 2" xfId="7516"/>
    <cellStyle name="40% - Accent4 6 5 2 2" xfId="7517"/>
    <cellStyle name="40% - Accent4 6 5 2 2 2" xfId="7518"/>
    <cellStyle name="40% - Accent4 6 5 2 3" xfId="7519"/>
    <cellStyle name="40% - Accent4 6 5 3" xfId="7520"/>
    <cellStyle name="40% - Accent4 6 5 3 2" xfId="7521"/>
    <cellStyle name="40% - Accent4 6 5 4" xfId="7522"/>
    <cellStyle name="40% - Accent4 6 6" xfId="7523"/>
    <cellStyle name="40% - Accent4 6 6 2" xfId="7524"/>
    <cellStyle name="40% - Accent4 6 6 2 2" xfId="7525"/>
    <cellStyle name="40% - Accent4 6 6 3" xfId="7526"/>
    <cellStyle name="40% - Accent4 6 7" xfId="7527"/>
    <cellStyle name="40% - Accent4 6 7 2" xfId="7528"/>
    <cellStyle name="40% - Accent4 6 8" xfId="7529"/>
    <cellStyle name="40% - Accent4 6 8 2" xfId="7530"/>
    <cellStyle name="40% - Accent4 6 9" xfId="7531"/>
    <cellStyle name="40% - Accent4 7" xfId="193"/>
    <cellStyle name="40% - Accent4 7 10" xfId="30953"/>
    <cellStyle name="40% - Accent4 7 2" xfId="194"/>
    <cellStyle name="40% - Accent4 7 2 2" xfId="989"/>
    <cellStyle name="40% - Accent4 7 2 2 2" xfId="7532"/>
    <cellStyle name="40% - Accent4 7 2 2 2 2" xfId="7533"/>
    <cellStyle name="40% - Accent4 7 2 2 3" xfId="7534"/>
    <cellStyle name="40% - Accent4 7 2 2 4" xfId="15615"/>
    <cellStyle name="40% - Accent4 7 2 2 4 2" xfId="20487"/>
    <cellStyle name="40% - Accent4 7 2 2 4 2 2" xfId="30201"/>
    <cellStyle name="40% - Accent4 7 2 2 4 2 2 2" xfId="49954"/>
    <cellStyle name="40% - Accent4 7 2 2 4 2 3" xfId="40310"/>
    <cellStyle name="40% - Accent4 7 2 2 4 3" xfId="25389"/>
    <cellStyle name="40% - Accent4 7 2 2 4 3 2" xfId="45143"/>
    <cellStyle name="40% - Accent4 7 2 2 4 4" xfId="35499"/>
    <cellStyle name="40% - Accent4 7 2 2 5" xfId="16335"/>
    <cellStyle name="40% - Accent4 7 2 2 5 2" xfId="26051"/>
    <cellStyle name="40% - Accent4 7 2 2 5 2 2" xfId="45805"/>
    <cellStyle name="40% - Accent4 7 2 2 5 3" xfId="36161"/>
    <cellStyle name="40% - Accent4 7 2 2 6" xfId="21241"/>
    <cellStyle name="40% - Accent4 7 2 2 6 2" xfId="40996"/>
    <cellStyle name="40% - Accent4 7 2 2 7" xfId="30624"/>
    <cellStyle name="40% - Accent4 7 2 2 7 2" xfId="50372"/>
    <cellStyle name="40% - Accent4 7 2 2 8" xfId="31352"/>
    <cellStyle name="40% - Accent4 7 2 3" xfId="990"/>
    <cellStyle name="40% - Accent4 7 2 3 2" xfId="7535"/>
    <cellStyle name="40% - Accent4 7 2 3 3" xfId="16336"/>
    <cellStyle name="40% - Accent4 7 2 3 3 2" xfId="26052"/>
    <cellStyle name="40% - Accent4 7 2 3 3 2 2" xfId="45806"/>
    <cellStyle name="40% - Accent4 7 2 3 3 3" xfId="36162"/>
    <cellStyle name="40% - Accent4 7 2 3 4" xfId="21242"/>
    <cellStyle name="40% - Accent4 7 2 3 4 2" xfId="40997"/>
    <cellStyle name="40% - Accent4 7 2 3 5" xfId="31353"/>
    <cellStyle name="40% - Accent4 7 2 4" xfId="7536"/>
    <cellStyle name="40% - Accent4 7 2 5" xfId="15614"/>
    <cellStyle name="40% - Accent4 7 2 5 2" xfId="20486"/>
    <cellStyle name="40% - Accent4 7 2 5 2 2" xfId="30200"/>
    <cellStyle name="40% - Accent4 7 2 5 2 2 2" xfId="49953"/>
    <cellStyle name="40% - Accent4 7 2 5 2 3" xfId="40309"/>
    <cellStyle name="40% - Accent4 7 2 5 3" xfId="25388"/>
    <cellStyle name="40% - Accent4 7 2 5 3 2" xfId="45142"/>
    <cellStyle name="40% - Accent4 7 2 5 4" xfId="35498"/>
    <cellStyle name="40% - Accent4 7 2 6" xfId="15964"/>
    <cellStyle name="40% - Accent4 7 2 6 2" xfId="25680"/>
    <cellStyle name="40% - Accent4 7 2 6 2 2" xfId="45434"/>
    <cellStyle name="40% - Accent4 7 2 6 3" xfId="35790"/>
    <cellStyle name="40% - Accent4 7 2 7" xfId="20843"/>
    <cellStyle name="40% - Accent4 7 2 7 2" xfId="40623"/>
    <cellStyle name="40% - Accent4 7 2 8" xfId="30623"/>
    <cellStyle name="40% - Accent4 7 2 8 2" xfId="50371"/>
    <cellStyle name="40% - Accent4 7 2 9" xfId="30954"/>
    <cellStyle name="40% - Accent4 7 3" xfId="991"/>
    <cellStyle name="40% - Accent4 7 3 2" xfId="7537"/>
    <cellStyle name="40% - Accent4 7 3 2 2" xfId="7538"/>
    <cellStyle name="40% - Accent4 7 3 3" xfId="7539"/>
    <cellStyle name="40% - Accent4 7 3 4" xfId="15616"/>
    <cellStyle name="40% - Accent4 7 3 4 2" xfId="20488"/>
    <cellStyle name="40% - Accent4 7 3 4 2 2" xfId="30202"/>
    <cellStyle name="40% - Accent4 7 3 4 2 2 2" xfId="49955"/>
    <cellStyle name="40% - Accent4 7 3 4 2 3" xfId="40311"/>
    <cellStyle name="40% - Accent4 7 3 4 3" xfId="25390"/>
    <cellStyle name="40% - Accent4 7 3 4 3 2" xfId="45144"/>
    <cellStyle name="40% - Accent4 7 3 4 4" xfId="35500"/>
    <cellStyle name="40% - Accent4 7 3 5" xfId="16337"/>
    <cellStyle name="40% - Accent4 7 3 5 2" xfId="26053"/>
    <cellStyle name="40% - Accent4 7 3 5 2 2" xfId="45807"/>
    <cellStyle name="40% - Accent4 7 3 5 3" xfId="36163"/>
    <cellStyle name="40% - Accent4 7 3 6" xfId="21243"/>
    <cellStyle name="40% - Accent4 7 3 6 2" xfId="40998"/>
    <cellStyle name="40% - Accent4 7 3 7" xfId="30625"/>
    <cellStyle name="40% - Accent4 7 3 7 2" xfId="50373"/>
    <cellStyle name="40% - Accent4 7 3 8" xfId="31354"/>
    <cellStyle name="40% - Accent4 7 4" xfId="992"/>
    <cellStyle name="40% - Accent4 7 4 2" xfId="7540"/>
    <cellStyle name="40% - Accent4 7 4 3" xfId="16338"/>
    <cellStyle name="40% - Accent4 7 4 3 2" xfId="26054"/>
    <cellStyle name="40% - Accent4 7 4 3 2 2" xfId="45808"/>
    <cellStyle name="40% - Accent4 7 4 3 3" xfId="36164"/>
    <cellStyle name="40% - Accent4 7 4 4" xfId="21244"/>
    <cellStyle name="40% - Accent4 7 4 4 2" xfId="40999"/>
    <cellStyle name="40% - Accent4 7 4 5" xfId="31355"/>
    <cellStyle name="40% - Accent4 7 5" xfId="7541"/>
    <cellStyle name="40% - Accent4 7 6" xfId="15613"/>
    <cellStyle name="40% - Accent4 7 6 2" xfId="20485"/>
    <cellStyle name="40% - Accent4 7 6 2 2" xfId="30199"/>
    <cellStyle name="40% - Accent4 7 6 2 2 2" xfId="49952"/>
    <cellStyle name="40% - Accent4 7 6 2 3" xfId="40308"/>
    <cellStyle name="40% - Accent4 7 6 3" xfId="25387"/>
    <cellStyle name="40% - Accent4 7 6 3 2" xfId="45141"/>
    <cellStyle name="40% - Accent4 7 6 4" xfId="35497"/>
    <cellStyle name="40% - Accent4 7 7" xfId="15963"/>
    <cellStyle name="40% - Accent4 7 7 2" xfId="25679"/>
    <cellStyle name="40% - Accent4 7 7 2 2" xfId="45433"/>
    <cellStyle name="40% - Accent4 7 7 3" xfId="35789"/>
    <cellStyle name="40% - Accent4 7 8" xfId="20842"/>
    <cellStyle name="40% - Accent4 7 8 2" xfId="40622"/>
    <cellStyle name="40% - Accent4 7 9" xfId="30622"/>
    <cellStyle name="40% - Accent4 7 9 2" xfId="50370"/>
    <cellStyle name="40% - Accent4 8" xfId="195"/>
    <cellStyle name="40% - Accent4 8 10" xfId="30955"/>
    <cellStyle name="40% - Accent4 8 2" xfId="196"/>
    <cellStyle name="40% - Accent4 8 2 2" xfId="993"/>
    <cellStyle name="40% - Accent4 8 2 2 2" xfId="7542"/>
    <cellStyle name="40% - Accent4 8 2 2 2 2" xfId="7543"/>
    <cellStyle name="40% - Accent4 8 2 2 3" xfId="7544"/>
    <cellStyle name="40% - Accent4 8 2 2 4" xfId="15619"/>
    <cellStyle name="40% - Accent4 8 2 2 4 2" xfId="20491"/>
    <cellStyle name="40% - Accent4 8 2 2 4 2 2" xfId="30205"/>
    <cellStyle name="40% - Accent4 8 2 2 4 2 2 2" xfId="49958"/>
    <cellStyle name="40% - Accent4 8 2 2 4 2 3" xfId="40314"/>
    <cellStyle name="40% - Accent4 8 2 2 4 3" xfId="25393"/>
    <cellStyle name="40% - Accent4 8 2 2 4 3 2" xfId="45147"/>
    <cellStyle name="40% - Accent4 8 2 2 4 4" xfId="35503"/>
    <cellStyle name="40% - Accent4 8 2 2 5" xfId="16339"/>
    <cellStyle name="40% - Accent4 8 2 2 5 2" xfId="26055"/>
    <cellStyle name="40% - Accent4 8 2 2 5 2 2" xfId="45809"/>
    <cellStyle name="40% - Accent4 8 2 2 5 3" xfId="36165"/>
    <cellStyle name="40% - Accent4 8 2 2 6" xfId="21245"/>
    <cellStyle name="40% - Accent4 8 2 2 6 2" xfId="41000"/>
    <cellStyle name="40% - Accent4 8 2 2 7" xfId="30628"/>
    <cellStyle name="40% - Accent4 8 2 2 7 2" xfId="50376"/>
    <cellStyle name="40% - Accent4 8 2 2 8" xfId="31356"/>
    <cellStyle name="40% - Accent4 8 2 3" xfId="994"/>
    <cellStyle name="40% - Accent4 8 2 3 2" xfId="7545"/>
    <cellStyle name="40% - Accent4 8 2 3 3" xfId="16340"/>
    <cellStyle name="40% - Accent4 8 2 3 3 2" xfId="26056"/>
    <cellStyle name="40% - Accent4 8 2 3 3 2 2" xfId="45810"/>
    <cellStyle name="40% - Accent4 8 2 3 3 3" xfId="36166"/>
    <cellStyle name="40% - Accent4 8 2 3 4" xfId="21246"/>
    <cellStyle name="40% - Accent4 8 2 3 4 2" xfId="41001"/>
    <cellStyle name="40% - Accent4 8 2 3 5" xfId="31357"/>
    <cellStyle name="40% - Accent4 8 2 4" xfId="7546"/>
    <cellStyle name="40% - Accent4 8 2 5" xfId="15618"/>
    <cellStyle name="40% - Accent4 8 2 5 2" xfId="20490"/>
    <cellStyle name="40% - Accent4 8 2 5 2 2" xfId="30204"/>
    <cellStyle name="40% - Accent4 8 2 5 2 2 2" xfId="49957"/>
    <cellStyle name="40% - Accent4 8 2 5 2 3" xfId="40313"/>
    <cellStyle name="40% - Accent4 8 2 5 3" xfId="25392"/>
    <cellStyle name="40% - Accent4 8 2 5 3 2" xfId="45146"/>
    <cellStyle name="40% - Accent4 8 2 5 4" xfId="35502"/>
    <cellStyle name="40% - Accent4 8 2 6" xfId="15966"/>
    <cellStyle name="40% - Accent4 8 2 6 2" xfId="25682"/>
    <cellStyle name="40% - Accent4 8 2 6 2 2" xfId="45436"/>
    <cellStyle name="40% - Accent4 8 2 6 3" xfId="35792"/>
    <cellStyle name="40% - Accent4 8 2 7" xfId="20845"/>
    <cellStyle name="40% - Accent4 8 2 7 2" xfId="40625"/>
    <cellStyle name="40% - Accent4 8 2 8" xfId="30627"/>
    <cellStyle name="40% - Accent4 8 2 8 2" xfId="50375"/>
    <cellStyle name="40% - Accent4 8 2 9" xfId="30956"/>
    <cellStyle name="40% - Accent4 8 3" xfId="995"/>
    <cellStyle name="40% - Accent4 8 3 2" xfId="7547"/>
    <cellStyle name="40% - Accent4 8 3 2 2" xfId="7548"/>
    <cellStyle name="40% - Accent4 8 3 3" xfId="7549"/>
    <cellStyle name="40% - Accent4 8 3 4" xfId="15620"/>
    <cellStyle name="40% - Accent4 8 3 4 2" xfId="20492"/>
    <cellStyle name="40% - Accent4 8 3 4 2 2" xfId="30206"/>
    <cellStyle name="40% - Accent4 8 3 4 2 2 2" xfId="49959"/>
    <cellStyle name="40% - Accent4 8 3 4 2 3" xfId="40315"/>
    <cellStyle name="40% - Accent4 8 3 4 3" xfId="25394"/>
    <cellStyle name="40% - Accent4 8 3 4 3 2" xfId="45148"/>
    <cellStyle name="40% - Accent4 8 3 4 4" xfId="35504"/>
    <cellStyle name="40% - Accent4 8 3 5" xfId="16341"/>
    <cellStyle name="40% - Accent4 8 3 5 2" xfId="26057"/>
    <cellStyle name="40% - Accent4 8 3 5 2 2" xfId="45811"/>
    <cellStyle name="40% - Accent4 8 3 5 3" xfId="36167"/>
    <cellStyle name="40% - Accent4 8 3 6" xfId="21247"/>
    <cellStyle name="40% - Accent4 8 3 6 2" xfId="41002"/>
    <cellStyle name="40% - Accent4 8 3 7" xfId="30629"/>
    <cellStyle name="40% - Accent4 8 3 7 2" xfId="50377"/>
    <cellStyle name="40% - Accent4 8 3 8" xfId="31358"/>
    <cellStyle name="40% - Accent4 8 4" xfId="996"/>
    <cellStyle name="40% - Accent4 8 4 2" xfId="7550"/>
    <cellStyle name="40% - Accent4 8 4 3" xfId="16342"/>
    <cellStyle name="40% - Accent4 8 4 3 2" xfId="26058"/>
    <cellStyle name="40% - Accent4 8 4 3 2 2" xfId="45812"/>
    <cellStyle name="40% - Accent4 8 4 3 3" xfId="36168"/>
    <cellStyle name="40% - Accent4 8 4 4" xfId="21248"/>
    <cellStyle name="40% - Accent4 8 4 4 2" xfId="41003"/>
    <cellStyle name="40% - Accent4 8 4 5" xfId="31359"/>
    <cellStyle name="40% - Accent4 8 5" xfId="7551"/>
    <cellStyle name="40% - Accent4 8 6" xfId="15617"/>
    <cellStyle name="40% - Accent4 8 6 2" xfId="20489"/>
    <cellStyle name="40% - Accent4 8 6 2 2" xfId="30203"/>
    <cellStyle name="40% - Accent4 8 6 2 2 2" xfId="49956"/>
    <cellStyle name="40% - Accent4 8 6 2 3" xfId="40312"/>
    <cellStyle name="40% - Accent4 8 6 3" xfId="25391"/>
    <cellStyle name="40% - Accent4 8 6 3 2" xfId="45145"/>
    <cellStyle name="40% - Accent4 8 6 4" xfId="35501"/>
    <cellStyle name="40% - Accent4 8 7" xfId="15965"/>
    <cellStyle name="40% - Accent4 8 7 2" xfId="25681"/>
    <cellStyle name="40% - Accent4 8 7 2 2" xfId="45435"/>
    <cellStyle name="40% - Accent4 8 7 3" xfId="35791"/>
    <cellStyle name="40% - Accent4 8 8" xfId="20844"/>
    <cellStyle name="40% - Accent4 8 8 2" xfId="40624"/>
    <cellStyle name="40% - Accent4 8 9" xfId="30626"/>
    <cellStyle name="40% - Accent4 8 9 2" xfId="50374"/>
    <cellStyle name="40% - Accent4 9" xfId="197"/>
    <cellStyle name="40% - Accent4 9 2" xfId="997"/>
    <cellStyle name="40% - Accent4 9 2 2" xfId="7552"/>
    <cellStyle name="40% - Accent4 9 2 2 2" xfId="7553"/>
    <cellStyle name="40% - Accent4 9 2 3" xfId="7554"/>
    <cellStyle name="40% - Accent4 9 2 4" xfId="15622"/>
    <cellStyle name="40% - Accent4 9 2 4 2" xfId="20494"/>
    <cellStyle name="40% - Accent4 9 2 4 2 2" xfId="30208"/>
    <cellStyle name="40% - Accent4 9 2 4 2 2 2" xfId="49961"/>
    <cellStyle name="40% - Accent4 9 2 4 2 3" xfId="40317"/>
    <cellStyle name="40% - Accent4 9 2 4 3" xfId="25396"/>
    <cellStyle name="40% - Accent4 9 2 4 3 2" xfId="45150"/>
    <cellStyle name="40% - Accent4 9 2 4 4" xfId="35506"/>
    <cellStyle name="40% - Accent4 9 2 5" xfId="16343"/>
    <cellStyle name="40% - Accent4 9 2 5 2" xfId="26059"/>
    <cellStyle name="40% - Accent4 9 2 5 2 2" xfId="45813"/>
    <cellStyle name="40% - Accent4 9 2 5 3" xfId="36169"/>
    <cellStyle name="40% - Accent4 9 2 6" xfId="21249"/>
    <cellStyle name="40% - Accent4 9 2 6 2" xfId="41004"/>
    <cellStyle name="40% - Accent4 9 2 7" xfId="30631"/>
    <cellStyle name="40% - Accent4 9 2 7 2" xfId="50379"/>
    <cellStyle name="40% - Accent4 9 2 8" xfId="31360"/>
    <cellStyle name="40% - Accent4 9 3" xfId="998"/>
    <cellStyle name="40% - Accent4 9 3 2" xfId="7555"/>
    <cellStyle name="40% - Accent4 9 3 3" xfId="16344"/>
    <cellStyle name="40% - Accent4 9 3 3 2" xfId="26060"/>
    <cellStyle name="40% - Accent4 9 3 3 2 2" xfId="45814"/>
    <cellStyle name="40% - Accent4 9 3 3 3" xfId="36170"/>
    <cellStyle name="40% - Accent4 9 3 4" xfId="21250"/>
    <cellStyle name="40% - Accent4 9 3 4 2" xfId="41005"/>
    <cellStyle name="40% - Accent4 9 3 5" xfId="31361"/>
    <cellStyle name="40% - Accent4 9 4" xfId="7556"/>
    <cellStyle name="40% - Accent4 9 5" xfId="15621"/>
    <cellStyle name="40% - Accent4 9 5 2" xfId="20493"/>
    <cellStyle name="40% - Accent4 9 5 2 2" xfId="30207"/>
    <cellStyle name="40% - Accent4 9 5 2 2 2" xfId="49960"/>
    <cellStyle name="40% - Accent4 9 5 2 3" xfId="40316"/>
    <cellStyle name="40% - Accent4 9 5 3" xfId="25395"/>
    <cellStyle name="40% - Accent4 9 5 3 2" xfId="45149"/>
    <cellStyle name="40% - Accent4 9 5 4" xfId="35505"/>
    <cellStyle name="40% - Accent4 9 6" xfId="15967"/>
    <cellStyle name="40% - Accent4 9 6 2" xfId="25683"/>
    <cellStyle name="40% - Accent4 9 6 2 2" xfId="45437"/>
    <cellStyle name="40% - Accent4 9 6 3" xfId="35793"/>
    <cellStyle name="40% - Accent4 9 7" xfId="20846"/>
    <cellStyle name="40% - Accent4 9 7 2" xfId="40626"/>
    <cellStyle name="40% - Accent4 9 8" xfId="30630"/>
    <cellStyle name="40% - Accent4 9 8 2" xfId="50378"/>
    <cellStyle name="40% - Accent4 9 9" xfId="30957"/>
    <cellStyle name="40% - Accent5" xfId="198" builtinId="47" customBuiltin="1"/>
    <cellStyle name="40% - Accent5 10" xfId="199"/>
    <cellStyle name="40% - Accent5 10 2" xfId="999"/>
    <cellStyle name="40% - Accent5 10 2 2" xfId="7557"/>
    <cellStyle name="40% - Accent5 10 2 2 2" xfId="7558"/>
    <cellStyle name="40% - Accent5 10 2 3" xfId="7559"/>
    <cellStyle name="40% - Accent5 10 2 4" xfId="16345"/>
    <cellStyle name="40% - Accent5 10 2 4 2" xfId="26061"/>
    <cellStyle name="40% - Accent5 10 2 4 2 2" xfId="45815"/>
    <cellStyle name="40% - Accent5 10 2 4 3" xfId="36171"/>
    <cellStyle name="40% - Accent5 10 2 5" xfId="21251"/>
    <cellStyle name="40% - Accent5 10 2 5 2" xfId="41006"/>
    <cellStyle name="40% - Accent5 10 2 6" xfId="31362"/>
    <cellStyle name="40% - Accent5 10 3" xfId="1000"/>
    <cellStyle name="40% - Accent5 10 3 2" xfId="7560"/>
    <cellStyle name="40% - Accent5 10 3 3" xfId="16346"/>
    <cellStyle name="40% - Accent5 10 3 3 2" xfId="26062"/>
    <cellStyle name="40% - Accent5 10 3 3 2 2" xfId="45816"/>
    <cellStyle name="40% - Accent5 10 3 3 3" xfId="36172"/>
    <cellStyle name="40% - Accent5 10 3 4" xfId="21252"/>
    <cellStyle name="40% - Accent5 10 3 4 2" xfId="41007"/>
    <cellStyle name="40% - Accent5 10 3 5" xfId="31363"/>
    <cellStyle name="40% - Accent5 10 4" xfId="7561"/>
    <cellStyle name="40% - Accent5 10 5" xfId="15624"/>
    <cellStyle name="40% - Accent5 10 5 2" xfId="20496"/>
    <cellStyle name="40% - Accent5 10 5 2 2" xfId="30210"/>
    <cellStyle name="40% - Accent5 10 5 2 2 2" xfId="49963"/>
    <cellStyle name="40% - Accent5 10 5 2 3" xfId="40319"/>
    <cellStyle name="40% - Accent5 10 5 3" xfId="25398"/>
    <cellStyle name="40% - Accent5 10 5 3 2" xfId="45152"/>
    <cellStyle name="40% - Accent5 10 5 4" xfId="35508"/>
    <cellStyle name="40% - Accent5 10 6" xfId="15969"/>
    <cellStyle name="40% - Accent5 10 6 2" xfId="25685"/>
    <cellStyle name="40% - Accent5 10 6 2 2" xfId="45439"/>
    <cellStyle name="40% - Accent5 10 6 3" xfId="35795"/>
    <cellStyle name="40% - Accent5 10 7" xfId="20848"/>
    <cellStyle name="40% - Accent5 10 7 2" xfId="40628"/>
    <cellStyle name="40% - Accent5 10 8" xfId="30632"/>
    <cellStyle name="40% - Accent5 10 8 2" xfId="50380"/>
    <cellStyle name="40% - Accent5 10 9" xfId="30959"/>
    <cellStyle name="40% - Accent5 11" xfId="200"/>
    <cellStyle name="40% - Accent5 11 2" xfId="1001"/>
    <cellStyle name="40% - Accent5 11 2 2" xfId="16347"/>
    <cellStyle name="40% - Accent5 11 2 2 2" xfId="26063"/>
    <cellStyle name="40% - Accent5 11 2 2 2 2" xfId="45817"/>
    <cellStyle name="40% - Accent5 11 2 2 3" xfId="36173"/>
    <cellStyle name="40% - Accent5 11 2 3" xfId="21253"/>
    <cellStyle name="40% - Accent5 11 2 3 2" xfId="41008"/>
    <cellStyle name="40% - Accent5 11 2 4" xfId="31364"/>
    <cellStyle name="40% - Accent5 11 3" xfId="15625"/>
    <cellStyle name="40% - Accent5 11 3 2" xfId="20497"/>
    <cellStyle name="40% - Accent5 11 3 2 2" xfId="30211"/>
    <cellStyle name="40% - Accent5 11 3 2 2 2" xfId="49964"/>
    <cellStyle name="40% - Accent5 11 3 2 3" xfId="40320"/>
    <cellStyle name="40% - Accent5 11 3 3" xfId="25399"/>
    <cellStyle name="40% - Accent5 11 3 3 2" xfId="45153"/>
    <cellStyle name="40% - Accent5 11 3 4" xfId="35509"/>
    <cellStyle name="40% - Accent5 11 4" xfId="15968"/>
    <cellStyle name="40% - Accent5 11 4 2" xfId="25684"/>
    <cellStyle name="40% - Accent5 11 4 2 2" xfId="45438"/>
    <cellStyle name="40% - Accent5 11 4 3" xfId="35794"/>
    <cellStyle name="40% - Accent5 11 5" xfId="20849"/>
    <cellStyle name="40% - Accent5 11 5 2" xfId="40629"/>
    <cellStyle name="40% - Accent5 11 6" xfId="30633"/>
    <cellStyle name="40% - Accent5 11 6 2" xfId="50381"/>
    <cellStyle name="40% - Accent5 11 7" xfId="30960"/>
    <cellStyle name="40% - Accent5 12" xfId="1002"/>
    <cellStyle name="40% - Accent5 12 2" xfId="16348"/>
    <cellStyle name="40% - Accent5 12 2 2" xfId="26064"/>
    <cellStyle name="40% - Accent5 12 2 2 2" xfId="45818"/>
    <cellStyle name="40% - Accent5 12 2 3" xfId="36174"/>
    <cellStyle name="40% - Accent5 12 3" xfId="21254"/>
    <cellStyle name="40% - Accent5 12 3 2" xfId="41009"/>
    <cellStyle name="40% - Accent5 12 4" xfId="31365"/>
    <cellStyle name="40% - Accent5 13" xfId="1003"/>
    <cellStyle name="40% - Accent5 13 2" xfId="16349"/>
    <cellStyle name="40% - Accent5 13 2 2" xfId="26065"/>
    <cellStyle name="40% - Accent5 13 2 2 2" xfId="45819"/>
    <cellStyle name="40% - Accent5 13 2 3" xfId="36175"/>
    <cellStyle name="40% - Accent5 13 3" xfId="21255"/>
    <cellStyle name="40% - Accent5 13 3 2" xfId="41010"/>
    <cellStyle name="40% - Accent5 13 4" xfId="31366"/>
    <cellStyle name="40% - Accent5 14" xfId="1004"/>
    <cellStyle name="40% - Accent5 14 2" xfId="16350"/>
    <cellStyle name="40% - Accent5 14 2 2" xfId="26066"/>
    <cellStyle name="40% - Accent5 14 2 2 2" xfId="45820"/>
    <cellStyle name="40% - Accent5 14 2 3" xfId="36176"/>
    <cellStyle name="40% - Accent5 14 3" xfId="21256"/>
    <cellStyle name="40% - Accent5 14 3 2" xfId="41011"/>
    <cellStyle name="40% - Accent5 14 4" xfId="31367"/>
    <cellStyle name="40% - Accent5 15" xfId="15324"/>
    <cellStyle name="40% - Accent5 15 2" xfId="20221"/>
    <cellStyle name="40% - Accent5 15 2 2" xfId="29935"/>
    <cellStyle name="40% - Accent5 15 2 2 2" xfId="49688"/>
    <cellStyle name="40% - Accent5 15 2 3" xfId="40044"/>
    <cellStyle name="40% - Accent5 15 3" xfId="25123"/>
    <cellStyle name="40% - Accent5 15 3 2" xfId="44877"/>
    <cellStyle name="40% - Accent5 15 4" xfId="35233"/>
    <cellStyle name="40% - Accent5 16" xfId="15623"/>
    <cellStyle name="40% - Accent5 16 2" xfId="20495"/>
    <cellStyle name="40% - Accent5 16 2 2" xfId="30209"/>
    <cellStyle name="40% - Accent5 16 2 2 2" xfId="49962"/>
    <cellStyle name="40% - Accent5 16 2 3" xfId="40318"/>
    <cellStyle name="40% - Accent5 16 3" xfId="25397"/>
    <cellStyle name="40% - Accent5 16 3 2" xfId="45151"/>
    <cellStyle name="40% - Accent5 16 4" xfId="35507"/>
    <cellStyle name="40% - Accent5 17" xfId="15809"/>
    <cellStyle name="40% - Accent5 17 2" xfId="25525"/>
    <cellStyle name="40% - Accent5 17 2 2" xfId="45279"/>
    <cellStyle name="40% - Accent5 17 3" xfId="35635"/>
    <cellStyle name="40% - Accent5 18" xfId="20644"/>
    <cellStyle name="40% - Accent5 18 2" xfId="30328"/>
    <cellStyle name="40% - Accent5 18 2 2" xfId="50080"/>
    <cellStyle name="40% - Accent5 18 3" xfId="40436"/>
    <cellStyle name="40% - Accent5 19" xfId="20675"/>
    <cellStyle name="40% - Accent5 19 2" xfId="30352"/>
    <cellStyle name="40% - Accent5 19 2 2" xfId="50101"/>
    <cellStyle name="40% - Accent5 19 3" xfId="40457"/>
    <cellStyle name="40% - Accent5 2" xfId="201"/>
    <cellStyle name="40% - Accent5 2 10" xfId="7562"/>
    <cellStyle name="40% - Accent5 2 10 2" xfId="7563"/>
    <cellStyle name="40% - Accent5 2 11" xfId="7564"/>
    <cellStyle name="40% - Accent5 2 12" xfId="7565"/>
    <cellStyle name="40% - Accent5 2 13" xfId="7566"/>
    <cellStyle name="40% - Accent5 2 2" xfId="202"/>
    <cellStyle name="40% - Accent5 2 2 10" xfId="7567"/>
    <cellStyle name="40% - Accent5 2 2 11" xfId="7568"/>
    <cellStyle name="40% - Accent5 2 2 12" xfId="7569"/>
    <cellStyle name="40% - Accent5 2 2 2" xfId="7570"/>
    <cellStyle name="40% - Accent5 2 2 2 10" xfId="7571"/>
    <cellStyle name="40% - Accent5 2 2 2 2" xfId="7572"/>
    <cellStyle name="40% - Accent5 2 2 2 2 2" xfId="7573"/>
    <cellStyle name="40% - Accent5 2 2 2 2 2 2" xfId="7574"/>
    <cellStyle name="40% - Accent5 2 2 2 2 2 2 2" xfId="7575"/>
    <cellStyle name="40% - Accent5 2 2 2 2 2 2 2 2" xfId="7576"/>
    <cellStyle name="40% - Accent5 2 2 2 2 2 2 3" xfId="7577"/>
    <cellStyle name="40% - Accent5 2 2 2 2 2 3" xfId="7578"/>
    <cellStyle name="40% - Accent5 2 2 2 2 2 3 2" xfId="7579"/>
    <cellStyle name="40% - Accent5 2 2 2 2 2 4" xfId="7580"/>
    <cellStyle name="40% - Accent5 2 2 2 2 3" xfId="7581"/>
    <cellStyle name="40% - Accent5 2 2 2 2 3 2" xfId="7582"/>
    <cellStyle name="40% - Accent5 2 2 2 2 3 2 2" xfId="7583"/>
    <cellStyle name="40% - Accent5 2 2 2 2 3 3" xfId="7584"/>
    <cellStyle name="40% - Accent5 2 2 2 2 4" xfId="7585"/>
    <cellStyle name="40% - Accent5 2 2 2 2 4 2" xfId="7586"/>
    <cellStyle name="40% - Accent5 2 2 2 2 5" xfId="7587"/>
    <cellStyle name="40% - Accent5 2 2 2 2 6" xfId="7588"/>
    <cellStyle name="40% - Accent5 2 2 2 2 7" xfId="7589"/>
    <cellStyle name="40% - Accent5 2 2 2 3" xfId="7590"/>
    <cellStyle name="40% - Accent5 2 2 2 3 2" xfId="7591"/>
    <cellStyle name="40% - Accent5 2 2 2 3 2 2" xfId="7592"/>
    <cellStyle name="40% - Accent5 2 2 2 3 2 2 2" xfId="7593"/>
    <cellStyle name="40% - Accent5 2 2 2 3 2 3" xfId="7594"/>
    <cellStyle name="40% - Accent5 2 2 2 3 3" xfId="7595"/>
    <cellStyle name="40% - Accent5 2 2 2 3 3 2" xfId="7596"/>
    <cellStyle name="40% - Accent5 2 2 2 3 4" xfId="7597"/>
    <cellStyle name="40% - Accent5 2 2 2 4" xfId="7598"/>
    <cellStyle name="40% - Accent5 2 2 2 4 2" xfId="7599"/>
    <cellStyle name="40% - Accent5 2 2 2 4 2 2" xfId="7600"/>
    <cellStyle name="40% - Accent5 2 2 2 4 2 2 2" xfId="7601"/>
    <cellStyle name="40% - Accent5 2 2 2 4 2 3" xfId="7602"/>
    <cellStyle name="40% - Accent5 2 2 2 4 3" xfId="7603"/>
    <cellStyle name="40% - Accent5 2 2 2 4 3 2" xfId="7604"/>
    <cellStyle name="40% - Accent5 2 2 2 4 4" xfId="7605"/>
    <cellStyle name="40% - Accent5 2 2 2 5" xfId="7606"/>
    <cellStyle name="40% - Accent5 2 2 2 5 2" xfId="7607"/>
    <cellStyle name="40% - Accent5 2 2 2 5 2 2" xfId="7608"/>
    <cellStyle name="40% - Accent5 2 2 2 5 3" xfId="7609"/>
    <cellStyle name="40% - Accent5 2 2 2 6" xfId="7610"/>
    <cellStyle name="40% - Accent5 2 2 2 6 2" xfId="7611"/>
    <cellStyle name="40% - Accent5 2 2 2 7" xfId="7612"/>
    <cellStyle name="40% - Accent5 2 2 2 7 2" xfId="7613"/>
    <cellStyle name="40% - Accent5 2 2 2 8" xfId="7614"/>
    <cellStyle name="40% - Accent5 2 2 2 9" xfId="7615"/>
    <cellStyle name="40% - Accent5 2 2 3" xfId="7616"/>
    <cellStyle name="40% - Accent5 2 2 3 2" xfId="7617"/>
    <cellStyle name="40% - Accent5 2 2 3 2 2" xfId="7618"/>
    <cellStyle name="40% - Accent5 2 2 3 2 2 2" xfId="7619"/>
    <cellStyle name="40% - Accent5 2 2 3 2 2 2 2" xfId="7620"/>
    <cellStyle name="40% - Accent5 2 2 3 2 2 3" xfId="7621"/>
    <cellStyle name="40% - Accent5 2 2 3 2 3" xfId="7622"/>
    <cellStyle name="40% - Accent5 2 2 3 2 3 2" xfId="7623"/>
    <cellStyle name="40% - Accent5 2 2 3 2 4" xfId="7624"/>
    <cellStyle name="40% - Accent5 2 2 3 3" xfId="7625"/>
    <cellStyle name="40% - Accent5 2 2 3 3 2" xfId="7626"/>
    <cellStyle name="40% - Accent5 2 2 3 3 2 2" xfId="7627"/>
    <cellStyle name="40% - Accent5 2 2 3 3 3" xfId="7628"/>
    <cellStyle name="40% - Accent5 2 2 3 4" xfId="7629"/>
    <cellStyle name="40% - Accent5 2 2 3 4 2" xfId="7630"/>
    <cellStyle name="40% - Accent5 2 2 3 5" xfId="7631"/>
    <cellStyle name="40% - Accent5 2 2 3 6" xfId="7632"/>
    <cellStyle name="40% - Accent5 2 2 3 7" xfId="7633"/>
    <cellStyle name="40% - Accent5 2 2 4" xfId="7634"/>
    <cellStyle name="40% - Accent5 2 2 4 2" xfId="7635"/>
    <cellStyle name="40% - Accent5 2 2 4 2 2" xfId="7636"/>
    <cellStyle name="40% - Accent5 2 2 4 2 2 2" xfId="7637"/>
    <cellStyle name="40% - Accent5 2 2 4 2 3" xfId="7638"/>
    <cellStyle name="40% - Accent5 2 2 4 3" xfId="7639"/>
    <cellStyle name="40% - Accent5 2 2 4 3 2" xfId="7640"/>
    <cellStyle name="40% - Accent5 2 2 4 4" xfId="7641"/>
    <cellStyle name="40% - Accent5 2 2 5" xfId="7642"/>
    <cellStyle name="40% - Accent5 2 2 5 2" xfId="7643"/>
    <cellStyle name="40% - Accent5 2 2 5 2 2" xfId="7644"/>
    <cellStyle name="40% - Accent5 2 2 5 2 2 2" xfId="7645"/>
    <cellStyle name="40% - Accent5 2 2 5 2 3" xfId="7646"/>
    <cellStyle name="40% - Accent5 2 2 5 3" xfId="7647"/>
    <cellStyle name="40% - Accent5 2 2 5 3 2" xfId="7648"/>
    <cellStyle name="40% - Accent5 2 2 5 4" xfId="7649"/>
    <cellStyle name="40% - Accent5 2 2 6" xfId="7650"/>
    <cellStyle name="40% - Accent5 2 2 6 2" xfId="7651"/>
    <cellStyle name="40% - Accent5 2 2 7" xfId="7652"/>
    <cellStyle name="40% - Accent5 2 2 7 2" xfId="7653"/>
    <cellStyle name="40% - Accent5 2 2 7 2 2" xfId="7654"/>
    <cellStyle name="40% - Accent5 2 2 7 3" xfId="7655"/>
    <cellStyle name="40% - Accent5 2 2 8" xfId="7656"/>
    <cellStyle name="40% - Accent5 2 2 8 2" xfId="7657"/>
    <cellStyle name="40% - Accent5 2 2 9" xfId="7658"/>
    <cellStyle name="40% - Accent5 2 2 9 2" xfId="7659"/>
    <cellStyle name="40% - Accent5 2 3" xfId="203"/>
    <cellStyle name="40% - Accent5 2 3 10" xfId="7660"/>
    <cellStyle name="40% - Accent5 2 3 11" xfId="15626"/>
    <cellStyle name="40% - Accent5 2 3 11 2" xfId="20498"/>
    <cellStyle name="40% - Accent5 2 3 11 2 2" xfId="30212"/>
    <cellStyle name="40% - Accent5 2 3 11 2 2 2" xfId="49965"/>
    <cellStyle name="40% - Accent5 2 3 11 2 3" xfId="40321"/>
    <cellStyle name="40% - Accent5 2 3 11 3" xfId="25400"/>
    <cellStyle name="40% - Accent5 2 3 11 3 2" xfId="45154"/>
    <cellStyle name="40% - Accent5 2 3 11 4" xfId="35510"/>
    <cellStyle name="40% - Accent5 2 3 12" xfId="15970"/>
    <cellStyle name="40% - Accent5 2 3 12 2" xfId="25686"/>
    <cellStyle name="40% - Accent5 2 3 12 2 2" xfId="45440"/>
    <cellStyle name="40% - Accent5 2 3 12 3" xfId="35796"/>
    <cellStyle name="40% - Accent5 2 3 13" xfId="20850"/>
    <cellStyle name="40% - Accent5 2 3 13 2" xfId="40630"/>
    <cellStyle name="40% - Accent5 2 3 14" xfId="30634"/>
    <cellStyle name="40% - Accent5 2 3 14 2" xfId="50382"/>
    <cellStyle name="40% - Accent5 2 3 15" xfId="30961"/>
    <cellStyle name="40% - Accent5 2 3 2" xfId="1005"/>
    <cellStyle name="40% - Accent5 2 3 2 10" xfId="31368"/>
    <cellStyle name="40% - Accent5 2 3 2 2" xfId="7661"/>
    <cellStyle name="40% - Accent5 2 3 2 2 2" xfId="7662"/>
    <cellStyle name="40% - Accent5 2 3 2 2 2 2" xfId="7663"/>
    <cellStyle name="40% - Accent5 2 3 2 2 2 2 2" xfId="7664"/>
    <cellStyle name="40% - Accent5 2 3 2 2 2 3" xfId="7665"/>
    <cellStyle name="40% - Accent5 2 3 2 2 3" xfId="7666"/>
    <cellStyle name="40% - Accent5 2 3 2 2 3 2" xfId="7667"/>
    <cellStyle name="40% - Accent5 2 3 2 2 4" xfId="7668"/>
    <cellStyle name="40% - Accent5 2 3 2 3" xfId="7669"/>
    <cellStyle name="40% - Accent5 2 3 2 3 2" xfId="7670"/>
    <cellStyle name="40% - Accent5 2 3 2 3 2 2" xfId="7671"/>
    <cellStyle name="40% - Accent5 2 3 2 3 3" xfId="7672"/>
    <cellStyle name="40% - Accent5 2 3 2 4" xfId="7673"/>
    <cellStyle name="40% - Accent5 2 3 2 4 2" xfId="7674"/>
    <cellStyle name="40% - Accent5 2 3 2 5" xfId="7675"/>
    <cellStyle name="40% - Accent5 2 3 2 6" xfId="7676"/>
    <cellStyle name="40% - Accent5 2 3 2 7" xfId="7677"/>
    <cellStyle name="40% - Accent5 2 3 2 8" xfId="16351"/>
    <cellStyle name="40% - Accent5 2 3 2 8 2" xfId="26067"/>
    <cellStyle name="40% - Accent5 2 3 2 8 2 2" xfId="45821"/>
    <cellStyle name="40% - Accent5 2 3 2 8 3" xfId="36177"/>
    <cellStyle name="40% - Accent5 2 3 2 9" xfId="21257"/>
    <cellStyle name="40% - Accent5 2 3 2 9 2" xfId="41012"/>
    <cellStyle name="40% - Accent5 2 3 3" xfId="7678"/>
    <cellStyle name="40% - Accent5 2 3 3 2" xfId="7679"/>
    <cellStyle name="40% - Accent5 2 3 3 2 2" xfId="7680"/>
    <cellStyle name="40% - Accent5 2 3 3 2 2 2" xfId="7681"/>
    <cellStyle name="40% - Accent5 2 3 3 2 3" xfId="7682"/>
    <cellStyle name="40% - Accent5 2 3 3 3" xfId="7683"/>
    <cellStyle name="40% - Accent5 2 3 3 3 2" xfId="7684"/>
    <cellStyle name="40% - Accent5 2 3 3 4" xfId="7685"/>
    <cellStyle name="40% - Accent5 2 3 4" xfId="7686"/>
    <cellStyle name="40% - Accent5 2 3 4 2" xfId="7687"/>
    <cellStyle name="40% - Accent5 2 3 4 2 2" xfId="7688"/>
    <cellStyle name="40% - Accent5 2 3 4 2 2 2" xfId="7689"/>
    <cellStyle name="40% - Accent5 2 3 4 2 3" xfId="7690"/>
    <cellStyle name="40% - Accent5 2 3 4 3" xfId="7691"/>
    <cellStyle name="40% - Accent5 2 3 4 3 2" xfId="7692"/>
    <cellStyle name="40% - Accent5 2 3 4 4" xfId="7693"/>
    <cellStyle name="40% - Accent5 2 3 5" xfId="7694"/>
    <cellStyle name="40% - Accent5 2 3 5 2" xfId="7695"/>
    <cellStyle name="40% - Accent5 2 3 5 2 2" xfId="7696"/>
    <cellStyle name="40% - Accent5 2 3 5 3" xfId="7697"/>
    <cellStyle name="40% - Accent5 2 3 6" xfId="7698"/>
    <cellStyle name="40% - Accent5 2 3 6 2" xfId="7699"/>
    <cellStyle name="40% - Accent5 2 3 7" xfId="7700"/>
    <cellStyle name="40% - Accent5 2 3 7 2" xfId="7701"/>
    <cellStyle name="40% - Accent5 2 3 8" xfId="7702"/>
    <cellStyle name="40% - Accent5 2 3 9" xfId="7703"/>
    <cellStyle name="40% - Accent5 2 4" xfId="7704"/>
    <cellStyle name="40% - Accent5 2 4 2" xfId="7705"/>
    <cellStyle name="40% - Accent5 2 4 2 2" xfId="7706"/>
    <cellStyle name="40% - Accent5 2 4 2 2 2" xfId="7707"/>
    <cellStyle name="40% - Accent5 2 4 2 2 2 2" xfId="7708"/>
    <cellStyle name="40% - Accent5 2 4 2 2 3" xfId="7709"/>
    <cellStyle name="40% - Accent5 2 4 2 3" xfId="7710"/>
    <cellStyle name="40% - Accent5 2 4 2 3 2" xfId="7711"/>
    <cellStyle name="40% - Accent5 2 4 2 4" xfId="7712"/>
    <cellStyle name="40% - Accent5 2 4 3" xfId="7713"/>
    <cellStyle name="40% - Accent5 2 4 3 2" xfId="7714"/>
    <cellStyle name="40% - Accent5 2 4 3 2 2" xfId="7715"/>
    <cellStyle name="40% - Accent5 2 4 3 3" xfId="7716"/>
    <cellStyle name="40% - Accent5 2 4 4" xfId="7717"/>
    <cellStyle name="40% - Accent5 2 4 4 2" xfId="7718"/>
    <cellStyle name="40% - Accent5 2 4 5" xfId="7719"/>
    <cellStyle name="40% - Accent5 2 4 6" xfId="7720"/>
    <cellStyle name="40% - Accent5 2 4 7" xfId="7721"/>
    <cellStyle name="40% - Accent5 2 5" xfId="7722"/>
    <cellStyle name="40% - Accent5 2 5 2" xfId="7723"/>
    <cellStyle name="40% - Accent5 2 5 2 2" xfId="7724"/>
    <cellStyle name="40% - Accent5 2 5 2 2 2" xfId="7725"/>
    <cellStyle name="40% - Accent5 2 5 2 3" xfId="7726"/>
    <cellStyle name="40% - Accent5 2 5 3" xfId="7727"/>
    <cellStyle name="40% - Accent5 2 5 3 2" xfId="7728"/>
    <cellStyle name="40% - Accent5 2 5 4" xfId="7729"/>
    <cellStyle name="40% - Accent5 2 6" xfId="7730"/>
    <cellStyle name="40% - Accent5 2 6 2" xfId="7731"/>
    <cellStyle name="40% - Accent5 2 6 2 2" xfId="7732"/>
    <cellStyle name="40% - Accent5 2 6 2 2 2" xfId="7733"/>
    <cellStyle name="40% - Accent5 2 6 2 3" xfId="7734"/>
    <cellStyle name="40% - Accent5 2 6 3" xfId="7735"/>
    <cellStyle name="40% - Accent5 2 6 3 2" xfId="7736"/>
    <cellStyle name="40% - Accent5 2 6 4" xfId="7737"/>
    <cellStyle name="40% - Accent5 2 7" xfId="7738"/>
    <cellStyle name="40% - Accent5 2 7 2" xfId="7739"/>
    <cellStyle name="40% - Accent5 2 8" xfId="7740"/>
    <cellStyle name="40% - Accent5 2 8 2" xfId="7741"/>
    <cellStyle name="40% - Accent5 2 8 2 2" xfId="7742"/>
    <cellStyle name="40% - Accent5 2 8 3" xfId="7743"/>
    <cellStyle name="40% - Accent5 2 9" xfId="7744"/>
    <cellStyle name="40% - Accent5 2 9 2" xfId="7745"/>
    <cellStyle name="40% - Accent5 20" xfId="20847"/>
    <cellStyle name="40% - Accent5 20 2" xfId="40627"/>
    <cellStyle name="40% - Accent5 21" xfId="30366"/>
    <cellStyle name="40% - Accent5 21 2" xfId="50115"/>
    <cellStyle name="40% - Accent5 22" xfId="30776"/>
    <cellStyle name="40% - Accent5 22 2" xfId="50515"/>
    <cellStyle name="40% - Accent5 23" xfId="30958"/>
    <cellStyle name="40% - Accent5 24" xfId="30790"/>
    <cellStyle name="40% - Accent5 25" xfId="50531"/>
    <cellStyle name="40% - Accent5 3" xfId="204"/>
    <cellStyle name="40% - Accent5 3 10" xfId="7746"/>
    <cellStyle name="40% - Accent5 3 10 2" xfId="7747"/>
    <cellStyle name="40% - Accent5 3 11" xfId="7748"/>
    <cellStyle name="40% - Accent5 3 12" xfId="7749"/>
    <cellStyle name="40% - Accent5 3 13" xfId="7750"/>
    <cellStyle name="40% - Accent5 3 2" xfId="7751"/>
    <cellStyle name="40% - Accent5 3 2 10" xfId="7752"/>
    <cellStyle name="40% - Accent5 3 2 11" xfId="7753"/>
    <cellStyle name="40% - Accent5 3 2 2" xfId="7754"/>
    <cellStyle name="40% - Accent5 3 2 2 10" xfId="7755"/>
    <cellStyle name="40% - Accent5 3 2 2 2" xfId="7756"/>
    <cellStyle name="40% - Accent5 3 2 2 2 2" xfId="7757"/>
    <cellStyle name="40% - Accent5 3 2 2 2 2 2" xfId="7758"/>
    <cellStyle name="40% - Accent5 3 2 2 2 2 2 2" xfId="7759"/>
    <cellStyle name="40% - Accent5 3 2 2 2 2 2 2 2" xfId="7760"/>
    <cellStyle name="40% - Accent5 3 2 2 2 2 2 3" xfId="7761"/>
    <cellStyle name="40% - Accent5 3 2 2 2 2 3" xfId="7762"/>
    <cellStyle name="40% - Accent5 3 2 2 2 2 3 2" xfId="7763"/>
    <cellStyle name="40% - Accent5 3 2 2 2 2 4" xfId="7764"/>
    <cellStyle name="40% - Accent5 3 2 2 2 3" xfId="7765"/>
    <cellStyle name="40% - Accent5 3 2 2 2 3 2" xfId="7766"/>
    <cellStyle name="40% - Accent5 3 2 2 2 3 2 2" xfId="7767"/>
    <cellStyle name="40% - Accent5 3 2 2 2 3 3" xfId="7768"/>
    <cellStyle name="40% - Accent5 3 2 2 2 4" xfId="7769"/>
    <cellStyle name="40% - Accent5 3 2 2 2 4 2" xfId="7770"/>
    <cellStyle name="40% - Accent5 3 2 2 2 5" xfId="7771"/>
    <cellStyle name="40% - Accent5 3 2 2 2 6" xfId="7772"/>
    <cellStyle name="40% - Accent5 3 2 2 2 7" xfId="7773"/>
    <cellStyle name="40% - Accent5 3 2 2 3" xfId="7774"/>
    <cellStyle name="40% - Accent5 3 2 2 3 2" xfId="7775"/>
    <cellStyle name="40% - Accent5 3 2 2 3 2 2" xfId="7776"/>
    <cellStyle name="40% - Accent5 3 2 2 3 2 2 2" xfId="7777"/>
    <cellStyle name="40% - Accent5 3 2 2 3 2 3" xfId="7778"/>
    <cellStyle name="40% - Accent5 3 2 2 3 3" xfId="7779"/>
    <cellStyle name="40% - Accent5 3 2 2 3 3 2" xfId="7780"/>
    <cellStyle name="40% - Accent5 3 2 2 3 4" xfId="7781"/>
    <cellStyle name="40% - Accent5 3 2 2 4" xfId="7782"/>
    <cellStyle name="40% - Accent5 3 2 2 4 2" xfId="7783"/>
    <cellStyle name="40% - Accent5 3 2 2 4 2 2" xfId="7784"/>
    <cellStyle name="40% - Accent5 3 2 2 4 2 2 2" xfId="7785"/>
    <cellStyle name="40% - Accent5 3 2 2 4 2 3" xfId="7786"/>
    <cellStyle name="40% - Accent5 3 2 2 4 3" xfId="7787"/>
    <cellStyle name="40% - Accent5 3 2 2 4 3 2" xfId="7788"/>
    <cellStyle name="40% - Accent5 3 2 2 4 4" xfId="7789"/>
    <cellStyle name="40% - Accent5 3 2 2 5" xfId="7790"/>
    <cellStyle name="40% - Accent5 3 2 2 5 2" xfId="7791"/>
    <cellStyle name="40% - Accent5 3 2 2 5 2 2" xfId="7792"/>
    <cellStyle name="40% - Accent5 3 2 2 5 3" xfId="7793"/>
    <cellStyle name="40% - Accent5 3 2 2 6" xfId="7794"/>
    <cellStyle name="40% - Accent5 3 2 2 6 2" xfId="7795"/>
    <cellStyle name="40% - Accent5 3 2 2 7" xfId="7796"/>
    <cellStyle name="40% - Accent5 3 2 2 7 2" xfId="7797"/>
    <cellStyle name="40% - Accent5 3 2 2 8" xfId="7798"/>
    <cellStyle name="40% - Accent5 3 2 2 9" xfId="7799"/>
    <cellStyle name="40% - Accent5 3 2 3" xfId="7800"/>
    <cellStyle name="40% - Accent5 3 2 3 2" xfId="7801"/>
    <cellStyle name="40% - Accent5 3 2 3 2 2" xfId="7802"/>
    <cellStyle name="40% - Accent5 3 2 3 2 2 2" xfId="7803"/>
    <cellStyle name="40% - Accent5 3 2 3 2 2 2 2" xfId="7804"/>
    <cellStyle name="40% - Accent5 3 2 3 2 2 3" xfId="7805"/>
    <cellStyle name="40% - Accent5 3 2 3 2 3" xfId="7806"/>
    <cellStyle name="40% - Accent5 3 2 3 2 3 2" xfId="7807"/>
    <cellStyle name="40% - Accent5 3 2 3 2 4" xfId="7808"/>
    <cellStyle name="40% - Accent5 3 2 3 3" xfId="7809"/>
    <cellStyle name="40% - Accent5 3 2 3 3 2" xfId="7810"/>
    <cellStyle name="40% - Accent5 3 2 3 3 2 2" xfId="7811"/>
    <cellStyle name="40% - Accent5 3 2 3 3 3" xfId="7812"/>
    <cellStyle name="40% - Accent5 3 2 3 4" xfId="7813"/>
    <cellStyle name="40% - Accent5 3 2 3 4 2" xfId="7814"/>
    <cellStyle name="40% - Accent5 3 2 3 5" xfId="7815"/>
    <cellStyle name="40% - Accent5 3 2 3 6" xfId="7816"/>
    <cellStyle name="40% - Accent5 3 2 3 7" xfId="7817"/>
    <cellStyle name="40% - Accent5 3 2 4" xfId="7818"/>
    <cellStyle name="40% - Accent5 3 2 4 2" xfId="7819"/>
    <cellStyle name="40% - Accent5 3 2 4 2 2" xfId="7820"/>
    <cellStyle name="40% - Accent5 3 2 4 2 2 2" xfId="7821"/>
    <cellStyle name="40% - Accent5 3 2 4 2 3" xfId="7822"/>
    <cellStyle name="40% - Accent5 3 2 4 3" xfId="7823"/>
    <cellStyle name="40% - Accent5 3 2 4 3 2" xfId="7824"/>
    <cellStyle name="40% - Accent5 3 2 4 4" xfId="7825"/>
    <cellStyle name="40% - Accent5 3 2 5" xfId="7826"/>
    <cellStyle name="40% - Accent5 3 2 5 2" xfId="7827"/>
    <cellStyle name="40% - Accent5 3 2 5 2 2" xfId="7828"/>
    <cellStyle name="40% - Accent5 3 2 5 2 2 2" xfId="7829"/>
    <cellStyle name="40% - Accent5 3 2 5 2 3" xfId="7830"/>
    <cellStyle name="40% - Accent5 3 2 5 3" xfId="7831"/>
    <cellStyle name="40% - Accent5 3 2 5 3 2" xfId="7832"/>
    <cellStyle name="40% - Accent5 3 2 5 4" xfId="7833"/>
    <cellStyle name="40% - Accent5 3 2 6" xfId="7834"/>
    <cellStyle name="40% - Accent5 3 2 6 2" xfId="7835"/>
    <cellStyle name="40% - Accent5 3 2 6 2 2" xfId="7836"/>
    <cellStyle name="40% - Accent5 3 2 6 3" xfId="7837"/>
    <cellStyle name="40% - Accent5 3 2 7" xfId="7838"/>
    <cellStyle name="40% - Accent5 3 2 7 2" xfId="7839"/>
    <cellStyle name="40% - Accent5 3 2 8" xfId="7840"/>
    <cellStyle name="40% - Accent5 3 2 8 2" xfId="7841"/>
    <cellStyle name="40% - Accent5 3 2 9" xfId="7842"/>
    <cellStyle name="40% - Accent5 3 3" xfId="7843"/>
    <cellStyle name="40% - Accent5 3 3 10" xfId="7844"/>
    <cellStyle name="40% - Accent5 3 3 2" xfId="7845"/>
    <cellStyle name="40% - Accent5 3 3 2 2" xfId="7846"/>
    <cellStyle name="40% - Accent5 3 3 2 2 2" xfId="7847"/>
    <cellStyle name="40% - Accent5 3 3 2 2 2 2" xfId="7848"/>
    <cellStyle name="40% - Accent5 3 3 2 2 2 2 2" xfId="7849"/>
    <cellStyle name="40% - Accent5 3 3 2 2 2 3" xfId="7850"/>
    <cellStyle name="40% - Accent5 3 3 2 2 3" xfId="7851"/>
    <cellStyle name="40% - Accent5 3 3 2 2 3 2" xfId="7852"/>
    <cellStyle name="40% - Accent5 3 3 2 2 4" xfId="7853"/>
    <cellStyle name="40% - Accent5 3 3 2 3" xfId="7854"/>
    <cellStyle name="40% - Accent5 3 3 2 3 2" xfId="7855"/>
    <cellStyle name="40% - Accent5 3 3 2 3 2 2" xfId="7856"/>
    <cellStyle name="40% - Accent5 3 3 2 3 3" xfId="7857"/>
    <cellStyle name="40% - Accent5 3 3 2 4" xfId="7858"/>
    <cellStyle name="40% - Accent5 3 3 2 4 2" xfId="7859"/>
    <cellStyle name="40% - Accent5 3 3 2 5" xfId="7860"/>
    <cellStyle name="40% - Accent5 3 3 2 6" xfId="7861"/>
    <cellStyle name="40% - Accent5 3 3 2 7" xfId="7862"/>
    <cellStyle name="40% - Accent5 3 3 3" xfId="7863"/>
    <cellStyle name="40% - Accent5 3 3 3 2" xfId="7864"/>
    <cellStyle name="40% - Accent5 3 3 3 2 2" xfId="7865"/>
    <cellStyle name="40% - Accent5 3 3 3 2 2 2" xfId="7866"/>
    <cellStyle name="40% - Accent5 3 3 3 2 3" xfId="7867"/>
    <cellStyle name="40% - Accent5 3 3 3 3" xfId="7868"/>
    <cellStyle name="40% - Accent5 3 3 3 3 2" xfId="7869"/>
    <cellStyle name="40% - Accent5 3 3 3 4" xfId="7870"/>
    <cellStyle name="40% - Accent5 3 3 4" xfId="7871"/>
    <cellStyle name="40% - Accent5 3 3 4 2" xfId="7872"/>
    <cellStyle name="40% - Accent5 3 3 4 2 2" xfId="7873"/>
    <cellStyle name="40% - Accent5 3 3 4 2 2 2" xfId="7874"/>
    <cellStyle name="40% - Accent5 3 3 4 2 3" xfId="7875"/>
    <cellStyle name="40% - Accent5 3 3 4 3" xfId="7876"/>
    <cellStyle name="40% - Accent5 3 3 4 3 2" xfId="7877"/>
    <cellStyle name="40% - Accent5 3 3 4 4" xfId="7878"/>
    <cellStyle name="40% - Accent5 3 3 5" xfId="7879"/>
    <cellStyle name="40% - Accent5 3 3 5 2" xfId="7880"/>
    <cellStyle name="40% - Accent5 3 3 5 2 2" xfId="7881"/>
    <cellStyle name="40% - Accent5 3 3 5 3" xfId="7882"/>
    <cellStyle name="40% - Accent5 3 3 6" xfId="7883"/>
    <cellStyle name="40% - Accent5 3 3 6 2" xfId="7884"/>
    <cellStyle name="40% - Accent5 3 3 7" xfId="7885"/>
    <cellStyle name="40% - Accent5 3 3 7 2" xfId="7886"/>
    <cellStyle name="40% - Accent5 3 3 8" xfId="7887"/>
    <cellStyle name="40% - Accent5 3 3 9" xfId="7888"/>
    <cellStyle name="40% - Accent5 3 4" xfId="7889"/>
    <cellStyle name="40% - Accent5 3 4 2" xfId="7890"/>
    <cellStyle name="40% - Accent5 3 4 2 2" xfId="7891"/>
    <cellStyle name="40% - Accent5 3 4 2 2 2" xfId="7892"/>
    <cellStyle name="40% - Accent5 3 4 2 2 2 2" xfId="7893"/>
    <cellStyle name="40% - Accent5 3 4 2 2 3" xfId="7894"/>
    <cellStyle name="40% - Accent5 3 4 2 3" xfId="7895"/>
    <cellStyle name="40% - Accent5 3 4 2 3 2" xfId="7896"/>
    <cellStyle name="40% - Accent5 3 4 2 4" xfId="7897"/>
    <cellStyle name="40% - Accent5 3 4 3" xfId="7898"/>
    <cellStyle name="40% - Accent5 3 4 3 2" xfId="7899"/>
    <cellStyle name="40% - Accent5 3 4 3 2 2" xfId="7900"/>
    <cellStyle name="40% - Accent5 3 4 3 3" xfId="7901"/>
    <cellStyle name="40% - Accent5 3 4 4" xfId="7902"/>
    <cellStyle name="40% - Accent5 3 4 4 2" xfId="7903"/>
    <cellStyle name="40% - Accent5 3 4 5" xfId="7904"/>
    <cellStyle name="40% - Accent5 3 4 6" xfId="7905"/>
    <cellStyle name="40% - Accent5 3 4 7" xfId="7906"/>
    <cellStyle name="40% - Accent5 3 5" xfId="7907"/>
    <cellStyle name="40% - Accent5 3 5 2" xfId="7908"/>
    <cellStyle name="40% - Accent5 3 5 2 2" xfId="7909"/>
    <cellStyle name="40% - Accent5 3 5 2 2 2" xfId="7910"/>
    <cellStyle name="40% - Accent5 3 5 2 3" xfId="7911"/>
    <cellStyle name="40% - Accent5 3 5 3" xfId="7912"/>
    <cellStyle name="40% - Accent5 3 5 3 2" xfId="7913"/>
    <cellStyle name="40% - Accent5 3 5 4" xfId="7914"/>
    <cellStyle name="40% - Accent5 3 6" xfId="7915"/>
    <cellStyle name="40% - Accent5 3 6 2" xfId="7916"/>
    <cellStyle name="40% - Accent5 3 6 2 2" xfId="7917"/>
    <cellStyle name="40% - Accent5 3 6 2 2 2" xfId="7918"/>
    <cellStyle name="40% - Accent5 3 6 2 3" xfId="7919"/>
    <cellStyle name="40% - Accent5 3 6 3" xfId="7920"/>
    <cellStyle name="40% - Accent5 3 6 3 2" xfId="7921"/>
    <cellStyle name="40% - Accent5 3 6 4" xfId="7922"/>
    <cellStyle name="40% - Accent5 3 7" xfId="7923"/>
    <cellStyle name="40% - Accent5 3 7 2" xfId="7924"/>
    <cellStyle name="40% - Accent5 3 8" xfId="7925"/>
    <cellStyle name="40% - Accent5 3 8 2" xfId="7926"/>
    <cellStyle name="40% - Accent5 3 8 2 2" xfId="7927"/>
    <cellStyle name="40% - Accent5 3 8 3" xfId="7928"/>
    <cellStyle name="40% - Accent5 3 9" xfId="7929"/>
    <cellStyle name="40% - Accent5 3 9 2" xfId="7930"/>
    <cellStyle name="40% - Accent5 4" xfId="205"/>
    <cellStyle name="40% - Accent5 4 10" xfId="7931"/>
    <cellStyle name="40% - Accent5 4 11" xfId="7932"/>
    <cellStyle name="40% - Accent5 4 12" xfId="7933"/>
    <cellStyle name="40% - Accent5 4 13" xfId="15627"/>
    <cellStyle name="40% - Accent5 4 13 2" xfId="20499"/>
    <cellStyle name="40% - Accent5 4 13 2 2" xfId="30213"/>
    <cellStyle name="40% - Accent5 4 13 2 2 2" xfId="49966"/>
    <cellStyle name="40% - Accent5 4 13 2 3" xfId="40322"/>
    <cellStyle name="40% - Accent5 4 13 3" xfId="25401"/>
    <cellStyle name="40% - Accent5 4 13 3 2" xfId="45155"/>
    <cellStyle name="40% - Accent5 4 13 4" xfId="35511"/>
    <cellStyle name="40% - Accent5 4 14" xfId="15971"/>
    <cellStyle name="40% - Accent5 4 14 2" xfId="25687"/>
    <cellStyle name="40% - Accent5 4 14 2 2" xfId="45441"/>
    <cellStyle name="40% - Accent5 4 14 3" xfId="35797"/>
    <cellStyle name="40% - Accent5 4 15" xfId="20851"/>
    <cellStyle name="40% - Accent5 4 15 2" xfId="40631"/>
    <cellStyle name="40% - Accent5 4 16" xfId="30635"/>
    <cellStyle name="40% - Accent5 4 16 2" xfId="50383"/>
    <cellStyle name="40% - Accent5 4 17" xfId="30962"/>
    <cellStyle name="40% - Accent5 4 2" xfId="206"/>
    <cellStyle name="40% - Accent5 4 2 10" xfId="7934"/>
    <cellStyle name="40% - Accent5 4 2 11" xfId="7935"/>
    <cellStyle name="40% - Accent5 4 2 12" xfId="15628"/>
    <cellStyle name="40% - Accent5 4 2 12 2" xfId="20500"/>
    <cellStyle name="40% - Accent5 4 2 12 2 2" xfId="30214"/>
    <cellStyle name="40% - Accent5 4 2 12 2 2 2" xfId="49967"/>
    <cellStyle name="40% - Accent5 4 2 12 2 3" xfId="40323"/>
    <cellStyle name="40% - Accent5 4 2 12 3" xfId="25402"/>
    <cellStyle name="40% - Accent5 4 2 12 3 2" xfId="45156"/>
    <cellStyle name="40% - Accent5 4 2 12 4" xfId="35512"/>
    <cellStyle name="40% - Accent5 4 2 13" xfId="15972"/>
    <cellStyle name="40% - Accent5 4 2 13 2" xfId="25688"/>
    <cellStyle name="40% - Accent5 4 2 13 2 2" xfId="45442"/>
    <cellStyle name="40% - Accent5 4 2 13 3" xfId="35798"/>
    <cellStyle name="40% - Accent5 4 2 14" xfId="20852"/>
    <cellStyle name="40% - Accent5 4 2 14 2" xfId="40632"/>
    <cellStyle name="40% - Accent5 4 2 15" xfId="30636"/>
    <cellStyle name="40% - Accent5 4 2 15 2" xfId="50384"/>
    <cellStyle name="40% - Accent5 4 2 16" xfId="30963"/>
    <cellStyle name="40% - Accent5 4 2 2" xfId="207"/>
    <cellStyle name="40% - Accent5 4 2 2 10" xfId="15629"/>
    <cellStyle name="40% - Accent5 4 2 2 10 2" xfId="20501"/>
    <cellStyle name="40% - Accent5 4 2 2 10 2 2" xfId="30215"/>
    <cellStyle name="40% - Accent5 4 2 2 10 2 2 2" xfId="49968"/>
    <cellStyle name="40% - Accent5 4 2 2 10 2 3" xfId="40324"/>
    <cellStyle name="40% - Accent5 4 2 2 10 3" xfId="25403"/>
    <cellStyle name="40% - Accent5 4 2 2 10 3 2" xfId="45157"/>
    <cellStyle name="40% - Accent5 4 2 2 10 4" xfId="35513"/>
    <cellStyle name="40% - Accent5 4 2 2 11" xfId="15973"/>
    <cellStyle name="40% - Accent5 4 2 2 11 2" xfId="25689"/>
    <cellStyle name="40% - Accent5 4 2 2 11 2 2" xfId="45443"/>
    <cellStyle name="40% - Accent5 4 2 2 11 3" xfId="35799"/>
    <cellStyle name="40% - Accent5 4 2 2 12" xfId="20853"/>
    <cellStyle name="40% - Accent5 4 2 2 12 2" xfId="40633"/>
    <cellStyle name="40% - Accent5 4 2 2 13" xfId="30637"/>
    <cellStyle name="40% - Accent5 4 2 2 13 2" xfId="50385"/>
    <cellStyle name="40% - Accent5 4 2 2 14" xfId="30964"/>
    <cellStyle name="40% - Accent5 4 2 2 2" xfId="1006"/>
    <cellStyle name="40% - Accent5 4 2 2 2 2" xfId="7936"/>
    <cellStyle name="40% - Accent5 4 2 2 2 2 2" xfId="7937"/>
    <cellStyle name="40% - Accent5 4 2 2 2 2 2 2" xfId="7938"/>
    <cellStyle name="40% - Accent5 4 2 2 2 2 3" xfId="7939"/>
    <cellStyle name="40% - Accent5 4 2 2 2 3" xfId="7940"/>
    <cellStyle name="40% - Accent5 4 2 2 2 3 2" xfId="7941"/>
    <cellStyle name="40% - Accent5 4 2 2 2 4" xfId="7942"/>
    <cellStyle name="40% - Accent5 4 2 2 2 5" xfId="15630"/>
    <cellStyle name="40% - Accent5 4 2 2 2 5 2" xfId="20502"/>
    <cellStyle name="40% - Accent5 4 2 2 2 5 2 2" xfId="30216"/>
    <cellStyle name="40% - Accent5 4 2 2 2 5 2 2 2" xfId="49969"/>
    <cellStyle name="40% - Accent5 4 2 2 2 5 2 3" xfId="40325"/>
    <cellStyle name="40% - Accent5 4 2 2 2 5 3" xfId="25404"/>
    <cellStyle name="40% - Accent5 4 2 2 2 5 3 2" xfId="45158"/>
    <cellStyle name="40% - Accent5 4 2 2 2 5 4" xfId="35514"/>
    <cellStyle name="40% - Accent5 4 2 2 2 6" xfId="16352"/>
    <cellStyle name="40% - Accent5 4 2 2 2 6 2" xfId="26068"/>
    <cellStyle name="40% - Accent5 4 2 2 2 6 2 2" xfId="45822"/>
    <cellStyle name="40% - Accent5 4 2 2 2 6 3" xfId="36178"/>
    <cellStyle name="40% - Accent5 4 2 2 2 7" xfId="21258"/>
    <cellStyle name="40% - Accent5 4 2 2 2 7 2" xfId="41013"/>
    <cellStyle name="40% - Accent5 4 2 2 2 8" xfId="30638"/>
    <cellStyle name="40% - Accent5 4 2 2 2 8 2" xfId="50386"/>
    <cellStyle name="40% - Accent5 4 2 2 2 9" xfId="31369"/>
    <cellStyle name="40% - Accent5 4 2 2 3" xfId="1007"/>
    <cellStyle name="40% - Accent5 4 2 2 3 2" xfId="7943"/>
    <cellStyle name="40% - Accent5 4 2 2 3 2 2" xfId="7944"/>
    <cellStyle name="40% - Accent5 4 2 2 3 2 2 2" xfId="7945"/>
    <cellStyle name="40% - Accent5 4 2 2 3 2 3" xfId="7946"/>
    <cellStyle name="40% - Accent5 4 2 2 3 3" xfId="7947"/>
    <cellStyle name="40% - Accent5 4 2 2 3 3 2" xfId="7948"/>
    <cellStyle name="40% - Accent5 4 2 2 3 4" xfId="7949"/>
    <cellStyle name="40% - Accent5 4 2 2 3 5" xfId="16353"/>
    <cellStyle name="40% - Accent5 4 2 2 3 5 2" xfId="26069"/>
    <cellStyle name="40% - Accent5 4 2 2 3 5 2 2" xfId="45823"/>
    <cellStyle name="40% - Accent5 4 2 2 3 5 3" xfId="36179"/>
    <cellStyle name="40% - Accent5 4 2 2 3 6" xfId="21259"/>
    <cellStyle name="40% - Accent5 4 2 2 3 6 2" xfId="41014"/>
    <cellStyle name="40% - Accent5 4 2 2 3 7" xfId="31370"/>
    <cellStyle name="40% - Accent5 4 2 2 4" xfId="7950"/>
    <cellStyle name="40% - Accent5 4 2 2 4 2" xfId="7951"/>
    <cellStyle name="40% - Accent5 4 2 2 4 2 2" xfId="7952"/>
    <cellStyle name="40% - Accent5 4 2 2 4 2 2 2" xfId="7953"/>
    <cellStyle name="40% - Accent5 4 2 2 4 2 3" xfId="7954"/>
    <cellStyle name="40% - Accent5 4 2 2 4 3" xfId="7955"/>
    <cellStyle name="40% - Accent5 4 2 2 4 3 2" xfId="7956"/>
    <cellStyle name="40% - Accent5 4 2 2 4 4" xfId="7957"/>
    <cellStyle name="40% - Accent5 4 2 2 5" xfId="7958"/>
    <cellStyle name="40% - Accent5 4 2 2 5 2" xfId="7959"/>
    <cellStyle name="40% - Accent5 4 2 2 5 2 2" xfId="7960"/>
    <cellStyle name="40% - Accent5 4 2 2 5 3" xfId="7961"/>
    <cellStyle name="40% - Accent5 4 2 2 6" xfId="7962"/>
    <cellStyle name="40% - Accent5 4 2 2 6 2" xfId="7963"/>
    <cellStyle name="40% - Accent5 4 2 2 7" xfId="7964"/>
    <cellStyle name="40% - Accent5 4 2 2 8" xfId="7965"/>
    <cellStyle name="40% - Accent5 4 2 2 9" xfId="7966"/>
    <cellStyle name="40% - Accent5 4 2 3" xfId="1008"/>
    <cellStyle name="40% - Accent5 4 2 3 2" xfId="7967"/>
    <cellStyle name="40% - Accent5 4 2 3 2 2" xfId="7968"/>
    <cellStyle name="40% - Accent5 4 2 3 2 2 2" xfId="7969"/>
    <cellStyle name="40% - Accent5 4 2 3 2 3" xfId="7970"/>
    <cellStyle name="40% - Accent5 4 2 3 3" xfId="7971"/>
    <cellStyle name="40% - Accent5 4 2 3 3 2" xfId="7972"/>
    <cellStyle name="40% - Accent5 4 2 3 4" xfId="7973"/>
    <cellStyle name="40% - Accent5 4 2 3 5" xfId="15631"/>
    <cellStyle name="40% - Accent5 4 2 3 5 2" xfId="20503"/>
    <cellStyle name="40% - Accent5 4 2 3 5 2 2" xfId="30217"/>
    <cellStyle name="40% - Accent5 4 2 3 5 2 2 2" xfId="49970"/>
    <cellStyle name="40% - Accent5 4 2 3 5 2 3" xfId="40326"/>
    <cellStyle name="40% - Accent5 4 2 3 5 3" xfId="25405"/>
    <cellStyle name="40% - Accent5 4 2 3 5 3 2" xfId="45159"/>
    <cellStyle name="40% - Accent5 4 2 3 5 4" xfId="35515"/>
    <cellStyle name="40% - Accent5 4 2 3 6" xfId="16354"/>
    <cellStyle name="40% - Accent5 4 2 3 6 2" xfId="26070"/>
    <cellStyle name="40% - Accent5 4 2 3 6 2 2" xfId="45824"/>
    <cellStyle name="40% - Accent5 4 2 3 6 3" xfId="36180"/>
    <cellStyle name="40% - Accent5 4 2 3 7" xfId="21260"/>
    <cellStyle name="40% - Accent5 4 2 3 7 2" xfId="41015"/>
    <cellStyle name="40% - Accent5 4 2 3 8" xfId="30639"/>
    <cellStyle name="40% - Accent5 4 2 3 8 2" xfId="50387"/>
    <cellStyle name="40% - Accent5 4 2 3 9" xfId="31371"/>
    <cellStyle name="40% - Accent5 4 2 4" xfId="1009"/>
    <cellStyle name="40% - Accent5 4 2 4 2" xfId="7974"/>
    <cellStyle name="40% - Accent5 4 2 4 2 2" xfId="7975"/>
    <cellStyle name="40% - Accent5 4 2 4 2 2 2" xfId="7976"/>
    <cellStyle name="40% - Accent5 4 2 4 2 3" xfId="7977"/>
    <cellStyle name="40% - Accent5 4 2 4 3" xfId="7978"/>
    <cellStyle name="40% - Accent5 4 2 4 3 2" xfId="7979"/>
    <cellStyle name="40% - Accent5 4 2 4 4" xfId="7980"/>
    <cellStyle name="40% - Accent5 4 2 4 5" xfId="16355"/>
    <cellStyle name="40% - Accent5 4 2 4 5 2" xfId="26071"/>
    <cellStyle name="40% - Accent5 4 2 4 5 2 2" xfId="45825"/>
    <cellStyle name="40% - Accent5 4 2 4 5 3" xfId="36181"/>
    <cellStyle name="40% - Accent5 4 2 4 6" xfId="21261"/>
    <cellStyle name="40% - Accent5 4 2 4 6 2" xfId="41016"/>
    <cellStyle name="40% - Accent5 4 2 4 7" xfId="31372"/>
    <cellStyle name="40% - Accent5 4 2 5" xfId="7981"/>
    <cellStyle name="40% - Accent5 4 2 5 2" xfId="7982"/>
    <cellStyle name="40% - Accent5 4 2 5 2 2" xfId="7983"/>
    <cellStyle name="40% - Accent5 4 2 5 2 2 2" xfId="7984"/>
    <cellStyle name="40% - Accent5 4 2 5 2 3" xfId="7985"/>
    <cellStyle name="40% - Accent5 4 2 5 3" xfId="7986"/>
    <cellStyle name="40% - Accent5 4 2 5 3 2" xfId="7987"/>
    <cellStyle name="40% - Accent5 4 2 5 4" xfId="7988"/>
    <cellStyle name="40% - Accent5 4 2 6" xfId="7989"/>
    <cellStyle name="40% - Accent5 4 2 6 2" xfId="7990"/>
    <cellStyle name="40% - Accent5 4 2 6 2 2" xfId="7991"/>
    <cellStyle name="40% - Accent5 4 2 6 3" xfId="7992"/>
    <cellStyle name="40% - Accent5 4 2 7" xfId="7993"/>
    <cellStyle name="40% - Accent5 4 2 7 2" xfId="7994"/>
    <cellStyle name="40% - Accent5 4 2 8" xfId="7995"/>
    <cellStyle name="40% - Accent5 4 2 8 2" xfId="7996"/>
    <cellStyle name="40% - Accent5 4 2 9" xfId="7997"/>
    <cellStyle name="40% - Accent5 4 3" xfId="208"/>
    <cellStyle name="40% - Accent5 4 3 10" xfId="15632"/>
    <cellStyle name="40% - Accent5 4 3 10 2" xfId="20504"/>
    <cellStyle name="40% - Accent5 4 3 10 2 2" xfId="30218"/>
    <cellStyle name="40% - Accent5 4 3 10 2 2 2" xfId="49971"/>
    <cellStyle name="40% - Accent5 4 3 10 2 3" xfId="40327"/>
    <cellStyle name="40% - Accent5 4 3 10 3" xfId="25406"/>
    <cellStyle name="40% - Accent5 4 3 10 3 2" xfId="45160"/>
    <cellStyle name="40% - Accent5 4 3 10 4" xfId="35516"/>
    <cellStyle name="40% - Accent5 4 3 11" xfId="15974"/>
    <cellStyle name="40% - Accent5 4 3 11 2" xfId="25690"/>
    <cellStyle name="40% - Accent5 4 3 11 2 2" xfId="45444"/>
    <cellStyle name="40% - Accent5 4 3 11 3" xfId="35800"/>
    <cellStyle name="40% - Accent5 4 3 12" xfId="20854"/>
    <cellStyle name="40% - Accent5 4 3 12 2" xfId="40634"/>
    <cellStyle name="40% - Accent5 4 3 13" xfId="30640"/>
    <cellStyle name="40% - Accent5 4 3 13 2" xfId="50388"/>
    <cellStyle name="40% - Accent5 4 3 14" xfId="30965"/>
    <cellStyle name="40% - Accent5 4 3 2" xfId="1010"/>
    <cellStyle name="40% - Accent5 4 3 2 2" xfId="7998"/>
    <cellStyle name="40% - Accent5 4 3 2 2 2" xfId="7999"/>
    <cellStyle name="40% - Accent5 4 3 2 2 2 2" xfId="8000"/>
    <cellStyle name="40% - Accent5 4 3 2 2 3" xfId="8001"/>
    <cellStyle name="40% - Accent5 4 3 2 3" xfId="8002"/>
    <cellStyle name="40% - Accent5 4 3 2 3 2" xfId="8003"/>
    <cellStyle name="40% - Accent5 4 3 2 4" xfId="8004"/>
    <cellStyle name="40% - Accent5 4 3 2 5" xfId="15633"/>
    <cellStyle name="40% - Accent5 4 3 2 5 2" xfId="20505"/>
    <cellStyle name="40% - Accent5 4 3 2 5 2 2" xfId="30219"/>
    <cellStyle name="40% - Accent5 4 3 2 5 2 2 2" xfId="49972"/>
    <cellStyle name="40% - Accent5 4 3 2 5 2 3" xfId="40328"/>
    <cellStyle name="40% - Accent5 4 3 2 5 3" xfId="25407"/>
    <cellStyle name="40% - Accent5 4 3 2 5 3 2" xfId="45161"/>
    <cellStyle name="40% - Accent5 4 3 2 5 4" xfId="35517"/>
    <cellStyle name="40% - Accent5 4 3 2 6" xfId="16356"/>
    <cellStyle name="40% - Accent5 4 3 2 6 2" xfId="26072"/>
    <cellStyle name="40% - Accent5 4 3 2 6 2 2" xfId="45826"/>
    <cellStyle name="40% - Accent5 4 3 2 6 3" xfId="36182"/>
    <cellStyle name="40% - Accent5 4 3 2 7" xfId="21262"/>
    <cellStyle name="40% - Accent5 4 3 2 7 2" xfId="41017"/>
    <cellStyle name="40% - Accent5 4 3 2 8" xfId="30641"/>
    <cellStyle name="40% - Accent5 4 3 2 8 2" xfId="50389"/>
    <cellStyle name="40% - Accent5 4 3 2 9" xfId="31373"/>
    <cellStyle name="40% - Accent5 4 3 3" xfId="1011"/>
    <cellStyle name="40% - Accent5 4 3 3 2" xfId="8005"/>
    <cellStyle name="40% - Accent5 4 3 3 2 2" xfId="8006"/>
    <cellStyle name="40% - Accent5 4 3 3 2 2 2" xfId="8007"/>
    <cellStyle name="40% - Accent5 4 3 3 2 3" xfId="8008"/>
    <cellStyle name="40% - Accent5 4 3 3 3" xfId="8009"/>
    <cellStyle name="40% - Accent5 4 3 3 3 2" xfId="8010"/>
    <cellStyle name="40% - Accent5 4 3 3 4" xfId="8011"/>
    <cellStyle name="40% - Accent5 4 3 3 5" xfId="16357"/>
    <cellStyle name="40% - Accent5 4 3 3 5 2" xfId="26073"/>
    <cellStyle name="40% - Accent5 4 3 3 5 2 2" xfId="45827"/>
    <cellStyle name="40% - Accent5 4 3 3 5 3" xfId="36183"/>
    <cellStyle name="40% - Accent5 4 3 3 6" xfId="21263"/>
    <cellStyle name="40% - Accent5 4 3 3 6 2" xfId="41018"/>
    <cellStyle name="40% - Accent5 4 3 3 7" xfId="31374"/>
    <cellStyle name="40% - Accent5 4 3 4" xfId="8012"/>
    <cellStyle name="40% - Accent5 4 3 4 2" xfId="8013"/>
    <cellStyle name="40% - Accent5 4 3 4 2 2" xfId="8014"/>
    <cellStyle name="40% - Accent5 4 3 4 2 2 2" xfId="8015"/>
    <cellStyle name="40% - Accent5 4 3 4 2 3" xfId="8016"/>
    <cellStyle name="40% - Accent5 4 3 4 3" xfId="8017"/>
    <cellStyle name="40% - Accent5 4 3 4 3 2" xfId="8018"/>
    <cellStyle name="40% - Accent5 4 3 4 4" xfId="8019"/>
    <cellStyle name="40% - Accent5 4 3 5" xfId="8020"/>
    <cellStyle name="40% - Accent5 4 3 5 2" xfId="8021"/>
    <cellStyle name="40% - Accent5 4 3 5 2 2" xfId="8022"/>
    <cellStyle name="40% - Accent5 4 3 5 3" xfId="8023"/>
    <cellStyle name="40% - Accent5 4 3 6" xfId="8024"/>
    <cellStyle name="40% - Accent5 4 3 6 2" xfId="8025"/>
    <cellStyle name="40% - Accent5 4 3 7" xfId="8026"/>
    <cellStyle name="40% - Accent5 4 3 8" xfId="8027"/>
    <cellStyle name="40% - Accent5 4 3 9" xfId="8028"/>
    <cellStyle name="40% - Accent5 4 4" xfId="1012"/>
    <cellStyle name="40% - Accent5 4 4 2" xfId="8029"/>
    <cellStyle name="40% - Accent5 4 4 2 2" xfId="8030"/>
    <cellStyle name="40% - Accent5 4 4 2 2 2" xfId="8031"/>
    <cellStyle name="40% - Accent5 4 4 2 3" xfId="8032"/>
    <cellStyle name="40% - Accent5 4 4 3" xfId="8033"/>
    <cellStyle name="40% - Accent5 4 4 3 2" xfId="8034"/>
    <cellStyle name="40% - Accent5 4 4 4" xfId="8035"/>
    <cellStyle name="40% - Accent5 4 4 5" xfId="15634"/>
    <cellStyle name="40% - Accent5 4 4 5 2" xfId="20506"/>
    <cellStyle name="40% - Accent5 4 4 5 2 2" xfId="30220"/>
    <cellStyle name="40% - Accent5 4 4 5 2 2 2" xfId="49973"/>
    <cellStyle name="40% - Accent5 4 4 5 2 3" xfId="40329"/>
    <cellStyle name="40% - Accent5 4 4 5 3" xfId="25408"/>
    <cellStyle name="40% - Accent5 4 4 5 3 2" xfId="45162"/>
    <cellStyle name="40% - Accent5 4 4 5 4" xfId="35518"/>
    <cellStyle name="40% - Accent5 4 4 6" xfId="16358"/>
    <cellStyle name="40% - Accent5 4 4 6 2" xfId="26074"/>
    <cellStyle name="40% - Accent5 4 4 6 2 2" xfId="45828"/>
    <cellStyle name="40% - Accent5 4 4 6 3" xfId="36184"/>
    <cellStyle name="40% - Accent5 4 4 7" xfId="21264"/>
    <cellStyle name="40% - Accent5 4 4 7 2" xfId="41019"/>
    <cellStyle name="40% - Accent5 4 4 8" xfId="30642"/>
    <cellStyle name="40% - Accent5 4 4 8 2" xfId="50390"/>
    <cellStyle name="40% - Accent5 4 4 9" xfId="31375"/>
    <cellStyle name="40% - Accent5 4 5" xfId="1013"/>
    <cellStyle name="40% - Accent5 4 5 2" xfId="8036"/>
    <cellStyle name="40% - Accent5 4 5 2 2" xfId="8037"/>
    <cellStyle name="40% - Accent5 4 5 2 2 2" xfId="8038"/>
    <cellStyle name="40% - Accent5 4 5 2 3" xfId="8039"/>
    <cellStyle name="40% - Accent5 4 5 3" xfId="8040"/>
    <cellStyle name="40% - Accent5 4 5 3 2" xfId="8041"/>
    <cellStyle name="40% - Accent5 4 5 4" xfId="8042"/>
    <cellStyle name="40% - Accent5 4 5 5" xfId="16359"/>
    <cellStyle name="40% - Accent5 4 5 5 2" xfId="26075"/>
    <cellStyle name="40% - Accent5 4 5 5 2 2" xfId="45829"/>
    <cellStyle name="40% - Accent5 4 5 5 3" xfId="36185"/>
    <cellStyle name="40% - Accent5 4 5 6" xfId="21265"/>
    <cellStyle name="40% - Accent5 4 5 6 2" xfId="41020"/>
    <cellStyle name="40% - Accent5 4 5 7" xfId="31376"/>
    <cellStyle name="40% - Accent5 4 6" xfId="8043"/>
    <cellStyle name="40% - Accent5 4 6 2" xfId="8044"/>
    <cellStyle name="40% - Accent5 4 6 2 2" xfId="8045"/>
    <cellStyle name="40% - Accent5 4 6 2 2 2" xfId="8046"/>
    <cellStyle name="40% - Accent5 4 6 2 3" xfId="8047"/>
    <cellStyle name="40% - Accent5 4 6 3" xfId="8048"/>
    <cellStyle name="40% - Accent5 4 6 3 2" xfId="8049"/>
    <cellStyle name="40% - Accent5 4 6 4" xfId="8050"/>
    <cellStyle name="40% - Accent5 4 7" xfId="8051"/>
    <cellStyle name="40% - Accent5 4 7 2" xfId="8052"/>
    <cellStyle name="40% - Accent5 4 7 2 2" xfId="8053"/>
    <cellStyle name="40% - Accent5 4 7 3" xfId="8054"/>
    <cellStyle name="40% - Accent5 4 8" xfId="8055"/>
    <cellStyle name="40% - Accent5 4 8 2" xfId="8056"/>
    <cellStyle name="40% - Accent5 4 9" xfId="8057"/>
    <cellStyle name="40% - Accent5 4 9 2" xfId="8058"/>
    <cellStyle name="40% - Accent5 5" xfId="209"/>
    <cellStyle name="40% - Accent5 5 10" xfId="8059"/>
    <cellStyle name="40% - Accent5 5 11" xfId="8060"/>
    <cellStyle name="40% - Accent5 5 12" xfId="15635"/>
    <cellStyle name="40% - Accent5 5 12 2" xfId="20507"/>
    <cellStyle name="40% - Accent5 5 12 2 2" xfId="30221"/>
    <cellStyle name="40% - Accent5 5 12 2 2 2" xfId="49974"/>
    <cellStyle name="40% - Accent5 5 12 2 3" xfId="40330"/>
    <cellStyle name="40% - Accent5 5 12 3" xfId="25409"/>
    <cellStyle name="40% - Accent5 5 12 3 2" xfId="45163"/>
    <cellStyle name="40% - Accent5 5 12 4" xfId="35519"/>
    <cellStyle name="40% - Accent5 5 13" xfId="15975"/>
    <cellStyle name="40% - Accent5 5 13 2" xfId="25691"/>
    <cellStyle name="40% - Accent5 5 13 2 2" xfId="45445"/>
    <cellStyle name="40% - Accent5 5 13 3" xfId="35801"/>
    <cellStyle name="40% - Accent5 5 14" xfId="20855"/>
    <cellStyle name="40% - Accent5 5 14 2" xfId="40635"/>
    <cellStyle name="40% - Accent5 5 15" xfId="30643"/>
    <cellStyle name="40% - Accent5 5 15 2" xfId="50391"/>
    <cellStyle name="40% - Accent5 5 16" xfId="30966"/>
    <cellStyle name="40% - Accent5 5 2" xfId="210"/>
    <cellStyle name="40% - Accent5 5 2 10" xfId="15636"/>
    <cellStyle name="40% - Accent5 5 2 10 2" xfId="20508"/>
    <cellStyle name="40% - Accent5 5 2 10 2 2" xfId="30222"/>
    <cellStyle name="40% - Accent5 5 2 10 2 2 2" xfId="49975"/>
    <cellStyle name="40% - Accent5 5 2 10 2 3" xfId="40331"/>
    <cellStyle name="40% - Accent5 5 2 10 3" xfId="25410"/>
    <cellStyle name="40% - Accent5 5 2 10 3 2" xfId="45164"/>
    <cellStyle name="40% - Accent5 5 2 10 4" xfId="35520"/>
    <cellStyle name="40% - Accent5 5 2 11" xfId="15976"/>
    <cellStyle name="40% - Accent5 5 2 11 2" xfId="25692"/>
    <cellStyle name="40% - Accent5 5 2 11 2 2" xfId="45446"/>
    <cellStyle name="40% - Accent5 5 2 11 3" xfId="35802"/>
    <cellStyle name="40% - Accent5 5 2 12" xfId="20856"/>
    <cellStyle name="40% - Accent5 5 2 12 2" xfId="40636"/>
    <cellStyle name="40% - Accent5 5 2 13" xfId="30644"/>
    <cellStyle name="40% - Accent5 5 2 13 2" xfId="50392"/>
    <cellStyle name="40% - Accent5 5 2 14" xfId="30967"/>
    <cellStyle name="40% - Accent5 5 2 2" xfId="1014"/>
    <cellStyle name="40% - Accent5 5 2 2 2" xfId="8061"/>
    <cellStyle name="40% - Accent5 5 2 2 2 2" xfId="8062"/>
    <cellStyle name="40% - Accent5 5 2 2 2 2 2" xfId="8063"/>
    <cellStyle name="40% - Accent5 5 2 2 2 3" xfId="8064"/>
    <cellStyle name="40% - Accent5 5 2 2 3" xfId="8065"/>
    <cellStyle name="40% - Accent5 5 2 2 3 2" xfId="8066"/>
    <cellStyle name="40% - Accent5 5 2 2 4" xfId="8067"/>
    <cellStyle name="40% - Accent5 5 2 2 5" xfId="15637"/>
    <cellStyle name="40% - Accent5 5 2 2 5 2" xfId="20509"/>
    <cellStyle name="40% - Accent5 5 2 2 5 2 2" xfId="30223"/>
    <cellStyle name="40% - Accent5 5 2 2 5 2 2 2" xfId="49976"/>
    <cellStyle name="40% - Accent5 5 2 2 5 2 3" xfId="40332"/>
    <cellStyle name="40% - Accent5 5 2 2 5 3" xfId="25411"/>
    <cellStyle name="40% - Accent5 5 2 2 5 3 2" xfId="45165"/>
    <cellStyle name="40% - Accent5 5 2 2 5 4" xfId="35521"/>
    <cellStyle name="40% - Accent5 5 2 2 6" xfId="16360"/>
    <cellStyle name="40% - Accent5 5 2 2 6 2" xfId="26076"/>
    <cellStyle name="40% - Accent5 5 2 2 6 2 2" xfId="45830"/>
    <cellStyle name="40% - Accent5 5 2 2 6 3" xfId="36186"/>
    <cellStyle name="40% - Accent5 5 2 2 7" xfId="21266"/>
    <cellStyle name="40% - Accent5 5 2 2 7 2" xfId="41021"/>
    <cellStyle name="40% - Accent5 5 2 2 8" xfId="30645"/>
    <cellStyle name="40% - Accent5 5 2 2 8 2" xfId="50393"/>
    <cellStyle name="40% - Accent5 5 2 2 9" xfId="31377"/>
    <cellStyle name="40% - Accent5 5 2 3" xfId="1015"/>
    <cellStyle name="40% - Accent5 5 2 3 2" xfId="8068"/>
    <cellStyle name="40% - Accent5 5 2 3 2 2" xfId="8069"/>
    <cellStyle name="40% - Accent5 5 2 3 2 2 2" xfId="8070"/>
    <cellStyle name="40% - Accent5 5 2 3 2 3" xfId="8071"/>
    <cellStyle name="40% - Accent5 5 2 3 3" xfId="8072"/>
    <cellStyle name="40% - Accent5 5 2 3 3 2" xfId="8073"/>
    <cellStyle name="40% - Accent5 5 2 3 4" xfId="8074"/>
    <cellStyle name="40% - Accent5 5 2 3 5" xfId="16361"/>
    <cellStyle name="40% - Accent5 5 2 3 5 2" xfId="26077"/>
    <cellStyle name="40% - Accent5 5 2 3 5 2 2" xfId="45831"/>
    <cellStyle name="40% - Accent5 5 2 3 5 3" xfId="36187"/>
    <cellStyle name="40% - Accent5 5 2 3 6" xfId="21267"/>
    <cellStyle name="40% - Accent5 5 2 3 6 2" xfId="41022"/>
    <cellStyle name="40% - Accent5 5 2 3 7" xfId="31378"/>
    <cellStyle name="40% - Accent5 5 2 4" xfId="8075"/>
    <cellStyle name="40% - Accent5 5 2 4 2" xfId="8076"/>
    <cellStyle name="40% - Accent5 5 2 4 2 2" xfId="8077"/>
    <cellStyle name="40% - Accent5 5 2 4 2 2 2" xfId="8078"/>
    <cellStyle name="40% - Accent5 5 2 4 2 3" xfId="8079"/>
    <cellStyle name="40% - Accent5 5 2 4 3" xfId="8080"/>
    <cellStyle name="40% - Accent5 5 2 4 3 2" xfId="8081"/>
    <cellStyle name="40% - Accent5 5 2 4 4" xfId="8082"/>
    <cellStyle name="40% - Accent5 5 2 5" xfId="8083"/>
    <cellStyle name="40% - Accent5 5 2 5 2" xfId="8084"/>
    <cellStyle name="40% - Accent5 5 2 5 2 2" xfId="8085"/>
    <cellStyle name="40% - Accent5 5 2 5 3" xfId="8086"/>
    <cellStyle name="40% - Accent5 5 2 6" xfId="8087"/>
    <cellStyle name="40% - Accent5 5 2 6 2" xfId="8088"/>
    <cellStyle name="40% - Accent5 5 2 7" xfId="8089"/>
    <cellStyle name="40% - Accent5 5 2 8" xfId="8090"/>
    <cellStyle name="40% - Accent5 5 2 9" xfId="8091"/>
    <cellStyle name="40% - Accent5 5 3" xfId="1016"/>
    <cellStyle name="40% - Accent5 5 3 2" xfId="8092"/>
    <cellStyle name="40% - Accent5 5 3 2 2" xfId="8093"/>
    <cellStyle name="40% - Accent5 5 3 2 2 2" xfId="8094"/>
    <cellStyle name="40% - Accent5 5 3 2 3" xfId="8095"/>
    <cellStyle name="40% - Accent5 5 3 3" xfId="8096"/>
    <cellStyle name="40% - Accent5 5 3 3 2" xfId="8097"/>
    <cellStyle name="40% - Accent5 5 3 4" xfId="8098"/>
    <cellStyle name="40% - Accent5 5 3 5" xfId="15638"/>
    <cellStyle name="40% - Accent5 5 3 5 2" xfId="20510"/>
    <cellStyle name="40% - Accent5 5 3 5 2 2" xfId="30224"/>
    <cellStyle name="40% - Accent5 5 3 5 2 2 2" xfId="49977"/>
    <cellStyle name="40% - Accent5 5 3 5 2 3" xfId="40333"/>
    <cellStyle name="40% - Accent5 5 3 5 3" xfId="25412"/>
    <cellStyle name="40% - Accent5 5 3 5 3 2" xfId="45166"/>
    <cellStyle name="40% - Accent5 5 3 5 4" xfId="35522"/>
    <cellStyle name="40% - Accent5 5 3 6" xfId="16362"/>
    <cellStyle name="40% - Accent5 5 3 6 2" xfId="26078"/>
    <cellStyle name="40% - Accent5 5 3 6 2 2" xfId="45832"/>
    <cellStyle name="40% - Accent5 5 3 6 3" xfId="36188"/>
    <cellStyle name="40% - Accent5 5 3 7" xfId="21268"/>
    <cellStyle name="40% - Accent5 5 3 7 2" xfId="41023"/>
    <cellStyle name="40% - Accent5 5 3 8" xfId="30646"/>
    <cellStyle name="40% - Accent5 5 3 8 2" xfId="50394"/>
    <cellStyle name="40% - Accent5 5 3 9" xfId="31379"/>
    <cellStyle name="40% - Accent5 5 4" xfId="1017"/>
    <cellStyle name="40% - Accent5 5 4 2" xfId="8099"/>
    <cellStyle name="40% - Accent5 5 4 2 2" xfId="8100"/>
    <cellStyle name="40% - Accent5 5 4 2 2 2" xfId="8101"/>
    <cellStyle name="40% - Accent5 5 4 2 3" xfId="8102"/>
    <cellStyle name="40% - Accent5 5 4 3" xfId="8103"/>
    <cellStyle name="40% - Accent5 5 4 3 2" xfId="8104"/>
    <cellStyle name="40% - Accent5 5 4 4" xfId="8105"/>
    <cellStyle name="40% - Accent5 5 4 5" xfId="16363"/>
    <cellStyle name="40% - Accent5 5 4 5 2" xfId="26079"/>
    <cellStyle name="40% - Accent5 5 4 5 2 2" xfId="45833"/>
    <cellStyle name="40% - Accent5 5 4 5 3" xfId="36189"/>
    <cellStyle name="40% - Accent5 5 4 6" xfId="21269"/>
    <cellStyle name="40% - Accent5 5 4 6 2" xfId="41024"/>
    <cellStyle name="40% - Accent5 5 4 7" xfId="31380"/>
    <cellStyle name="40% - Accent5 5 5" xfId="8106"/>
    <cellStyle name="40% - Accent5 5 5 2" xfId="8107"/>
    <cellStyle name="40% - Accent5 5 5 2 2" xfId="8108"/>
    <cellStyle name="40% - Accent5 5 5 2 2 2" xfId="8109"/>
    <cellStyle name="40% - Accent5 5 5 2 3" xfId="8110"/>
    <cellStyle name="40% - Accent5 5 5 3" xfId="8111"/>
    <cellStyle name="40% - Accent5 5 5 3 2" xfId="8112"/>
    <cellStyle name="40% - Accent5 5 5 4" xfId="8113"/>
    <cellStyle name="40% - Accent5 5 6" xfId="8114"/>
    <cellStyle name="40% - Accent5 5 6 2" xfId="8115"/>
    <cellStyle name="40% - Accent5 5 6 2 2" xfId="8116"/>
    <cellStyle name="40% - Accent5 5 6 3" xfId="8117"/>
    <cellStyle name="40% - Accent5 5 7" xfId="8118"/>
    <cellStyle name="40% - Accent5 5 7 2" xfId="8119"/>
    <cellStyle name="40% - Accent5 5 8" xfId="8120"/>
    <cellStyle name="40% - Accent5 5 8 2" xfId="8121"/>
    <cellStyle name="40% - Accent5 5 9" xfId="8122"/>
    <cellStyle name="40% - Accent5 6" xfId="211"/>
    <cellStyle name="40% - Accent5 6 10" xfId="8123"/>
    <cellStyle name="40% - Accent5 6 11" xfId="8124"/>
    <cellStyle name="40% - Accent5 6 12" xfId="15639"/>
    <cellStyle name="40% - Accent5 6 12 2" xfId="20511"/>
    <cellStyle name="40% - Accent5 6 12 2 2" xfId="30225"/>
    <cellStyle name="40% - Accent5 6 12 2 2 2" xfId="49978"/>
    <cellStyle name="40% - Accent5 6 12 2 3" xfId="40334"/>
    <cellStyle name="40% - Accent5 6 12 3" xfId="25413"/>
    <cellStyle name="40% - Accent5 6 12 3 2" xfId="45167"/>
    <cellStyle name="40% - Accent5 6 12 4" xfId="35523"/>
    <cellStyle name="40% - Accent5 6 13" xfId="15977"/>
    <cellStyle name="40% - Accent5 6 13 2" xfId="25693"/>
    <cellStyle name="40% - Accent5 6 13 2 2" xfId="45447"/>
    <cellStyle name="40% - Accent5 6 13 3" xfId="35803"/>
    <cellStyle name="40% - Accent5 6 14" xfId="20857"/>
    <cellStyle name="40% - Accent5 6 14 2" xfId="40637"/>
    <cellStyle name="40% - Accent5 6 15" xfId="30647"/>
    <cellStyle name="40% - Accent5 6 15 2" xfId="50395"/>
    <cellStyle name="40% - Accent5 6 16" xfId="30968"/>
    <cellStyle name="40% - Accent5 6 2" xfId="212"/>
    <cellStyle name="40% - Accent5 6 2 10" xfId="15640"/>
    <cellStyle name="40% - Accent5 6 2 10 2" xfId="20512"/>
    <cellStyle name="40% - Accent5 6 2 10 2 2" xfId="30226"/>
    <cellStyle name="40% - Accent5 6 2 10 2 2 2" xfId="49979"/>
    <cellStyle name="40% - Accent5 6 2 10 2 3" xfId="40335"/>
    <cellStyle name="40% - Accent5 6 2 10 3" xfId="25414"/>
    <cellStyle name="40% - Accent5 6 2 10 3 2" xfId="45168"/>
    <cellStyle name="40% - Accent5 6 2 10 4" xfId="35524"/>
    <cellStyle name="40% - Accent5 6 2 11" xfId="15978"/>
    <cellStyle name="40% - Accent5 6 2 11 2" xfId="25694"/>
    <cellStyle name="40% - Accent5 6 2 11 2 2" xfId="45448"/>
    <cellStyle name="40% - Accent5 6 2 11 3" xfId="35804"/>
    <cellStyle name="40% - Accent5 6 2 12" xfId="20858"/>
    <cellStyle name="40% - Accent5 6 2 12 2" xfId="40638"/>
    <cellStyle name="40% - Accent5 6 2 13" xfId="30648"/>
    <cellStyle name="40% - Accent5 6 2 13 2" xfId="50396"/>
    <cellStyle name="40% - Accent5 6 2 14" xfId="30969"/>
    <cellStyle name="40% - Accent5 6 2 2" xfId="1018"/>
    <cellStyle name="40% - Accent5 6 2 2 2" xfId="8125"/>
    <cellStyle name="40% - Accent5 6 2 2 2 2" xfId="8126"/>
    <cellStyle name="40% - Accent5 6 2 2 2 2 2" xfId="8127"/>
    <cellStyle name="40% - Accent5 6 2 2 2 3" xfId="8128"/>
    <cellStyle name="40% - Accent5 6 2 2 3" xfId="8129"/>
    <cellStyle name="40% - Accent5 6 2 2 3 2" xfId="8130"/>
    <cellStyle name="40% - Accent5 6 2 2 4" xfId="8131"/>
    <cellStyle name="40% - Accent5 6 2 2 5" xfId="15641"/>
    <cellStyle name="40% - Accent5 6 2 2 5 2" xfId="20513"/>
    <cellStyle name="40% - Accent5 6 2 2 5 2 2" xfId="30227"/>
    <cellStyle name="40% - Accent5 6 2 2 5 2 2 2" xfId="49980"/>
    <cellStyle name="40% - Accent5 6 2 2 5 2 3" xfId="40336"/>
    <cellStyle name="40% - Accent5 6 2 2 5 3" xfId="25415"/>
    <cellStyle name="40% - Accent5 6 2 2 5 3 2" xfId="45169"/>
    <cellStyle name="40% - Accent5 6 2 2 5 4" xfId="35525"/>
    <cellStyle name="40% - Accent5 6 2 2 6" xfId="16364"/>
    <cellStyle name="40% - Accent5 6 2 2 6 2" xfId="26080"/>
    <cellStyle name="40% - Accent5 6 2 2 6 2 2" xfId="45834"/>
    <cellStyle name="40% - Accent5 6 2 2 6 3" xfId="36190"/>
    <cellStyle name="40% - Accent5 6 2 2 7" xfId="21270"/>
    <cellStyle name="40% - Accent5 6 2 2 7 2" xfId="41025"/>
    <cellStyle name="40% - Accent5 6 2 2 8" xfId="30649"/>
    <cellStyle name="40% - Accent5 6 2 2 8 2" xfId="50397"/>
    <cellStyle name="40% - Accent5 6 2 2 9" xfId="31381"/>
    <cellStyle name="40% - Accent5 6 2 3" xfId="1019"/>
    <cellStyle name="40% - Accent5 6 2 3 2" xfId="8132"/>
    <cellStyle name="40% - Accent5 6 2 3 2 2" xfId="8133"/>
    <cellStyle name="40% - Accent5 6 2 3 2 2 2" xfId="8134"/>
    <cellStyle name="40% - Accent5 6 2 3 2 3" xfId="8135"/>
    <cellStyle name="40% - Accent5 6 2 3 3" xfId="8136"/>
    <cellStyle name="40% - Accent5 6 2 3 3 2" xfId="8137"/>
    <cellStyle name="40% - Accent5 6 2 3 4" xfId="8138"/>
    <cellStyle name="40% - Accent5 6 2 3 5" xfId="16365"/>
    <cellStyle name="40% - Accent5 6 2 3 5 2" xfId="26081"/>
    <cellStyle name="40% - Accent5 6 2 3 5 2 2" xfId="45835"/>
    <cellStyle name="40% - Accent5 6 2 3 5 3" xfId="36191"/>
    <cellStyle name="40% - Accent5 6 2 3 6" xfId="21271"/>
    <cellStyle name="40% - Accent5 6 2 3 6 2" xfId="41026"/>
    <cellStyle name="40% - Accent5 6 2 3 7" xfId="31382"/>
    <cellStyle name="40% - Accent5 6 2 4" xfId="8139"/>
    <cellStyle name="40% - Accent5 6 2 4 2" xfId="8140"/>
    <cellStyle name="40% - Accent5 6 2 4 2 2" xfId="8141"/>
    <cellStyle name="40% - Accent5 6 2 4 2 2 2" xfId="8142"/>
    <cellStyle name="40% - Accent5 6 2 4 2 3" xfId="8143"/>
    <cellStyle name="40% - Accent5 6 2 4 3" xfId="8144"/>
    <cellStyle name="40% - Accent5 6 2 4 3 2" xfId="8145"/>
    <cellStyle name="40% - Accent5 6 2 4 4" xfId="8146"/>
    <cellStyle name="40% - Accent5 6 2 5" xfId="8147"/>
    <cellStyle name="40% - Accent5 6 2 5 2" xfId="8148"/>
    <cellStyle name="40% - Accent5 6 2 5 2 2" xfId="8149"/>
    <cellStyle name="40% - Accent5 6 2 5 3" xfId="8150"/>
    <cellStyle name="40% - Accent5 6 2 6" xfId="8151"/>
    <cellStyle name="40% - Accent5 6 2 6 2" xfId="8152"/>
    <cellStyle name="40% - Accent5 6 2 7" xfId="8153"/>
    <cellStyle name="40% - Accent5 6 2 8" xfId="8154"/>
    <cellStyle name="40% - Accent5 6 2 9" xfId="8155"/>
    <cellStyle name="40% - Accent5 6 3" xfId="1020"/>
    <cellStyle name="40% - Accent5 6 3 2" xfId="8156"/>
    <cellStyle name="40% - Accent5 6 3 2 2" xfId="8157"/>
    <cellStyle name="40% - Accent5 6 3 2 2 2" xfId="8158"/>
    <cellStyle name="40% - Accent5 6 3 2 3" xfId="8159"/>
    <cellStyle name="40% - Accent5 6 3 3" xfId="8160"/>
    <cellStyle name="40% - Accent5 6 3 3 2" xfId="8161"/>
    <cellStyle name="40% - Accent5 6 3 4" xfId="8162"/>
    <cellStyle name="40% - Accent5 6 3 5" xfId="15642"/>
    <cellStyle name="40% - Accent5 6 3 5 2" xfId="20514"/>
    <cellStyle name="40% - Accent5 6 3 5 2 2" xfId="30228"/>
    <cellStyle name="40% - Accent5 6 3 5 2 2 2" xfId="49981"/>
    <cellStyle name="40% - Accent5 6 3 5 2 3" xfId="40337"/>
    <cellStyle name="40% - Accent5 6 3 5 3" xfId="25416"/>
    <cellStyle name="40% - Accent5 6 3 5 3 2" xfId="45170"/>
    <cellStyle name="40% - Accent5 6 3 5 4" xfId="35526"/>
    <cellStyle name="40% - Accent5 6 3 6" xfId="16366"/>
    <cellStyle name="40% - Accent5 6 3 6 2" xfId="26082"/>
    <cellStyle name="40% - Accent5 6 3 6 2 2" xfId="45836"/>
    <cellStyle name="40% - Accent5 6 3 6 3" xfId="36192"/>
    <cellStyle name="40% - Accent5 6 3 7" xfId="21272"/>
    <cellStyle name="40% - Accent5 6 3 7 2" xfId="41027"/>
    <cellStyle name="40% - Accent5 6 3 8" xfId="30650"/>
    <cellStyle name="40% - Accent5 6 3 8 2" xfId="50398"/>
    <cellStyle name="40% - Accent5 6 3 9" xfId="31383"/>
    <cellStyle name="40% - Accent5 6 4" xfId="1021"/>
    <cellStyle name="40% - Accent5 6 4 2" xfId="8163"/>
    <cellStyle name="40% - Accent5 6 4 2 2" xfId="8164"/>
    <cellStyle name="40% - Accent5 6 4 2 2 2" xfId="8165"/>
    <cellStyle name="40% - Accent5 6 4 2 3" xfId="8166"/>
    <cellStyle name="40% - Accent5 6 4 3" xfId="8167"/>
    <cellStyle name="40% - Accent5 6 4 3 2" xfId="8168"/>
    <cellStyle name="40% - Accent5 6 4 4" xfId="8169"/>
    <cellStyle name="40% - Accent5 6 4 5" xfId="16367"/>
    <cellStyle name="40% - Accent5 6 4 5 2" xfId="26083"/>
    <cellStyle name="40% - Accent5 6 4 5 2 2" xfId="45837"/>
    <cellStyle name="40% - Accent5 6 4 5 3" xfId="36193"/>
    <cellStyle name="40% - Accent5 6 4 6" xfId="21273"/>
    <cellStyle name="40% - Accent5 6 4 6 2" xfId="41028"/>
    <cellStyle name="40% - Accent5 6 4 7" xfId="31384"/>
    <cellStyle name="40% - Accent5 6 5" xfId="8170"/>
    <cellStyle name="40% - Accent5 6 5 2" xfId="8171"/>
    <cellStyle name="40% - Accent5 6 5 2 2" xfId="8172"/>
    <cellStyle name="40% - Accent5 6 5 2 2 2" xfId="8173"/>
    <cellStyle name="40% - Accent5 6 5 2 3" xfId="8174"/>
    <cellStyle name="40% - Accent5 6 5 3" xfId="8175"/>
    <cellStyle name="40% - Accent5 6 5 3 2" xfId="8176"/>
    <cellStyle name="40% - Accent5 6 5 4" xfId="8177"/>
    <cellStyle name="40% - Accent5 6 6" xfId="8178"/>
    <cellStyle name="40% - Accent5 6 6 2" xfId="8179"/>
    <cellStyle name="40% - Accent5 6 6 2 2" xfId="8180"/>
    <cellStyle name="40% - Accent5 6 6 3" xfId="8181"/>
    <cellStyle name="40% - Accent5 6 7" xfId="8182"/>
    <cellStyle name="40% - Accent5 6 7 2" xfId="8183"/>
    <cellStyle name="40% - Accent5 6 8" xfId="8184"/>
    <cellStyle name="40% - Accent5 6 8 2" xfId="8185"/>
    <cellStyle name="40% - Accent5 6 9" xfId="8186"/>
    <cellStyle name="40% - Accent5 7" xfId="213"/>
    <cellStyle name="40% - Accent5 7 10" xfId="30970"/>
    <cellStyle name="40% - Accent5 7 2" xfId="214"/>
    <cellStyle name="40% - Accent5 7 2 2" xfId="1022"/>
    <cellStyle name="40% - Accent5 7 2 2 2" xfId="8187"/>
    <cellStyle name="40% - Accent5 7 2 2 2 2" xfId="8188"/>
    <cellStyle name="40% - Accent5 7 2 2 3" xfId="8189"/>
    <cellStyle name="40% - Accent5 7 2 2 4" xfId="15645"/>
    <cellStyle name="40% - Accent5 7 2 2 4 2" xfId="20517"/>
    <cellStyle name="40% - Accent5 7 2 2 4 2 2" xfId="30231"/>
    <cellStyle name="40% - Accent5 7 2 2 4 2 2 2" xfId="49984"/>
    <cellStyle name="40% - Accent5 7 2 2 4 2 3" xfId="40340"/>
    <cellStyle name="40% - Accent5 7 2 2 4 3" xfId="25419"/>
    <cellStyle name="40% - Accent5 7 2 2 4 3 2" xfId="45173"/>
    <cellStyle name="40% - Accent5 7 2 2 4 4" xfId="35529"/>
    <cellStyle name="40% - Accent5 7 2 2 5" xfId="16368"/>
    <cellStyle name="40% - Accent5 7 2 2 5 2" xfId="26084"/>
    <cellStyle name="40% - Accent5 7 2 2 5 2 2" xfId="45838"/>
    <cellStyle name="40% - Accent5 7 2 2 5 3" xfId="36194"/>
    <cellStyle name="40% - Accent5 7 2 2 6" xfId="21274"/>
    <cellStyle name="40% - Accent5 7 2 2 6 2" xfId="41029"/>
    <cellStyle name="40% - Accent5 7 2 2 7" xfId="30653"/>
    <cellStyle name="40% - Accent5 7 2 2 7 2" xfId="50401"/>
    <cellStyle name="40% - Accent5 7 2 2 8" xfId="31385"/>
    <cellStyle name="40% - Accent5 7 2 3" xfId="1023"/>
    <cellStyle name="40% - Accent5 7 2 3 2" xfId="8190"/>
    <cellStyle name="40% - Accent5 7 2 3 3" xfId="16369"/>
    <cellStyle name="40% - Accent5 7 2 3 3 2" xfId="26085"/>
    <cellStyle name="40% - Accent5 7 2 3 3 2 2" xfId="45839"/>
    <cellStyle name="40% - Accent5 7 2 3 3 3" xfId="36195"/>
    <cellStyle name="40% - Accent5 7 2 3 4" xfId="21275"/>
    <cellStyle name="40% - Accent5 7 2 3 4 2" xfId="41030"/>
    <cellStyle name="40% - Accent5 7 2 3 5" xfId="31386"/>
    <cellStyle name="40% - Accent5 7 2 4" xfId="8191"/>
    <cellStyle name="40% - Accent5 7 2 5" xfId="15644"/>
    <cellStyle name="40% - Accent5 7 2 5 2" xfId="20516"/>
    <cellStyle name="40% - Accent5 7 2 5 2 2" xfId="30230"/>
    <cellStyle name="40% - Accent5 7 2 5 2 2 2" xfId="49983"/>
    <cellStyle name="40% - Accent5 7 2 5 2 3" xfId="40339"/>
    <cellStyle name="40% - Accent5 7 2 5 3" xfId="25418"/>
    <cellStyle name="40% - Accent5 7 2 5 3 2" xfId="45172"/>
    <cellStyle name="40% - Accent5 7 2 5 4" xfId="35528"/>
    <cellStyle name="40% - Accent5 7 2 6" xfId="15980"/>
    <cellStyle name="40% - Accent5 7 2 6 2" xfId="25696"/>
    <cellStyle name="40% - Accent5 7 2 6 2 2" xfId="45450"/>
    <cellStyle name="40% - Accent5 7 2 6 3" xfId="35806"/>
    <cellStyle name="40% - Accent5 7 2 7" xfId="20860"/>
    <cellStyle name="40% - Accent5 7 2 7 2" xfId="40640"/>
    <cellStyle name="40% - Accent5 7 2 8" xfId="30652"/>
    <cellStyle name="40% - Accent5 7 2 8 2" xfId="50400"/>
    <cellStyle name="40% - Accent5 7 2 9" xfId="30971"/>
    <cellStyle name="40% - Accent5 7 3" xfId="1024"/>
    <cellStyle name="40% - Accent5 7 3 2" xfId="8192"/>
    <cellStyle name="40% - Accent5 7 3 2 2" xfId="8193"/>
    <cellStyle name="40% - Accent5 7 3 3" xfId="8194"/>
    <cellStyle name="40% - Accent5 7 3 4" xfId="15646"/>
    <cellStyle name="40% - Accent5 7 3 4 2" xfId="20518"/>
    <cellStyle name="40% - Accent5 7 3 4 2 2" xfId="30232"/>
    <cellStyle name="40% - Accent5 7 3 4 2 2 2" xfId="49985"/>
    <cellStyle name="40% - Accent5 7 3 4 2 3" xfId="40341"/>
    <cellStyle name="40% - Accent5 7 3 4 3" xfId="25420"/>
    <cellStyle name="40% - Accent5 7 3 4 3 2" xfId="45174"/>
    <cellStyle name="40% - Accent5 7 3 4 4" xfId="35530"/>
    <cellStyle name="40% - Accent5 7 3 5" xfId="16370"/>
    <cellStyle name="40% - Accent5 7 3 5 2" xfId="26086"/>
    <cellStyle name="40% - Accent5 7 3 5 2 2" xfId="45840"/>
    <cellStyle name="40% - Accent5 7 3 5 3" xfId="36196"/>
    <cellStyle name="40% - Accent5 7 3 6" xfId="21276"/>
    <cellStyle name="40% - Accent5 7 3 6 2" xfId="41031"/>
    <cellStyle name="40% - Accent5 7 3 7" xfId="30654"/>
    <cellStyle name="40% - Accent5 7 3 7 2" xfId="50402"/>
    <cellStyle name="40% - Accent5 7 3 8" xfId="31387"/>
    <cellStyle name="40% - Accent5 7 4" xfId="1025"/>
    <cellStyle name="40% - Accent5 7 4 2" xfId="8195"/>
    <cellStyle name="40% - Accent5 7 4 3" xfId="16371"/>
    <cellStyle name="40% - Accent5 7 4 3 2" xfId="26087"/>
    <cellStyle name="40% - Accent5 7 4 3 2 2" xfId="45841"/>
    <cellStyle name="40% - Accent5 7 4 3 3" xfId="36197"/>
    <cellStyle name="40% - Accent5 7 4 4" xfId="21277"/>
    <cellStyle name="40% - Accent5 7 4 4 2" xfId="41032"/>
    <cellStyle name="40% - Accent5 7 4 5" xfId="31388"/>
    <cellStyle name="40% - Accent5 7 5" xfId="8196"/>
    <cellStyle name="40% - Accent5 7 6" xfId="15643"/>
    <cellStyle name="40% - Accent5 7 6 2" xfId="20515"/>
    <cellStyle name="40% - Accent5 7 6 2 2" xfId="30229"/>
    <cellStyle name="40% - Accent5 7 6 2 2 2" xfId="49982"/>
    <cellStyle name="40% - Accent5 7 6 2 3" xfId="40338"/>
    <cellStyle name="40% - Accent5 7 6 3" xfId="25417"/>
    <cellStyle name="40% - Accent5 7 6 3 2" xfId="45171"/>
    <cellStyle name="40% - Accent5 7 6 4" xfId="35527"/>
    <cellStyle name="40% - Accent5 7 7" xfId="15979"/>
    <cellStyle name="40% - Accent5 7 7 2" xfId="25695"/>
    <cellStyle name="40% - Accent5 7 7 2 2" xfId="45449"/>
    <cellStyle name="40% - Accent5 7 7 3" xfId="35805"/>
    <cellStyle name="40% - Accent5 7 8" xfId="20859"/>
    <cellStyle name="40% - Accent5 7 8 2" xfId="40639"/>
    <cellStyle name="40% - Accent5 7 9" xfId="30651"/>
    <cellStyle name="40% - Accent5 7 9 2" xfId="50399"/>
    <cellStyle name="40% - Accent5 8" xfId="215"/>
    <cellStyle name="40% - Accent5 8 10" xfId="30972"/>
    <cellStyle name="40% - Accent5 8 2" xfId="216"/>
    <cellStyle name="40% - Accent5 8 2 2" xfId="1026"/>
    <cellStyle name="40% - Accent5 8 2 2 2" xfId="8197"/>
    <cellStyle name="40% - Accent5 8 2 2 2 2" xfId="8198"/>
    <cellStyle name="40% - Accent5 8 2 2 3" xfId="8199"/>
    <cellStyle name="40% - Accent5 8 2 2 4" xfId="15649"/>
    <cellStyle name="40% - Accent5 8 2 2 4 2" xfId="20521"/>
    <cellStyle name="40% - Accent5 8 2 2 4 2 2" xfId="30235"/>
    <cellStyle name="40% - Accent5 8 2 2 4 2 2 2" xfId="49988"/>
    <cellStyle name="40% - Accent5 8 2 2 4 2 3" xfId="40344"/>
    <cellStyle name="40% - Accent5 8 2 2 4 3" xfId="25423"/>
    <cellStyle name="40% - Accent5 8 2 2 4 3 2" xfId="45177"/>
    <cellStyle name="40% - Accent5 8 2 2 4 4" xfId="35533"/>
    <cellStyle name="40% - Accent5 8 2 2 5" xfId="16372"/>
    <cellStyle name="40% - Accent5 8 2 2 5 2" xfId="26088"/>
    <cellStyle name="40% - Accent5 8 2 2 5 2 2" xfId="45842"/>
    <cellStyle name="40% - Accent5 8 2 2 5 3" xfId="36198"/>
    <cellStyle name="40% - Accent5 8 2 2 6" xfId="21278"/>
    <cellStyle name="40% - Accent5 8 2 2 6 2" xfId="41033"/>
    <cellStyle name="40% - Accent5 8 2 2 7" xfId="30657"/>
    <cellStyle name="40% - Accent5 8 2 2 7 2" xfId="50405"/>
    <cellStyle name="40% - Accent5 8 2 2 8" xfId="31389"/>
    <cellStyle name="40% - Accent5 8 2 3" xfId="1027"/>
    <cellStyle name="40% - Accent5 8 2 3 2" xfId="8200"/>
    <cellStyle name="40% - Accent5 8 2 3 3" xfId="16373"/>
    <cellStyle name="40% - Accent5 8 2 3 3 2" xfId="26089"/>
    <cellStyle name="40% - Accent5 8 2 3 3 2 2" xfId="45843"/>
    <cellStyle name="40% - Accent5 8 2 3 3 3" xfId="36199"/>
    <cellStyle name="40% - Accent5 8 2 3 4" xfId="21279"/>
    <cellStyle name="40% - Accent5 8 2 3 4 2" xfId="41034"/>
    <cellStyle name="40% - Accent5 8 2 3 5" xfId="31390"/>
    <cellStyle name="40% - Accent5 8 2 4" xfId="8201"/>
    <cellStyle name="40% - Accent5 8 2 5" xfId="15648"/>
    <cellStyle name="40% - Accent5 8 2 5 2" xfId="20520"/>
    <cellStyle name="40% - Accent5 8 2 5 2 2" xfId="30234"/>
    <cellStyle name="40% - Accent5 8 2 5 2 2 2" xfId="49987"/>
    <cellStyle name="40% - Accent5 8 2 5 2 3" xfId="40343"/>
    <cellStyle name="40% - Accent5 8 2 5 3" xfId="25422"/>
    <cellStyle name="40% - Accent5 8 2 5 3 2" xfId="45176"/>
    <cellStyle name="40% - Accent5 8 2 5 4" xfId="35532"/>
    <cellStyle name="40% - Accent5 8 2 6" xfId="15982"/>
    <cellStyle name="40% - Accent5 8 2 6 2" xfId="25698"/>
    <cellStyle name="40% - Accent5 8 2 6 2 2" xfId="45452"/>
    <cellStyle name="40% - Accent5 8 2 6 3" xfId="35808"/>
    <cellStyle name="40% - Accent5 8 2 7" xfId="20862"/>
    <cellStyle name="40% - Accent5 8 2 7 2" xfId="40642"/>
    <cellStyle name="40% - Accent5 8 2 8" xfId="30656"/>
    <cellStyle name="40% - Accent5 8 2 8 2" xfId="50404"/>
    <cellStyle name="40% - Accent5 8 2 9" xfId="30973"/>
    <cellStyle name="40% - Accent5 8 3" xfId="1028"/>
    <cellStyle name="40% - Accent5 8 3 2" xfId="8202"/>
    <cellStyle name="40% - Accent5 8 3 2 2" xfId="8203"/>
    <cellStyle name="40% - Accent5 8 3 3" xfId="8204"/>
    <cellStyle name="40% - Accent5 8 3 4" xfId="15650"/>
    <cellStyle name="40% - Accent5 8 3 4 2" xfId="20522"/>
    <cellStyle name="40% - Accent5 8 3 4 2 2" xfId="30236"/>
    <cellStyle name="40% - Accent5 8 3 4 2 2 2" xfId="49989"/>
    <cellStyle name="40% - Accent5 8 3 4 2 3" xfId="40345"/>
    <cellStyle name="40% - Accent5 8 3 4 3" xfId="25424"/>
    <cellStyle name="40% - Accent5 8 3 4 3 2" xfId="45178"/>
    <cellStyle name="40% - Accent5 8 3 4 4" xfId="35534"/>
    <cellStyle name="40% - Accent5 8 3 5" xfId="16374"/>
    <cellStyle name="40% - Accent5 8 3 5 2" xfId="26090"/>
    <cellStyle name="40% - Accent5 8 3 5 2 2" xfId="45844"/>
    <cellStyle name="40% - Accent5 8 3 5 3" xfId="36200"/>
    <cellStyle name="40% - Accent5 8 3 6" xfId="21280"/>
    <cellStyle name="40% - Accent5 8 3 6 2" xfId="41035"/>
    <cellStyle name="40% - Accent5 8 3 7" xfId="30658"/>
    <cellStyle name="40% - Accent5 8 3 7 2" xfId="50406"/>
    <cellStyle name="40% - Accent5 8 3 8" xfId="31391"/>
    <cellStyle name="40% - Accent5 8 4" xfId="1029"/>
    <cellStyle name="40% - Accent5 8 4 2" xfId="8205"/>
    <cellStyle name="40% - Accent5 8 4 3" xfId="16375"/>
    <cellStyle name="40% - Accent5 8 4 3 2" xfId="26091"/>
    <cellStyle name="40% - Accent5 8 4 3 2 2" xfId="45845"/>
    <cellStyle name="40% - Accent5 8 4 3 3" xfId="36201"/>
    <cellStyle name="40% - Accent5 8 4 4" xfId="21281"/>
    <cellStyle name="40% - Accent5 8 4 4 2" xfId="41036"/>
    <cellStyle name="40% - Accent5 8 4 5" xfId="31392"/>
    <cellStyle name="40% - Accent5 8 5" xfId="8206"/>
    <cellStyle name="40% - Accent5 8 6" xfId="15647"/>
    <cellStyle name="40% - Accent5 8 6 2" xfId="20519"/>
    <cellStyle name="40% - Accent5 8 6 2 2" xfId="30233"/>
    <cellStyle name="40% - Accent5 8 6 2 2 2" xfId="49986"/>
    <cellStyle name="40% - Accent5 8 6 2 3" xfId="40342"/>
    <cellStyle name="40% - Accent5 8 6 3" xfId="25421"/>
    <cellStyle name="40% - Accent5 8 6 3 2" xfId="45175"/>
    <cellStyle name="40% - Accent5 8 6 4" xfId="35531"/>
    <cellStyle name="40% - Accent5 8 7" xfId="15981"/>
    <cellStyle name="40% - Accent5 8 7 2" xfId="25697"/>
    <cellStyle name="40% - Accent5 8 7 2 2" xfId="45451"/>
    <cellStyle name="40% - Accent5 8 7 3" xfId="35807"/>
    <cellStyle name="40% - Accent5 8 8" xfId="20861"/>
    <cellStyle name="40% - Accent5 8 8 2" xfId="40641"/>
    <cellStyle name="40% - Accent5 8 9" xfId="30655"/>
    <cellStyle name="40% - Accent5 8 9 2" xfId="50403"/>
    <cellStyle name="40% - Accent5 9" xfId="217"/>
    <cellStyle name="40% - Accent5 9 2" xfId="1030"/>
    <cellStyle name="40% - Accent5 9 2 2" xfId="8207"/>
    <cellStyle name="40% - Accent5 9 2 2 2" xfId="8208"/>
    <cellStyle name="40% - Accent5 9 2 3" xfId="8209"/>
    <cellStyle name="40% - Accent5 9 2 4" xfId="15652"/>
    <cellStyle name="40% - Accent5 9 2 4 2" xfId="20524"/>
    <cellStyle name="40% - Accent5 9 2 4 2 2" xfId="30238"/>
    <cellStyle name="40% - Accent5 9 2 4 2 2 2" xfId="49991"/>
    <cellStyle name="40% - Accent5 9 2 4 2 3" xfId="40347"/>
    <cellStyle name="40% - Accent5 9 2 4 3" xfId="25426"/>
    <cellStyle name="40% - Accent5 9 2 4 3 2" xfId="45180"/>
    <cellStyle name="40% - Accent5 9 2 4 4" xfId="35536"/>
    <cellStyle name="40% - Accent5 9 2 5" xfId="16376"/>
    <cellStyle name="40% - Accent5 9 2 5 2" xfId="26092"/>
    <cellStyle name="40% - Accent5 9 2 5 2 2" xfId="45846"/>
    <cellStyle name="40% - Accent5 9 2 5 3" xfId="36202"/>
    <cellStyle name="40% - Accent5 9 2 6" xfId="21282"/>
    <cellStyle name="40% - Accent5 9 2 6 2" xfId="41037"/>
    <cellStyle name="40% - Accent5 9 2 7" xfId="30660"/>
    <cellStyle name="40% - Accent5 9 2 7 2" xfId="50408"/>
    <cellStyle name="40% - Accent5 9 2 8" xfId="31393"/>
    <cellStyle name="40% - Accent5 9 3" xfId="1031"/>
    <cellStyle name="40% - Accent5 9 3 2" xfId="8210"/>
    <cellStyle name="40% - Accent5 9 3 3" xfId="16377"/>
    <cellStyle name="40% - Accent5 9 3 3 2" xfId="26093"/>
    <cellStyle name="40% - Accent5 9 3 3 2 2" xfId="45847"/>
    <cellStyle name="40% - Accent5 9 3 3 3" xfId="36203"/>
    <cellStyle name="40% - Accent5 9 3 4" xfId="21283"/>
    <cellStyle name="40% - Accent5 9 3 4 2" xfId="41038"/>
    <cellStyle name="40% - Accent5 9 3 5" xfId="31394"/>
    <cellStyle name="40% - Accent5 9 4" xfId="8211"/>
    <cellStyle name="40% - Accent5 9 5" xfId="15651"/>
    <cellStyle name="40% - Accent5 9 5 2" xfId="20523"/>
    <cellStyle name="40% - Accent5 9 5 2 2" xfId="30237"/>
    <cellStyle name="40% - Accent5 9 5 2 2 2" xfId="49990"/>
    <cellStyle name="40% - Accent5 9 5 2 3" xfId="40346"/>
    <cellStyle name="40% - Accent5 9 5 3" xfId="25425"/>
    <cellStyle name="40% - Accent5 9 5 3 2" xfId="45179"/>
    <cellStyle name="40% - Accent5 9 5 4" xfId="35535"/>
    <cellStyle name="40% - Accent5 9 6" xfId="15983"/>
    <cellStyle name="40% - Accent5 9 6 2" xfId="25699"/>
    <cellStyle name="40% - Accent5 9 6 2 2" xfId="45453"/>
    <cellStyle name="40% - Accent5 9 6 3" xfId="35809"/>
    <cellStyle name="40% - Accent5 9 7" xfId="20863"/>
    <cellStyle name="40% - Accent5 9 7 2" xfId="40643"/>
    <cellStyle name="40% - Accent5 9 8" xfId="30659"/>
    <cellStyle name="40% - Accent5 9 8 2" xfId="50407"/>
    <cellStyle name="40% - Accent5 9 9" xfId="30974"/>
    <cellStyle name="40% - Accent6" xfId="218" builtinId="51" customBuiltin="1"/>
    <cellStyle name="40% - Accent6 10" xfId="219"/>
    <cellStyle name="40% - Accent6 10 2" xfId="1032"/>
    <cellStyle name="40% - Accent6 10 2 2" xfId="8212"/>
    <cellStyle name="40% - Accent6 10 2 2 2" xfId="8213"/>
    <cellStyle name="40% - Accent6 10 2 3" xfId="8214"/>
    <cellStyle name="40% - Accent6 10 2 4" xfId="16378"/>
    <cellStyle name="40% - Accent6 10 2 4 2" xfId="26094"/>
    <cellStyle name="40% - Accent6 10 2 4 2 2" xfId="45848"/>
    <cellStyle name="40% - Accent6 10 2 4 3" xfId="36204"/>
    <cellStyle name="40% - Accent6 10 2 5" xfId="21284"/>
    <cellStyle name="40% - Accent6 10 2 5 2" xfId="41039"/>
    <cellStyle name="40% - Accent6 10 2 6" xfId="31395"/>
    <cellStyle name="40% - Accent6 10 3" xfId="1033"/>
    <cellStyle name="40% - Accent6 10 3 2" xfId="8215"/>
    <cellStyle name="40% - Accent6 10 3 3" xfId="16379"/>
    <cellStyle name="40% - Accent6 10 3 3 2" xfId="26095"/>
    <cellStyle name="40% - Accent6 10 3 3 2 2" xfId="45849"/>
    <cellStyle name="40% - Accent6 10 3 3 3" xfId="36205"/>
    <cellStyle name="40% - Accent6 10 3 4" xfId="21285"/>
    <cellStyle name="40% - Accent6 10 3 4 2" xfId="41040"/>
    <cellStyle name="40% - Accent6 10 3 5" xfId="31396"/>
    <cellStyle name="40% - Accent6 10 4" xfId="8216"/>
    <cellStyle name="40% - Accent6 10 5" xfId="15654"/>
    <cellStyle name="40% - Accent6 10 5 2" xfId="20526"/>
    <cellStyle name="40% - Accent6 10 5 2 2" xfId="30240"/>
    <cellStyle name="40% - Accent6 10 5 2 2 2" xfId="49993"/>
    <cellStyle name="40% - Accent6 10 5 2 3" xfId="40349"/>
    <cellStyle name="40% - Accent6 10 5 3" xfId="25428"/>
    <cellStyle name="40% - Accent6 10 5 3 2" xfId="45182"/>
    <cellStyle name="40% - Accent6 10 5 4" xfId="35538"/>
    <cellStyle name="40% - Accent6 10 6" xfId="15985"/>
    <cellStyle name="40% - Accent6 10 6 2" xfId="25701"/>
    <cellStyle name="40% - Accent6 10 6 2 2" xfId="45455"/>
    <cellStyle name="40% - Accent6 10 6 3" xfId="35811"/>
    <cellStyle name="40% - Accent6 10 7" xfId="20865"/>
    <cellStyle name="40% - Accent6 10 7 2" xfId="40645"/>
    <cellStyle name="40% - Accent6 10 8" xfId="30661"/>
    <cellStyle name="40% - Accent6 10 8 2" xfId="50409"/>
    <cellStyle name="40% - Accent6 10 9" xfId="30976"/>
    <cellStyle name="40% - Accent6 11" xfId="220"/>
    <cellStyle name="40% - Accent6 11 2" xfId="1034"/>
    <cellStyle name="40% - Accent6 11 2 2" xfId="16380"/>
    <cellStyle name="40% - Accent6 11 2 2 2" xfId="26096"/>
    <cellStyle name="40% - Accent6 11 2 2 2 2" xfId="45850"/>
    <cellStyle name="40% - Accent6 11 2 2 3" xfId="36206"/>
    <cellStyle name="40% - Accent6 11 2 3" xfId="21286"/>
    <cellStyle name="40% - Accent6 11 2 3 2" xfId="41041"/>
    <cellStyle name="40% - Accent6 11 2 4" xfId="31397"/>
    <cellStyle name="40% - Accent6 11 3" xfId="15655"/>
    <cellStyle name="40% - Accent6 11 3 2" xfId="20527"/>
    <cellStyle name="40% - Accent6 11 3 2 2" xfId="30241"/>
    <cellStyle name="40% - Accent6 11 3 2 2 2" xfId="49994"/>
    <cellStyle name="40% - Accent6 11 3 2 3" xfId="40350"/>
    <cellStyle name="40% - Accent6 11 3 3" xfId="25429"/>
    <cellStyle name="40% - Accent6 11 3 3 2" xfId="45183"/>
    <cellStyle name="40% - Accent6 11 3 4" xfId="35539"/>
    <cellStyle name="40% - Accent6 11 4" xfId="15984"/>
    <cellStyle name="40% - Accent6 11 4 2" xfId="25700"/>
    <cellStyle name="40% - Accent6 11 4 2 2" xfId="45454"/>
    <cellStyle name="40% - Accent6 11 4 3" xfId="35810"/>
    <cellStyle name="40% - Accent6 11 5" xfId="20866"/>
    <cellStyle name="40% - Accent6 11 5 2" xfId="40646"/>
    <cellStyle name="40% - Accent6 11 6" xfId="30662"/>
    <cellStyle name="40% - Accent6 11 6 2" xfId="50410"/>
    <cellStyle name="40% - Accent6 11 7" xfId="30977"/>
    <cellStyle name="40% - Accent6 12" xfId="1035"/>
    <cellStyle name="40% - Accent6 12 2" xfId="16381"/>
    <cellStyle name="40% - Accent6 12 2 2" xfId="26097"/>
    <cellStyle name="40% - Accent6 12 2 2 2" xfId="45851"/>
    <cellStyle name="40% - Accent6 12 2 3" xfId="36207"/>
    <cellStyle name="40% - Accent6 12 3" xfId="21287"/>
    <cellStyle name="40% - Accent6 12 3 2" xfId="41042"/>
    <cellStyle name="40% - Accent6 12 4" xfId="31398"/>
    <cellStyle name="40% - Accent6 13" xfId="1036"/>
    <cellStyle name="40% - Accent6 13 2" xfId="16382"/>
    <cellStyle name="40% - Accent6 13 2 2" xfId="26098"/>
    <cellStyle name="40% - Accent6 13 2 2 2" xfId="45852"/>
    <cellStyle name="40% - Accent6 13 2 3" xfId="36208"/>
    <cellStyle name="40% - Accent6 13 3" xfId="21288"/>
    <cellStyle name="40% - Accent6 13 3 2" xfId="41043"/>
    <cellStyle name="40% - Accent6 13 4" xfId="31399"/>
    <cellStyle name="40% - Accent6 14" xfId="1037"/>
    <cellStyle name="40% - Accent6 14 2" xfId="16383"/>
    <cellStyle name="40% - Accent6 14 2 2" xfId="26099"/>
    <cellStyle name="40% - Accent6 14 2 2 2" xfId="45853"/>
    <cellStyle name="40% - Accent6 14 2 3" xfId="36209"/>
    <cellStyle name="40% - Accent6 14 3" xfId="21289"/>
    <cellStyle name="40% - Accent6 14 3 2" xfId="41044"/>
    <cellStyle name="40% - Accent6 14 4" xfId="31400"/>
    <cellStyle name="40% - Accent6 15" xfId="15325"/>
    <cellStyle name="40% - Accent6 15 2" xfId="20222"/>
    <cellStyle name="40% - Accent6 15 2 2" xfId="29936"/>
    <cellStyle name="40% - Accent6 15 2 2 2" xfId="49689"/>
    <cellStyle name="40% - Accent6 15 2 3" xfId="40045"/>
    <cellStyle name="40% - Accent6 15 3" xfId="25124"/>
    <cellStyle name="40% - Accent6 15 3 2" xfId="44878"/>
    <cellStyle name="40% - Accent6 15 4" xfId="35234"/>
    <cellStyle name="40% - Accent6 16" xfId="15653"/>
    <cellStyle name="40% - Accent6 16 2" xfId="20525"/>
    <cellStyle name="40% - Accent6 16 2 2" xfId="30239"/>
    <cellStyle name="40% - Accent6 16 2 2 2" xfId="49992"/>
    <cellStyle name="40% - Accent6 16 2 3" xfId="40348"/>
    <cellStyle name="40% - Accent6 16 3" xfId="25427"/>
    <cellStyle name="40% - Accent6 16 3 2" xfId="45181"/>
    <cellStyle name="40% - Accent6 16 4" xfId="35537"/>
    <cellStyle name="40% - Accent6 17" xfId="15811"/>
    <cellStyle name="40% - Accent6 17 2" xfId="25527"/>
    <cellStyle name="40% - Accent6 17 2 2" xfId="45281"/>
    <cellStyle name="40% - Accent6 17 3" xfId="35637"/>
    <cellStyle name="40% - Accent6 18" xfId="20643"/>
    <cellStyle name="40% - Accent6 18 2" xfId="30327"/>
    <cellStyle name="40% - Accent6 18 2 2" xfId="50079"/>
    <cellStyle name="40% - Accent6 18 3" xfId="40435"/>
    <cellStyle name="40% - Accent6 19" xfId="20677"/>
    <cellStyle name="40% - Accent6 19 2" xfId="30354"/>
    <cellStyle name="40% - Accent6 19 2 2" xfId="50103"/>
    <cellStyle name="40% - Accent6 19 3" xfId="40459"/>
    <cellStyle name="40% - Accent6 2" xfId="221"/>
    <cellStyle name="40% - Accent6 2 10" xfId="8217"/>
    <cellStyle name="40% - Accent6 2 10 2" xfId="8218"/>
    <cellStyle name="40% - Accent6 2 11" xfId="8219"/>
    <cellStyle name="40% - Accent6 2 12" xfId="8220"/>
    <cellStyle name="40% - Accent6 2 13" xfId="8221"/>
    <cellStyle name="40% - Accent6 2 2" xfId="222"/>
    <cellStyle name="40% - Accent6 2 2 10" xfId="8222"/>
    <cellStyle name="40% - Accent6 2 2 11" xfId="8223"/>
    <cellStyle name="40% - Accent6 2 2 12" xfId="8224"/>
    <cellStyle name="40% - Accent6 2 2 2" xfId="8225"/>
    <cellStyle name="40% - Accent6 2 2 2 10" xfId="8226"/>
    <cellStyle name="40% - Accent6 2 2 2 2" xfId="8227"/>
    <cellStyle name="40% - Accent6 2 2 2 2 2" xfId="8228"/>
    <cellStyle name="40% - Accent6 2 2 2 2 2 2" xfId="8229"/>
    <cellStyle name="40% - Accent6 2 2 2 2 2 2 2" xfId="8230"/>
    <cellStyle name="40% - Accent6 2 2 2 2 2 2 2 2" xfId="8231"/>
    <cellStyle name="40% - Accent6 2 2 2 2 2 2 3" xfId="8232"/>
    <cellStyle name="40% - Accent6 2 2 2 2 2 3" xfId="8233"/>
    <cellStyle name="40% - Accent6 2 2 2 2 2 3 2" xfId="8234"/>
    <cellStyle name="40% - Accent6 2 2 2 2 2 4" xfId="8235"/>
    <cellStyle name="40% - Accent6 2 2 2 2 3" xfId="8236"/>
    <cellStyle name="40% - Accent6 2 2 2 2 3 2" xfId="8237"/>
    <cellStyle name="40% - Accent6 2 2 2 2 3 2 2" xfId="8238"/>
    <cellStyle name="40% - Accent6 2 2 2 2 3 3" xfId="8239"/>
    <cellStyle name="40% - Accent6 2 2 2 2 4" xfId="8240"/>
    <cellStyle name="40% - Accent6 2 2 2 2 4 2" xfId="8241"/>
    <cellStyle name="40% - Accent6 2 2 2 2 5" xfId="8242"/>
    <cellStyle name="40% - Accent6 2 2 2 2 6" xfId="8243"/>
    <cellStyle name="40% - Accent6 2 2 2 2 7" xfId="8244"/>
    <cellStyle name="40% - Accent6 2 2 2 3" xfId="8245"/>
    <cellStyle name="40% - Accent6 2 2 2 3 2" xfId="8246"/>
    <cellStyle name="40% - Accent6 2 2 2 3 2 2" xfId="8247"/>
    <cellStyle name="40% - Accent6 2 2 2 3 2 2 2" xfId="8248"/>
    <cellStyle name="40% - Accent6 2 2 2 3 2 3" xfId="8249"/>
    <cellStyle name="40% - Accent6 2 2 2 3 3" xfId="8250"/>
    <cellStyle name="40% - Accent6 2 2 2 3 3 2" xfId="8251"/>
    <cellStyle name="40% - Accent6 2 2 2 3 4" xfId="8252"/>
    <cellStyle name="40% - Accent6 2 2 2 4" xfId="8253"/>
    <cellStyle name="40% - Accent6 2 2 2 4 2" xfId="8254"/>
    <cellStyle name="40% - Accent6 2 2 2 4 2 2" xfId="8255"/>
    <cellStyle name="40% - Accent6 2 2 2 4 2 2 2" xfId="8256"/>
    <cellStyle name="40% - Accent6 2 2 2 4 2 3" xfId="8257"/>
    <cellStyle name="40% - Accent6 2 2 2 4 3" xfId="8258"/>
    <cellStyle name="40% - Accent6 2 2 2 4 3 2" xfId="8259"/>
    <cellStyle name="40% - Accent6 2 2 2 4 4" xfId="8260"/>
    <cellStyle name="40% - Accent6 2 2 2 5" xfId="8261"/>
    <cellStyle name="40% - Accent6 2 2 2 5 2" xfId="8262"/>
    <cellStyle name="40% - Accent6 2 2 2 5 2 2" xfId="8263"/>
    <cellStyle name="40% - Accent6 2 2 2 5 3" xfId="8264"/>
    <cellStyle name="40% - Accent6 2 2 2 6" xfId="8265"/>
    <cellStyle name="40% - Accent6 2 2 2 6 2" xfId="8266"/>
    <cellStyle name="40% - Accent6 2 2 2 7" xfId="8267"/>
    <cellStyle name="40% - Accent6 2 2 2 7 2" xfId="8268"/>
    <cellStyle name="40% - Accent6 2 2 2 8" xfId="8269"/>
    <cellStyle name="40% - Accent6 2 2 2 9" xfId="8270"/>
    <cellStyle name="40% - Accent6 2 2 3" xfId="8271"/>
    <cellStyle name="40% - Accent6 2 2 3 2" xfId="8272"/>
    <cellStyle name="40% - Accent6 2 2 3 2 2" xfId="8273"/>
    <cellStyle name="40% - Accent6 2 2 3 2 2 2" xfId="8274"/>
    <cellStyle name="40% - Accent6 2 2 3 2 2 2 2" xfId="8275"/>
    <cellStyle name="40% - Accent6 2 2 3 2 2 3" xfId="8276"/>
    <cellStyle name="40% - Accent6 2 2 3 2 3" xfId="8277"/>
    <cellStyle name="40% - Accent6 2 2 3 2 3 2" xfId="8278"/>
    <cellStyle name="40% - Accent6 2 2 3 2 4" xfId="8279"/>
    <cellStyle name="40% - Accent6 2 2 3 3" xfId="8280"/>
    <cellStyle name="40% - Accent6 2 2 3 3 2" xfId="8281"/>
    <cellStyle name="40% - Accent6 2 2 3 3 2 2" xfId="8282"/>
    <cellStyle name="40% - Accent6 2 2 3 3 3" xfId="8283"/>
    <cellStyle name="40% - Accent6 2 2 3 4" xfId="8284"/>
    <cellStyle name="40% - Accent6 2 2 3 4 2" xfId="8285"/>
    <cellStyle name="40% - Accent6 2 2 3 5" xfId="8286"/>
    <cellStyle name="40% - Accent6 2 2 3 6" xfId="8287"/>
    <cellStyle name="40% - Accent6 2 2 3 7" xfId="8288"/>
    <cellStyle name="40% - Accent6 2 2 4" xfId="8289"/>
    <cellStyle name="40% - Accent6 2 2 4 2" xfId="8290"/>
    <cellStyle name="40% - Accent6 2 2 4 2 2" xfId="8291"/>
    <cellStyle name="40% - Accent6 2 2 4 2 2 2" xfId="8292"/>
    <cellStyle name="40% - Accent6 2 2 4 2 3" xfId="8293"/>
    <cellStyle name="40% - Accent6 2 2 4 3" xfId="8294"/>
    <cellStyle name="40% - Accent6 2 2 4 3 2" xfId="8295"/>
    <cellStyle name="40% - Accent6 2 2 4 4" xfId="8296"/>
    <cellStyle name="40% - Accent6 2 2 5" xfId="8297"/>
    <cellStyle name="40% - Accent6 2 2 5 2" xfId="8298"/>
    <cellStyle name="40% - Accent6 2 2 5 2 2" xfId="8299"/>
    <cellStyle name="40% - Accent6 2 2 5 2 2 2" xfId="8300"/>
    <cellStyle name="40% - Accent6 2 2 5 2 3" xfId="8301"/>
    <cellStyle name="40% - Accent6 2 2 5 3" xfId="8302"/>
    <cellStyle name="40% - Accent6 2 2 5 3 2" xfId="8303"/>
    <cellStyle name="40% - Accent6 2 2 5 4" xfId="8304"/>
    <cellStyle name="40% - Accent6 2 2 6" xfId="8305"/>
    <cellStyle name="40% - Accent6 2 2 6 2" xfId="8306"/>
    <cellStyle name="40% - Accent6 2 2 7" xfId="8307"/>
    <cellStyle name="40% - Accent6 2 2 7 2" xfId="8308"/>
    <cellStyle name="40% - Accent6 2 2 7 2 2" xfId="8309"/>
    <cellStyle name="40% - Accent6 2 2 7 3" xfId="8310"/>
    <cellStyle name="40% - Accent6 2 2 8" xfId="8311"/>
    <cellStyle name="40% - Accent6 2 2 8 2" xfId="8312"/>
    <cellStyle name="40% - Accent6 2 2 9" xfId="8313"/>
    <cellStyle name="40% - Accent6 2 2 9 2" xfId="8314"/>
    <cellStyle name="40% - Accent6 2 3" xfId="223"/>
    <cellStyle name="40% - Accent6 2 3 10" xfId="8315"/>
    <cellStyle name="40% - Accent6 2 3 11" xfId="15656"/>
    <cellStyle name="40% - Accent6 2 3 11 2" xfId="20528"/>
    <cellStyle name="40% - Accent6 2 3 11 2 2" xfId="30242"/>
    <cellStyle name="40% - Accent6 2 3 11 2 2 2" xfId="49995"/>
    <cellStyle name="40% - Accent6 2 3 11 2 3" xfId="40351"/>
    <cellStyle name="40% - Accent6 2 3 11 3" xfId="25430"/>
    <cellStyle name="40% - Accent6 2 3 11 3 2" xfId="45184"/>
    <cellStyle name="40% - Accent6 2 3 11 4" xfId="35540"/>
    <cellStyle name="40% - Accent6 2 3 12" xfId="15986"/>
    <cellStyle name="40% - Accent6 2 3 12 2" xfId="25702"/>
    <cellStyle name="40% - Accent6 2 3 12 2 2" xfId="45456"/>
    <cellStyle name="40% - Accent6 2 3 12 3" xfId="35812"/>
    <cellStyle name="40% - Accent6 2 3 13" xfId="20867"/>
    <cellStyle name="40% - Accent6 2 3 13 2" xfId="40647"/>
    <cellStyle name="40% - Accent6 2 3 14" xfId="30663"/>
    <cellStyle name="40% - Accent6 2 3 14 2" xfId="50411"/>
    <cellStyle name="40% - Accent6 2 3 15" xfId="30978"/>
    <cellStyle name="40% - Accent6 2 3 2" xfId="1038"/>
    <cellStyle name="40% - Accent6 2 3 2 10" xfId="31401"/>
    <cellStyle name="40% - Accent6 2 3 2 2" xfId="8316"/>
    <cellStyle name="40% - Accent6 2 3 2 2 2" xfId="8317"/>
    <cellStyle name="40% - Accent6 2 3 2 2 2 2" xfId="8318"/>
    <cellStyle name="40% - Accent6 2 3 2 2 2 2 2" xfId="8319"/>
    <cellStyle name="40% - Accent6 2 3 2 2 2 3" xfId="8320"/>
    <cellStyle name="40% - Accent6 2 3 2 2 3" xfId="8321"/>
    <cellStyle name="40% - Accent6 2 3 2 2 3 2" xfId="8322"/>
    <cellStyle name="40% - Accent6 2 3 2 2 4" xfId="8323"/>
    <cellStyle name="40% - Accent6 2 3 2 3" xfId="8324"/>
    <cellStyle name="40% - Accent6 2 3 2 3 2" xfId="8325"/>
    <cellStyle name="40% - Accent6 2 3 2 3 2 2" xfId="8326"/>
    <cellStyle name="40% - Accent6 2 3 2 3 3" xfId="8327"/>
    <cellStyle name="40% - Accent6 2 3 2 4" xfId="8328"/>
    <cellStyle name="40% - Accent6 2 3 2 4 2" xfId="8329"/>
    <cellStyle name="40% - Accent6 2 3 2 5" xfId="8330"/>
    <cellStyle name="40% - Accent6 2 3 2 6" xfId="8331"/>
    <cellStyle name="40% - Accent6 2 3 2 7" xfId="8332"/>
    <cellStyle name="40% - Accent6 2 3 2 8" xfId="16384"/>
    <cellStyle name="40% - Accent6 2 3 2 8 2" xfId="26100"/>
    <cellStyle name="40% - Accent6 2 3 2 8 2 2" xfId="45854"/>
    <cellStyle name="40% - Accent6 2 3 2 8 3" xfId="36210"/>
    <cellStyle name="40% - Accent6 2 3 2 9" xfId="21290"/>
    <cellStyle name="40% - Accent6 2 3 2 9 2" xfId="41045"/>
    <cellStyle name="40% - Accent6 2 3 3" xfId="8333"/>
    <cellStyle name="40% - Accent6 2 3 3 2" xfId="8334"/>
    <cellStyle name="40% - Accent6 2 3 3 2 2" xfId="8335"/>
    <cellStyle name="40% - Accent6 2 3 3 2 2 2" xfId="8336"/>
    <cellStyle name="40% - Accent6 2 3 3 2 3" xfId="8337"/>
    <cellStyle name="40% - Accent6 2 3 3 3" xfId="8338"/>
    <cellStyle name="40% - Accent6 2 3 3 3 2" xfId="8339"/>
    <cellStyle name="40% - Accent6 2 3 3 4" xfId="8340"/>
    <cellStyle name="40% - Accent6 2 3 4" xfId="8341"/>
    <cellStyle name="40% - Accent6 2 3 4 2" xfId="8342"/>
    <cellStyle name="40% - Accent6 2 3 4 2 2" xfId="8343"/>
    <cellStyle name="40% - Accent6 2 3 4 2 2 2" xfId="8344"/>
    <cellStyle name="40% - Accent6 2 3 4 2 3" xfId="8345"/>
    <cellStyle name="40% - Accent6 2 3 4 3" xfId="8346"/>
    <cellStyle name="40% - Accent6 2 3 4 3 2" xfId="8347"/>
    <cellStyle name="40% - Accent6 2 3 4 4" xfId="8348"/>
    <cellStyle name="40% - Accent6 2 3 5" xfId="8349"/>
    <cellStyle name="40% - Accent6 2 3 5 2" xfId="8350"/>
    <cellStyle name="40% - Accent6 2 3 5 2 2" xfId="8351"/>
    <cellStyle name="40% - Accent6 2 3 5 3" xfId="8352"/>
    <cellStyle name="40% - Accent6 2 3 6" xfId="8353"/>
    <cellStyle name="40% - Accent6 2 3 6 2" xfId="8354"/>
    <cellStyle name="40% - Accent6 2 3 7" xfId="8355"/>
    <cellStyle name="40% - Accent6 2 3 7 2" xfId="8356"/>
    <cellStyle name="40% - Accent6 2 3 8" xfId="8357"/>
    <cellStyle name="40% - Accent6 2 3 9" xfId="8358"/>
    <cellStyle name="40% - Accent6 2 4" xfId="8359"/>
    <cellStyle name="40% - Accent6 2 4 2" xfId="8360"/>
    <cellStyle name="40% - Accent6 2 4 2 2" xfId="8361"/>
    <cellStyle name="40% - Accent6 2 4 2 2 2" xfId="8362"/>
    <cellStyle name="40% - Accent6 2 4 2 2 2 2" xfId="8363"/>
    <cellStyle name="40% - Accent6 2 4 2 2 3" xfId="8364"/>
    <cellStyle name="40% - Accent6 2 4 2 3" xfId="8365"/>
    <cellStyle name="40% - Accent6 2 4 2 3 2" xfId="8366"/>
    <cellStyle name="40% - Accent6 2 4 2 4" xfId="8367"/>
    <cellStyle name="40% - Accent6 2 4 3" xfId="8368"/>
    <cellStyle name="40% - Accent6 2 4 3 2" xfId="8369"/>
    <cellStyle name="40% - Accent6 2 4 3 2 2" xfId="8370"/>
    <cellStyle name="40% - Accent6 2 4 3 3" xfId="8371"/>
    <cellStyle name="40% - Accent6 2 4 4" xfId="8372"/>
    <cellStyle name="40% - Accent6 2 4 4 2" xfId="8373"/>
    <cellStyle name="40% - Accent6 2 4 5" xfId="8374"/>
    <cellStyle name="40% - Accent6 2 4 6" xfId="8375"/>
    <cellStyle name="40% - Accent6 2 4 7" xfId="8376"/>
    <cellStyle name="40% - Accent6 2 5" xfId="8377"/>
    <cellStyle name="40% - Accent6 2 5 2" xfId="8378"/>
    <cellStyle name="40% - Accent6 2 5 2 2" xfId="8379"/>
    <cellStyle name="40% - Accent6 2 5 2 2 2" xfId="8380"/>
    <cellStyle name="40% - Accent6 2 5 2 3" xfId="8381"/>
    <cellStyle name="40% - Accent6 2 5 3" xfId="8382"/>
    <cellStyle name="40% - Accent6 2 5 3 2" xfId="8383"/>
    <cellStyle name="40% - Accent6 2 5 4" xfId="8384"/>
    <cellStyle name="40% - Accent6 2 6" xfId="8385"/>
    <cellStyle name="40% - Accent6 2 6 2" xfId="8386"/>
    <cellStyle name="40% - Accent6 2 6 2 2" xfId="8387"/>
    <cellStyle name="40% - Accent6 2 6 2 2 2" xfId="8388"/>
    <cellStyle name="40% - Accent6 2 6 2 3" xfId="8389"/>
    <cellStyle name="40% - Accent6 2 6 3" xfId="8390"/>
    <cellStyle name="40% - Accent6 2 6 3 2" xfId="8391"/>
    <cellStyle name="40% - Accent6 2 6 4" xfId="8392"/>
    <cellStyle name="40% - Accent6 2 7" xfId="8393"/>
    <cellStyle name="40% - Accent6 2 7 2" xfId="8394"/>
    <cellStyle name="40% - Accent6 2 8" xfId="8395"/>
    <cellStyle name="40% - Accent6 2 8 2" xfId="8396"/>
    <cellStyle name="40% - Accent6 2 8 2 2" xfId="8397"/>
    <cellStyle name="40% - Accent6 2 8 3" xfId="8398"/>
    <cellStyle name="40% - Accent6 2 9" xfId="8399"/>
    <cellStyle name="40% - Accent6 2 9 2" xfId="8400"/>
    <cellStyle name="40% - Accent6 20" xfId="20864"/>
    <cellStyle name="40% - Accent6 20 2" xfId="40644"/>
    <cellStyle name="40% - Accent6 21" xfId="30368"/>
    <cellStyle name="40% - Accent6 21 2" xfId="50117"/>
    <cellStyle name="40% - Accent6 22" xfId="30778"/>
    <cellStyle name="40% - Accent6 22 2" xfId="50517"/>
    <cellStyle name="40% - Accent6 23" xfId="30975"/>
    <cellStyle name="40% - Accent6 24" xfId="30792"/>
    <cellStyle name="40% - Accent6 25" xfId="50533"/>
    <cellStyle name="40% - Accent6 3" xfId="224"/>
    <cellStyle name="40% - Accent6 3 10" xfId="8401"/>
    <cellStyle name="40% - Accent6 3 10 2" xfId="8402"/>
    <cellStyle name="40% - Accent6 3 11" xfId="8403"/>
    <cellStyle name="40% - Accent6 3 12" xfId="8404"/>
    <cellStyle name="40% - Accent6 3 13" xfId="8405"/>
    <cellStyle name="40% - Accent6 3 2" xfId="8406"/>
    <cellStyle name="40% - Accent6 3 2 10" xfId="8407"/>
    <cellStyle name="40% - Accent6 3 2 11" xfId="8408"/>
    <cellStyle name="40% - Accent6 3 2 2" xfId="8409"/>
    <cellStyle name="40% - Accent6 3 2 2 10" xfId="8410"/>
    <cellStyle name="40% - Accent6 3 2 2 2" xfId="8411"/>
    <cellStyle name="40% - Accent6 3 2 2 2 2" xfId="8412"/>
    <cellStyle name="40% - Accent6 3 2 2 2 2 2" xfId="8413"/>
    <cellStyle name="40% - Accent6 3 2 2 2 2 2 2" xfId="8414"/>
    <cellStyle name="40% - Accent6 3 2 2 2 2 2 2 2" xfId="8415"/>
    <cellStyle name="40% - Accent6 3 2 2 2 2 2 3" xfId="8416"/>
    <cellStyle name="40% - Accent6 3 2 2 2 2 3" xfId="8417"/>
    <cellStyle name="40% - Accent6 3 2 2 2 2 3 2" xfId="8418"/>
    <cellStyle name="40% - Accent6 3 2 2 2 2 4" xfId="8419"/>
    <cellStyle name="40% - Accent6 3 2 2 2 3" xfId="8420"/>
    <cellStyle name="40% - Accent6 3 2 2 2 3 2" xfId="8421"/>
    <cellStyle name="40% - Accent6 3 2 2 2 3 2 2" xfId="8422"/>
    <cellStyle name="40% - Accent6 3 2 2 2 3 3" xfId="8423"/>
    <cellStyle name="40% - Accent6 3 2 2 2 4" xfId="8424"/>
    <cellStyle name="40% - Accent6 3 2 2 2 4 2" xfId="8425"/>
    <cellStyle name="40% - Accent6 3 2 2 2 5" xfId="8426"/>
    <cellStyle name="40% - Accent6 3 2 2 2 6" xfId="8427"/>
    <cellStyle name="40% - Accent6 3 2 2 2 7" xfId="8428"/>
    <cellStyle name="40% - Accent6 3 2 2 3" xfId="8429"/>
    <cellStyle name="40% - Accent6 3 2 2 3 2" xfId="8430"/>
    <cellStyle name="40% - Accent6 3 2 2 3 2 2" xfId="8431"/>
    <cellStyle name="40% - Accent6 3 2 2 3 2 2 2" xfId="8432"/>
    <cellStyle name="40% - Accent6 3 2 2 3 2 3" xfId="8433"/>
    <cellStyle name="40% - Accent6 3 2 2 3 3" xfId="8434"/>
    <cellStyle name="40% - Accent6 3 2 2 3 3 2" xfId="8435"/>
    <cellStyle name="40% - Accent6 3 2 2 3 4" xfId="8436"/>
    <cellStyle name="40% - Accent6 3 2 2 4" xfId="8437"/>
    <cellStyle name="40% - Accent6 3 2 2 4 2" xfId="8438"/>
    <cellStyle name="40% - Accent6 3 2 2 4 2 2" xfId="8439"/>
    <cellStyle name="40% - Accent6 3 2 2 4 2 2 2" xfId="8440"/>
    <cellStyle name="40% - Accent6 3 2 2 4 2 3" xfId="8441"/>
    <cellStyle name="40% - Accent6 3 2 2 4 3" xfId="8442"/>
    <cellStyle name="40% - Accent6 3 2 2 4 3 2" xfId="8443"/>
    <cellStyle name="40% - Accent6 3 2 2 4 4" xfId="8444"/>
    <cellStyle name="40% - Accent6 3 2 2 5" xfId="8445"/>
    <cellStyle name="40% - Accent6 3 2 2 5 2" xfId="8446"/>
    <cellStyle name="40% - Accent6 3 2 2 5 2 2" xfId="8447"/>
    <cellStyle name="40% - Accent6 3 2 2 5 3" xfId="8448"/>
    <cellStyle name="40% - Accent6 3 2 2 6" xfId="8449"/>
    <cellStyle name="40% - Accent6 3 2 2 6 2" xfId="8450"/>
    <cellStyle name="40% - Accent6 3 2 2 7" xfId="8451"/>
    <cellStyle name="40% - Accent6 3 2 2 7 2" xfId="8452"/>
    <cellStyle name="40% - Accent6 3 2 2 8" xfId="8453"/>
    <cellStyle name="40% - Accent6 3 2 2 9" xfId="8454"/>
    <cellStyle name="40% - Accent6 3 2 3" xfId="8455"/>
    <cellStyle name="40% - Accent6 3 2 3 2" xfId="8456"/>
    <cellStyle name="40% - Accent6 3 2 3 2 2" xfId="8457"/>
    <cellStyle name="40% - Accent6 3 2 3 2 2 2" xfId="8458"/>
    <cellStyle name="40% - Accent6 3 2 3 2 2 2 2" xfId="8459"/>
    <cellStyle name="40% - Accent6 3 2 3 2 2 3" xfId="8460"/>
    <cellStyle name="40% - Accent6 3 2 3 2 3" xfId="8461"/>
    <cellStyle name="40% - Accent6 3 2 3 2 3 2" xfId="8462"/>
    <cellStyle name="40% - Accent6 3 2 3 2 4" xfId="8463"/>
    <cellStyle name="40% - Accent6 3 2 3 3" xfId="8464"/>
    <cellStyle name="40% - Accent6 3 2 3 3 2" xfId="8465"/>
    <cellStyle name="40% - Accent6 3 2 3 3 2 2" xfId="8466"/>
    <cellStyle name="40% - Accent6 3 2 3 3 3" xfId="8467"/>
    <cellStyle name="40% - Accent6 3 2 3 4" xfId="8468"/>
    <cellStyle name="40% - Accent6 3 2 3 4 2" xfId="8469"/>
    <cellStyle name="40% - Accent6 3 2 3 5" xfId="8470"/>
    <cellStyle name="40% - Accent6 3 2 3 6" xfId="8471"/>
    <cellStyle name="40% - Accent6 3 2 3 7" xfId="8472"/>
    <cellStyle name="40% - Accent6 3 2 4" xfId="8473"/>
    <cellStyle name="40% - Accent6 3 2 4 2" xfId="8474"/>
    <cellStyle name="40% - Accent6 3 2 4 2 2" xfId="8475"/>
    <cellStyle name="40% - Accent6 3 2 4 2 2 2" xfId="8476"/>
    <cellStyle name="40% - Accent6 3 2 4 2 3" xfId="8477"/>
    <cellStyle name="40% - Accent6 3 2 4 3" xfId="8478"/>
    <cellStyle name="40% - Accent6 3 2 4 3 2" xfId="8479"/>
    <cellStyle name="40% - Accent6 3 2 4 4" xfId="8480"/>
    <cellStyle name="40% - Accent6 3 2 5" xfId="8481"/>
    <cellStyle name="40% - Accent6 3 2 5 2" xfId="8482"/>
    <cellStyle name="40% - Accent6 3 2 5 2 2" xfId="8483"/>
    <cellStyle name="40% - Accent6 3 2 5 2 2 2" xfId="8484"/>
    <cellStyle name="40% - Accent6 3 2 5 2 3" xfId="8485"/>
    <cellStyle name="40% - Accent6 3 2 5 3" xfId="8486"/>
    <cellStyle name="40% - Accent6 3 2 5 3 2" xfId="8487"/>
    <cellStyle name="40% - Accent6 3 2 5 4" xfId="8488"/>
    <cellStyle name="40% - Accent6 3 2 6" xfId="8489"/>
    <cellStyle name="40% - Accent6 3 2 6 2" xfId="8490"/>
    <cellStyle name="40% - Accent6 3 2 6 2 2" xfId="8491"/>
    <cellStyle name="40% - Accent6 3 2 6 3" xfId="8492"/>
    <cellStyle name="40% - Accent6 3 2 7" xfId="8493"/>
    <cellStyle name="40% - Accent6 3 2 7 2" xfId="8494"/>
    <cellStyle name="40% - Accent6 3 2 8" xfId="8495"/>
    <cellStyle name="40% - Accent6 3 2 8 2" xfId="8496"/>
    <cellStyle name="40% - Accent6 3 2 9" xfId="8497"/>
    <cellStyle name="40% - Accent6 3 3" xfId="8498"/>
    <cellStyle name="40% - Accent6 3 3 10" xfId="8499"/>
    <cellStyle name="40% - Accent6 3 3 2" xfId="8500"/>
    <cellStyle name="40% - Accent6 3 3 2 2" xfId="8501"/>
    <cellStyle name="40% - Accent6 3 3 2 2 2" xfId="8502"/>
    <cellStyle name="40% - Accent6 3 3 2 2 2 2" xfId="8503"/>
    <cellStyle name="40% - Accent6 3 3 2 2 2 2 2" xfId="8504"/>
    <cellStyle name="40% - Accent6 3 3 2 2 2 3" xfId="8505"/>
    <cellStyle name="40% - Accent6 3 3 2 2 3" xfId="8506"/>
    <cellStyle name="40% - Accent6 3 3 2 2 3 2" xfId="8507"/>
    <cellStyle name="40% - Accent6 3 3 2 2 4" xfId="8508"/>
    <cellStyle name="40% - Accent6 3 3 2 3" xfId="8509"/>
    <cellStyle name="40% - Accent6 3 3 2 3 2" xfId="8510"/>
    <cellStyle name="40% - Accent6 3 3 2 3 2 2" xfId="8511"/>
    <cellStyle name="40% - Accent6 3 3 2 3 3" xfId="8512"/>
    <cellStyle name="40% - Accent6 3 3 2 4" xfId="8513"/>
    <cellStyle name="40% - Accent6 3 3 2 4 2" xfId="8514"/>
    <cellStyle name="40% - Accent6 3 3 2 5" xfId="8515"/>
    <cellStyle name="40% - Accent6 3 3 2 6" xfId="8516"/>
    <cellStyle name="40% - Accent6 3 3 2 7" xfId="8517"/>
    <cellStyle name="40% - Accent6 3 3 3" xfId="8518"/>
    <cellStyle name="40% - Accent6 3 3 3 2" xfId="8519"/>
    <cellStyle name="40% - Accent6 3 3 3 2 2" xfId="8520"/>
    <cellStyle name="40% - Accent6 3 3 3 2 2 2" xfId="8521"/>
    <cellStyle name="40% - Accent6 3 3 3 2 3" xfId="8522"/>
    <cellStyle name="40% - Accent6 3 3 3 3" xfId="8523"/>
    <cellStyle name="40% - Accent6 3 3 3 3 2" xfId="8524"/>
    <cellStyle name="40% - Accent6 3 3 3 4" xfId="8525"/>
    <cellStyle name="40% - Accent6 3 3 4" xfId="8526"/>
    <cellStyle name="40% - Accent6 3 3 4 2" xfId="8527"/>
    <cellStyle name="40% - Accent6 3 3 4 2 2" xfId="8528"/>
    <cellStyle name="40% - Accent6 3 3 4 2 2 2" xfId="8529"/>
    <cellStyle name="40% - Accent6 3 3 4 2 3" xfId="8530"/>
    <cellStyle name="40% - Accent6 3 3 4 3" xfId="8531"/>
    <cellStyle name="40% - Accent6 3 3 4 3 2" xfId="8532"/>
    <cellStyle name="40% - Accent6 3 3 4 4" xfId="8533"/>
    <cellStyle name="40% - Accent6 3 3 5" xfId="8534"/>
    <cellStyle name="40% - Accent6 3 3 5 2" xfId="8535"/>
    <cellStyle name="40% - Accent6 3 3 5 2 2" xfId="8536"/>
    <cellStyle name="40% - Accent6 3 3 5 3" xfId="8537"/>
    <cellStyle name="40% - Accent6 3 3 6" xfId="8538"/>
    <cellStyle name="40% - Accent6 3 3 6 2" xfId="8539"/>
    <cellStyle name="40% - Accent6 3 3 7" xfId="8540"/>
    <cellStyle name="40% - Accent6 3 3 7 2" xfId="8541"/>
    <cellStyle name="40% - Accent6 3 3 8" xfId="8542"/>
    <cellStyle name="40% - Accent6 3 3 9" xfId="8543"/>
    <cellStyle name="40% - Accent6 3 4" xfId="8544"/>
    <cellStyle name="40% - Accent6 3 4 2" xfId="8545"/>
    <cellStyle name="40% - Accent6 3 4 2 2" xfId="8546"/>
    <cellStyle name="40% - Accent6 3 4 2 2 2" xfId="8547"/>
    <cellStyle name="40% - Accent6 3 4 2 2 2 2" xfId="8548"/>
    <cellStyle name="40% - Accent6 3 4 2 2 3" xfId="8549"/>
    <cellStyle name="40% - Accent6 3 4 2 3" xfId="8550"/>
    <cellStyle name="40% - Accent6 3 4 2 3 2" xfId="8551"/>
    <cellStyle name="40% - Accent6 3 4 2 4" xfId="8552"/>
    <cellStyle name="40% - Accent6 3 4 3" xfId="8553"/>
    <cellStyle name="40% - Accent6 3 4 3 2" xfId="8554"/>
    <cellStyle name="40% - Accent6 3 4 3 2 2" xfId="8555"/>
    <cellStyle name="40% - Accent6 3 4 3 3" xfId="8556"/>
    <cellStyle name="40% - Accent6 3 4 4" xfId="8557"/>
    <cellStyle name="40% - Accent6 3 4 4 2" xfId="8558"/>
    <cellStyle name="40% - Accent6 3 4 5" xfId="8559"/>
    <cellStyle name="40% - Accent6 3 4 6" xfId="8560"/>
    <cellStyle name="40% - Accent6 3 4 7" xfId="8561"/>
    <cellStyle name="40% - Accent6 3 5" xfId="8562"/>
    <cellStyle name="40% - Accent6 3 5 2" xfId="8563"/>
    <cellStyle name="40% - Accent6 3 5 2 2" xfId="8564"/>
    <cellStyle name="40% - Accent6 3 5 2 2 2" xfId="8565"/>
    <cellStyle name="40% - Accent6 3 5 2 3" xfId="8566"/>
    <cellStyle name="40% - Accent6 3 5 3" xfId="8567"/>
    <cellStyle name="40% - Accent6 3 5 3 2" xfId="8568"/>
    <cellStyle name="40% - Accent6 3 5 4" xfId="8569"/>
    <cellStyle name="40% - Accent6 3 6" xfId="8570"/>
    <cellStyle name="40% - Accent6 3 6 2" xfId="8571"/>
    <cellStyle name="40% - Accent6 3 6 2 2" xfId="8572"/>
    <cellStyle name="40% - Accent6 3 6 2 2 2" xfId="8573"/>
    <cellStyle name="40% - Accent6 3 6 2 3" xfId="8574"/>
    <cellStyle name="40% - Accent6 3 6 3" xfId="8575"/>
    <cellStyle name="40% - Accent6 3 6 3 2" xfId="8576"/>
    <cellStyle name="40% - Accent6 3 6 4" xfId="8577"/>
    <cellStyle name="40% - Accent6 3 7" xfId="8578"/>
    <cellStyle name="40% - Accent6 3 7 2" xfId="8579"/>
    <cellStyle name="40% - Accent6 3 8" xfId="8580"/>
    <cellStyle name="40% - Accent6 3 8 2" xfId="8581"/>
    <cellStyle name="40% - Accent6 3 8 2 2" xfId="8582"/>
    <cellStyle name="40% - Accent6 3 8 3" xfId="8583"/>
    <cellStyle name="40% - Accent6 3 9" xfId="8584"/>
    <cellStyle name="40% - Accent6 3 9 2" xfId="8585"/>
    <cellStyle name="40% - Accent6 4" xfId="225"/>
    <cellStyle name="40% - Accent6 4 10" xfId="8586"/>
    <cellStyle name="40% - Accent6 4 11" xfId="8587"/>
    <cellStyle name="40% - Accent6 4 12" xfId="8588"/>
    <cellStyle name="40% - Accent6 4 13" xfId="15657"/>
    <cellStyle name="40% - Accent6 4 13 2" xfId="20529"/>
    <cellStyle name="40% - Accent6 4 13 2 2" xfId="30243"/>
    <cellStyle name="40% - Accent6 4 13 2 2 2" xfId="49996"/>
    <cellStyle name="40% - Accent6 4 13 2 3" xfId="40352"/>
    <cellStyle name="40% - Accent6 4 13 3" xfId="25431"/>
    <cellStyle name="40% - Accent6 4 13 3 2" xfId="45185"/>
    <cellStyle name="40% - Accent6 4 13 4" xfId="35541"/>
    <cellStyle name="40% - Accent6 4 14" xfId="15987"/>
    <cellStyle name="40% - Accent6 4 14 2" xfId="25703"/>
    <cellStyle name="40% - Accent6 4 14 2 2" xfId="45457"/>
    <cellStyle name="40% - Accent6 4 14 3" xfId="35813"/>
    <cellStyle name="40% - Accent6 4 15" xfId="20868"/>
    <cellStyle name="40% - Accent6 4 15 2" xfId="40648"/>
    <cellStyle name="40% - Accent6 4 16" xfId="30664"/>
    <cellStyle name="40% - Accent6 4 16 2" xfId="50412"/>
    <cellStyle name="40% - Accent6 4 17" xfId="30979"/>
    <cellStyle name="40% - Accent6 4 2" xfId="226"/>
    <cellStyle name="40% - Accent6 4 2 10" xfId="8589"/>
    <cellStyle name="40% - Accent6 4 2 11" xfId="8590"/>
    <cellStyle name="40% - Accent6 4 2 12" xfId="15658"/>
    <cellStyle name="40% - Accent6 4 2 12 2" xfId="20530"/>
    <cellStyle name="40% - Accent6 4 2 12 2 2" xfId="30244"/>
    <cellStyle name="40% - Accent6 4 2 12 2 2 2" xfId="49997"/>
    <cellStyle name="40% - Accent6 4 2 12 2 3" xfId="40353"/>
    <cellStyle name="40% - Accent6 4 2 12 3" xfId="25432"/>
    <cellStyle name="40% - Accent6 4 2 12 3 2" xfId="45186"/>
    <cellStyle name="40% - Accent6 4 2 12 4" xfId="35542"/>
    <cellStyle name="40% - Accent6 4 2 13" xfId="15988"/>
    <cellStyle name="40% - Accent6 4 2 13 2" xfId="25704"/>
    <cellStyle name="40% - Accent6 4 2 13 2 2" xfId="45458"/>
    <cellStyle name="40% - Accent6 4 2 13 3" xfId="35814"/>
    <cellStyle name="40% - Accent6 4 2 14" xfId="20869"/>
    <cellStyle name="40% - Accent6 4 2 14 2" xfId="40649"/>
    <cellStyle name="40% - Accent6 4 2 15" xfId="30665"/>
    <cellStyle name="40% - Accent6 4 2 15 2" xfId="50413"/>
    <cellStyle name="40% - Accent6 4 2 16" xfId="30980"/>
    <cellStyle name="40% - Accent6 4 2 2" xfId="227"/>
    <cellStyle name="40% - Accent6 4 2 2 10" xfId="15659"/>
    <cellStyle name="40% - Accent6 4 2 2 10 2" xfId="20531"/>
    <cellStyle name="40% - Accent6 4 2 2 10 2 2" xfId="30245"/>
    <cellStyle name="40% - Accent6 4 2 2 10 2 2 2" xfId="49998"/>
    <cellStyle name="40% - Accent6 4 2 2 10 2 3" xfId="40354"/>
    <cellStyle name="40% - Accent6 4 2 2 10 3" xfId="25433"/>
    <cellStyle name="40% - Accent6 4 2 2 10 3 2" xfId="45187"/>
    <cellStyle name="40% - Accent6 4 2 2 10 4" xfId="35543"/>
    <cellStyle name="40% - Accent6 4 2 2 11" xfId="15989"/>
    <cellStyle name="40% - Accent6 4 2 2 11 2" xfId="25705"/>
    <cellStyle name="40% - Accent6 4 2 2 11 2 2" xfId="45459"/>
    <cellStyle name="40% - Accent6 4 2 2 11 3" xfId="35815"/>
    <cellStyle name="40% - Accent6 4 2 2 12" xfId="20870"/>
    <cellStyle name="40% - Accent6 4 2 2 12 2" xfId="40650"/>
    <cellStyle name="40% - Accent6 4 2 2 13" xfId="30666"/>
    <cellStyle name="40% - Accent6 4 2 2 13 2" xfId="50414"/>
    <cellStyle name="40% - Accent6 4 2 2 14" xfId="30981"/>
    <cellStyle name="40% - Accent6 4 2 2 2" xfId="1039"/>
    <cellStyle name="40% - Accent6 4 2 2 2 2" xfId="8591"/>
    <cellStyle name="40% - Accent6 4 2 2 2 2 2" xfId="8592"/>
    <cellStyle name="40% - Accent6 4 2 2 2 2 2 2" xfId="8593"/>
    <cellStyle name="40% - Accent6 4 2 2 2 2 3" xfId="8594"/>
    <cellStyle name="40% - Accent6 4 2 2 2 3" xfId="8595"/>
    <cellStyle name="40% - Accent6 4 2 2 2 3 2" xfId="8596"/>
    <cellStyle name="40% - Accent6 4 2 2 2 4" xfId="8597"/>
    <cellStyle name="40% - Accent6 4 2 2 2 5" xfId="15660"/>
    <cellStyle name="40% - Accent6 4 2 2 2 5 2" xfId="20532"/>
    <cellStyle name="40% - Accent6 4 2 2 2 5 2 2" xfId="30246"/>
    <cellStyle name="40% - Accent6 4 2 2 2 5 2 2 2" xfId="49999"/>
    <cellStyle name="40% - Accent6 4 2 2 2 5 2 3" xfId="40355"/>
    <cellStyle name="40% - Accent6 4 2 2 2 5 3" xfId="25434"/>
    <cellStyle name="40% - Accent6 4 2 2 2 5 3 2" xfId="45188"/>
    <cellStyle name="40% - Accent6 4 2 2 2 5 4" xfId="35544"/>
    <cellStyle name="40% - Accent6 4 2 2 2 6" xfId="16385"/>
    <cellStyle name="40% - Accent6 4 2 2 2 6 2" xfId="26101"/>
    <cellStyle name="40% - Accent6 4 2 2 2 6 2 2" xfId="45855"/>
    <cellStyle name="40% - Accent6 4 2 2 2 6 3" xfId="36211"/>
    <cellStyle name="40% - Accent6 4 2 2 2 7" xfId="21291"/>
    <cellStyle name="40% - Accent6 4 2 2 2 7 2" xfId="41046"/>
    <cellStyle name="40% - Accent6 4 2 2 2 8" xfId="30667"/>
    <cellStyle name="40% - Accent6 4 2 2 2 8 2" xfId="50415"/>
    <cellStyle name="40% - Accent6 4 2 2 2 9" xfId="31402"/>
    <cellStyle name="40% - Accent6 4 2 2 3" xfId="1040"/>
    <cellStyle name="40% - Accent6 4 2 2 3 2" xfId="8598"/>
    <cellStyle name="40% - Accent6 4 2 2 3 2 2" xfId="8599"/>
    <cellStyle name="40% - Accent6 4 2 2 3 2 2 2" xfId="8600"/>
    <cellStyle name="40% - Accent6 4 2 2 3 2 3" xfId="8601"/>
    <cellStyle name="40% - Accent6 4 2 2 3 3" xfId="8602"/>
    <cellStyle name="40% - Accent6 4 2 2 3 3 2" xfId="8603"/>
    <cellStyle name="40% - Accent6 4 2 2 3 4" xfId="8604"/>
    <cellStyle name="40% - Accent6 4 2 2 3 5" xfId="16386"/>
    <cellStyle name="40% - Accent6 4 2 2 3 5 2" xfId="26102"/>
    <cellStyle name="40% - Accent6 4 2 2 3 5 2 2" xfId="45856"/>
    <cellStyle name="40% - Accent6 4 2 2 3 5 3" xfId="36212"/>
    <cellStyle name="40% - Accent6 4 2 2 3 6" xfId="21292"/>
    <cellStyle name="40% - Accent6 4 2 2 3 6 2" xfId="41047"/>
    <cellStyle name="40% - Accent6 4 2 2 3 7" xfId="31403"/>
    <cellStyle name="40% - Accent6 4 2 2 4" xfId="8605"/>
    <cellStyle name="40% - Accent6 4 2 2 4 2" xfId="8606"/>
    <cellStyle name="40% - Accent6 4 2 2 4 2 2" xfId="8607"/>
    <cellStyle name="40% - Accent6 4 2 2 4 2 2 2" xfId="8608"/>
    <cellStyle name="40% - Accent6 4 2 2 4 2 3" xfId="8609"/>
    <cellStyle name="40% - Accent6 4 2 2 4 3" xfId="8610"/>
    <cellStyle name="40% - Accent6 4 2 2 4 3 2" xfId="8611"/>
    <cellStyle name="40% - Accent6 4 2 2 4 4" xfId="8612"/>
    <cellStyle name="40% - Accent6 4 2 2 5" xfId="8613"/>
    <cellStyle name="40% - Accent6 4 2 2 5 2" xfId="8614"/>
    <cellStyle name="40% - Accent6 4 2 2 5 2 2" xfId="8615"/>
    <cellStyle name="40% - Accent6 4 2 2 5 3" xfId="8616"/>
    <cellStyle name="40% - Accent6 4 2 2 6" xfId="8617"/>
    <cellStyle name="40% - Accent6 4 2 2 6 2" xfId="8618"/>
    <cellStyle name="40% - Accent6 4 2 2 7" xfId="8619"/>
    <cellStyle name="40% - Accent6 4 2 2 8" xfId="8620"/>
    <cellStyle name="40% - Accent6 4 2 2 9" xfId="8621"/>
    <cellStyle name="40% - Accent6 4 2 3" xfId="1041"/>
    <cellStyle name="40% - Accent6 4 2 3 2" xfId="8622"/>
    <cellStyle name="40% - Accent6 4 2 3 2 2" xfId="8623"/>
    <cellStyle name="40% - Accent6 4 2 3 2 2 2" xfId="8624"/>
    <cellStyle name="40% - Accent6 4 2 3 2 3" xfId="8625"/>
    <cellStyle name="40% - Accent6 4 2 3 3" xfId="8626"/>
    <cellStyle name="40% - Accent6 4 2 3 3 2" xfId="8627"/>
    <cellStyle name="40% - Accent6 4 2 3 4" xfId="8628"/>
    <cellStyle name="40% - Accent6 4 2 3 5" xfId="15661"/>
    <cellStyle name="40% - Accent6 4 2 3 5 2" xfId="20533"/>
    <cellStyle name="40% - Accent6 4 2 3 5 2 2" xfId="30247"/>
    <cellStyle name="40% - Accent6 4 2 3 5 2 2 2" xfId="50000"/>
    <cellStyle name="40% - Accent6 4 2 3 5 2 3" xfId="40356"/>
    <cellStyle name="40% - Accent6 4 2 3 5 3" xfId="25435"/>
    <cellStyle name="40% - Accent6 4 2 3 5 3 2" xfId="45189"/>
    <cellStyle name="40% - Accent6 4 2 3 5 4" xfId="35545"/>
    <cellStyle name="40% - Accent6 4 2 3 6" xfId="16387"/>
    <cellStyle name="40% - Accent6 4 2 3 6 2" xfId="26103"/>
    <cellStyle name="40% - Accent6 4 2 3 6 2 2" xfId="45857"/>
    <cellStyle name="40% - Accent6 4 2 3 6 3" xfId="36213"/>
    <cellStyle name="40% - Accent6 4 2 3 7" xfId="21293"/>
    <cellStyle name="40% - Accent6 4 2 3 7 2" xfId="41048"/>
    <cellStyle name="40% - Accent6 4 2 3 8" xfId="30668"/>
    <cellStyle name="40% - Accent6 4 2 3 8 2" xfId="50416"/>
    <cellStyle name="40% - Accent6 4 2 3 9" xfId="31404"/>
    <cellStyle name="40% - Accent6 4 2 4" xfId="1042"/>
    <cellStyle name="40% - Accent6 4 2 4 2" xfId="8629"/>
    <cellStyle name="40% - Accent6 4 2 4 2 2" xfId="8630"/>
    <cellStyle name="40% - Accent6 4 2 4 2 2 2" xfId="8631"/>
    <cellStyle name="40% - Accent6 4 2 4 2 3" xfId="8632"/>
    <cellStyle name="40% - Accent6 4 2 4 3" xfId="8633"/>
    <cellStyle name="40% - Accent6 4 2 4 3 2" xfId="8634"/>
    <cellStyle name="40% - Accent6 4 2 4 4" xfId="8635"/>
    <cellStyle name="40% - Accent6 4 2 4 5" xfId="16388"/>
    <cellStyle name="40% - Accent6 4 2 4 5 2" xfId="26104"/>
    <cellStyle name="40% - Accent6 4 2 4 5 2 2" xfId="45858"/>
    <cellStyle name="40% - Accent6 4 2 4 5 3" xfId="36214"/>
    <cellStyle name="40% - Accent6 4 2 4 6" xfId="21294"/>
    <cellStyle name="40% - Accent6 4 2 4 6 2" xfId="41049"/>
    <cellStyle name="40% - Accent6 4 2 4 7" xfId="31405"/>
    <cellStyle name="40% - Accent6 4 2 5" xfId="8636"/>
    <cellStyle name="40% - Accent6 4 2 5 2" xfId="8637"/>
    <cellStyle name="40% - Accent6 4 2 5 2 2" xfId="8638"/>
    <cellStyle name="40% - Accent6 4 2 5 2 2 2" xfId="8639"/>
    <cellStyle name="40% - Accent6 4 2 5 2 3" xfId="8640"/>
    <cellStyle name="40% - Accent6 4 2 5 3" xfId="8641"/>
    <cellStyle name="40% - Accent6 4 2 5 3 2" xfId="8642"/>
    <cellStyle name="40% - Accent6 4 2 5 4" xfId="8643"/>
    <cellStyle name="40% - Accent6 4 2 6" xfId="8644"/>
    <cellStyle name="40% - Accent6 4 2 6 2" xfId="8645"/>
    <cellStyle name="40% - Accent6 4 2 6 2 2" xfId="8646"/>
    <cellStyle name="40% - Accent6 4 2 6 3" xfId="8647"/>
    <cellStyle name="40% - Accent6 4 2 7" xfId="8648"/>
    <cellStyle name="40% - Accent6 4 2 7 2" xfId="8649"/>
    <cellStyle name="40% - Accent6 4 2 8" xfId="8650"/>
    <cellStyle name="40% - Accent6 4 2 8 2" xfId="8651"/>
    <cellStyle name="40% - Accent6 4 2 9" xfId="8652"/>
    <cellStyle name="40% - Accent6 4 3" xfId="228"/>
    <cellStyle name="40% - Accent6 4 3 10" xfId="15662"/>
    <cellStyle name="40% - Accent6 4 3 10 2" xfId="20534"/>
    <cellStyle name="40% - Accent6 4 3 10 2 2" xfId="30248"/>
    <cellStyle name="40% - Accent6 4 3 10 2 2 2" xfId="50001"/>
    <cellStyle name="40% - Accent6 4 3 10 2 3" xfId="40357"/>
    <cellStyle name="40% - Accent6 4 3 10 3" xfId="25436"/>
    <cellStyle name="40% - Accent6 4 3 10 3 2" xfId="45190"/>
    <cellStyle name="40% - Accent6 4 3 10 4" xfId="35546"/>
    <cellStyle name="40% - Accent6 4 3 11" xfId="15990"/>
    <cellStyle name="40% - Accent6 4 3 11 2" xfId="25706"/>
    <cellStyle name="40% - Accent6 4 3 11 2 2" xfId="45460"/>
    <cellStyle name="40% - Accent6 4 3 11 3" xfId="35816"/>
    <cellStyle name="40% - Accent6 4 3 12" xfId="20871"/>
    <cellStyle name="40% - Accent6 4 3 12 2" xfId="40651"/>
    <cellStyle name="40% - Accent6 4 3 13" xfId="30669"/>
    <cellStyle name="40% - Accent6 4 3 13 2" xfId="50417"/>
    <cellStyle name="40% - Accent6 4 3 14" xfId="30982"/>
    <cellStyle name="40% - Accent6 4 3 2" xfId="1043"/>
    <cellStyle name="40% - Accent6 4 3 2 2" xfId="8653"/>
    <cellStyle name="40% - Accent6 4 3 2 2 2" xfId="8654"/>
    <cellStyle name="40% - Accent6 4 3 2 2 2 2" xfId="8655"/>
    <cellStyle name="40% - Accent6 4 3 2 2 3" xfId="8656"/>
    <cellStyle name="40% - Accent6 4 3 2 3" xfId="8657"/>
    <cellStyle name="40% - Accent6 4 3 2 3 2" xfId="8658"/>
    <cellStyle name="40% - Accent6 4 3 2 4" xfId="8659"/>
    <cellStyle name="40% - Accent6 4 3 2 5" xfId="15663"/>
    <cellStyle name="40% - Accent6 4 3 2 5 2" xfId="20535"/>
    <cellStyle name="40% - Accent6 4 3 2 5 2 2" xfId="30249"/>
    <cellStyle name="40% - Accent6 4 3 2 5 2 2 2" xfId="50002"/>
    <cellStyle name="40% - Accent6 4 3 2 5 2 3" xfId="40358"/>
    <cellStyle name="40% - Accent6 4 3 2 5 3" xfId="25437"/>
    <cellStyle name="40% - Accent6 4 3 2 5 3 2" xfId="45191"/>
    <cellStyle name="40% - Accent6 4 3 2 5 4" xfId="35547"/>
    <cellStyle name="40% - Accent6 4 3 2 6" xfId="16389"/>
    <cellStyle name="40% - Accent6 4 3 2 6 2" xfId="26105"/>
    <cellStyle name="40% - Accent6 4 3 2 6 2 2" xfId="45859"/>
    <cellStyle name="40% - Accent6 4 3 2 6 3" xfId="36215"/>
    <cellStyle name="40% - Accent6 4 3 2 7" xfId="21295"/>
    <cellStyle name="40% - Accent6 4 3 2 7 2" xfId="41050"/>
    <cellStyle name="40% - Accent6 4 3 2 8" xfId="30670"/>
    <cellStyle name="40% - Accent6 4 3 2 8 2" xfId="50418"/>
    <cellStyle name="40% - Accent6 4 3 2 9" xfId="31406"/>
    <cellStyle name="40% - Accent6 4 3 3" xfId="1044"/>
    <cellStyle name="40% - Accent6 4 3 3 2" xfId="8660"/>
    <cellStyle name="40% - Accent6 4 3 3 2 2" xfId="8661"/>
    <cellStyle name="40% - Accent6 4 3 3 2 2 2" xfId="8662"/>
    <cellStyle name="40% - Accent6 4 3 3 2 3" xfId="8663"/>
    <cellStyle name="40% - Accent6 4 3 3 3" xfId="8664"/>
    <cellStyle name="40% - Accent6 4 3 3 3 2" xfId="8665"/>
    <cellStyle name="40% - Accent6 4 3 3 4" xfId="8666"/>
    <cellStyle name="40% - Accent6 4 3 3 5" xfId="16390"/>
    <cellStyle name="40% - Accent6 4 3 3 5 2" xfId="26106"/>
    <cellStyle name="40% - Accent6 4 3 3 5 2 2" xfId="45860"/>
    <cellStyle name="40% - Accent6 4 3 3 5 3" xfId="36216"/>
    <cellStyle name="40% - Accent6 4 3 3 6" xfId="21296"/>
    <cellStyle name="40% - Accent6 4 3 3 6 2" xfId="41051"/>
    <cellStyle name="40% - Accent6 4 3 3 7" xfId="31407"/>
    <cellStyle name="40% - Accent6 4 3 4" xfId="8667"/>
    <cellStyle name="40% - Accent6 4 3 4 2" xfId="8668"/>
    <cellStyle name="40% - Accent6 4 3 4 2 2" xfId="8669"/>
    <cellStyle name="40% - Accent6 4 3 4 2 2 2" xfId="8670"/>
    <cellStyle name="40% - Accent6 4 3 4 2 3" xfId="8671"/>
    <cellStyle name="40% - Accent6 4 3 4 3" xfId="8672"/>
    <cellStyle name="40% - Accent6 4 3 4 3 2" xfId="8673"/>
    <cellStyle name="40% - Accent6 4 3 4 4" xfId="8674"/>
    <cellStyle name="40% - Accent6 4 3 5" xfId="8675"/>
    <cellStyle name="40% - Accent6 4 3 5 2" xfId="8676"/>
    <cellStyle name="40% - Accent6 4 3 5 2 2" xfId="8677"/>
    <cellStyle name="40% - Accent6 4 3 5 3" xfId="8678"/>
    <cellStyle name="40% - Accent6 4 3 6" xfId="8679"/>
    <cellStyle name="40% - Accent6 4 3 6 2" xfId="8680"/>
    <cellStyle name="40% - Accent6 4 3 7" xfId="8681"/>
    <cellStyle name="40% - Accent6 4 3 8" xfId="8682"/>
    <cellStyle name="40% - Accent6 4 3 9" xfId="8683"/>
    <cellStyle name="40% - Accent6 4 4" xfId="1045"/>
    <cellStyle name="40% - Accent6 4 4 2" xfId="8684"/>
    <cellStyle name="40% - Accent6 4 4 2 2" xfId="8685"/>
    <cellStyle name="40% - Accent6 4 4 2 2 2" xfId="8686"/>
    <cellStyle name="40% - Accent6 4 4 2 3" xfId="8687"/>
    <cellStyle name="40% - Accent6 4 4 3" xfId="8688"/>
    <cellStyle name="40% - Accent6 4 4 3 2" xfId="8689"/>
    <cellStyle name="40% - Accent6 4 4 4" xfId="8690"/>
    <cellStyle name="40% - Accent6 4 4 5" xfId="15664"/>
    <cellStyle name="40% - Accent6 4 4 5 2" xfId="20536"/>
    <cellStyle name="40% - Accent6 4 4 5 2 2" xfId="30250"/>
    <cellStyle name="40% - Accent6 4 4 5 2 2 2" xfId="50003"/>
    <cellStyle name="40% - Accent6 4 4 5 2 3" xfId="40359"/>
    <cellStyle name="40% - Accent6 4 4 5 3" xfId="25438"/>
    <cellStyle name="40% - Accent6 4 4 5 3 2" xfId="45192"/>
    <cellStyle name="40% - Accent6 4 4 5 4" xfId="35548"/>
    <cellStyle name="40% - Accent6 4 4 6" xfId="16391"/>
    <cellStyle name="40% - Accent6 4 4 6 2" xfId="26107"/>
    <cellStyle name="40% - Accent6 4 4 6 2 2" xfId="45861"/>
    <cellStyle name="40% - Accent6 4 4 6 3" xfId="36217"/>
    <cellStyle name="40% - Accent6 4 4 7" xfId="21297"/>
    <cellStyle name="40% - Accent6 4 4 7 2" xfId="41052"/>
    <cellStyle name="40% - Accent6 4 4 8" xfId="30671"/>
    <cellStyle name="40% - Accent6 4 4 8 2" xfId="50419"/>
    <cellStyle name="40% - Accent6 4 4 9" xfId="31408"/>
    <cellStyle name="40% - Accent6 4 5" xfId="1046"/>
    <cellStyle name="40% - Accent6 4 5 2" xfId="8691"/>
    <cellStyle name="40% - Accent6 4 5 2 2" xfId="8692"/>
    <cellStyle name="40% - Accent6 4 5 2 2 2" xfId="8693"/>
    <cellStyle name="40% - Accent6 4 5 2 3" xfId="8694"/>
    <cellStyle name="40% - Accent6 4 5 3" xfId="8695"/>
    <cellStyle name="40% - Accent6 4 5 3 2" xfId="8696"/>
    <cellStyle name="40% - Accent6 4 5 4" xfId="8697"/>
    <cellStyle name="40% - Accent6 4 5 5" xfId="16392"/>
    <cellStyle name="40% - Accent6 4 5 5 2" xfId="26108"/>
    <cellStyle name="40% - Accent6 4 5 5 2 2" xfId="45862"/>
    <cellStyle name="40% - Accent6 4 5 5 3" xfId="36218"/>
    <cellStyle name="40% - Accent6 4 5 6" xfId="21298"/>
    <cellStyle name="40% - Accent6 4 5 6 2" xfId="41053"/>
    <cellStyle name="40% - Accent6 4 5 7" xfId="31409"/>
    <cellStyle name="40% - Accent6 4 6" xfId="8698"/>
    <cellStyle name="40% - Accent6 4 6 2" xfId="8699"/>
    <cellStyle name="40% - Accent6 4 6 2 2" xfId="8700"/>
    <cellStyle name="40% - Accent6 4 6 2 2 2" xfId="8701"/>
    <cellStyle name="40% - Accent6 4 6 2 3" xfId="8702"/>
    <cellStyle name="40% - Accent6 4 6 3" xfId="8703"/>
    <cellStyle name="40% - Accent6 4 6 3 2" xfId="8704"/>
    <cellStyle name="40% - Accent6 4 6 4" xfId="8705"/>
    <cellStyle name="40% - Accent6 4 7" xfId="8706"/>
    <cellStyle name="40% - Accent6 4 7 2" xfId="8707"/>
    <cellStyle name="40% - Accent6 4 7 2 2" xfId="8708"/>
    <cellStyle name="40% - Accent6 4 7 3" xfId="8709"/>
    <cellStyle name="40% - Accent6 4 8" xfId="8710"/>
    <cellStyle name="40% - Accent6 4 8 2" xfId="8711"/>
    <cellStyle name="40% - Accent6 4 9" xfId="8712"/>
    <cellStyle name="40% - Accent6 4 9 2" xfId="8713"/>
    <cellStyle name="40% - Accent6 5" xfId="229"/>
    <cellStyle name="40% - Accent6 5 10" xfId="8714"/>
    <cellStyle name="40% - Accent6 5 11" xfId="8715"/>
    <cellStyle name="40% - Accent6 5 12" xfId="15665"/>
    <cellStyle name="40% - Accent6 5 12 2" xfId="20537"/>
    <cellStyle name="40% - Accent6 5 12 2 2" xfId="30251"/>
    <cellStyle name="40% - Accent6 5 12 2 2 2" xfId="50004"/>
    <cellStyle name="40% - Accent6 5 12 2 3" xfId="40360"/>
    <cellStyle name="40% - Accent6 5 12 3" xfId="25439"/>
    <cellStyle name="40% - Accent6 5 12 3 2" xfId="45193"/>
    <cellStyle name="40% - Accent6 5 12 4" xfId="35549"/>
    <cellStyle name="40% - Accent6 5 13" xfId="15991"/>
    <cellStyle name="40% - Accent6 5 13 2" xfId="25707"/>
    <cellStyle name="40% - Accent6 5 13 2 2" xfId="45461"/>
    <cellStyle name="40% - Accent6 5 13 3" xfId="35817"/>
    <cellStyle name="40% - Accent6 5 14" xfId="20872"/>
    <cellStyle name="40% - Accent6 5 14 2" xfId="40652"/>
    <cellStyle name="40% - Accent6 5 15" xfId="30672"/>
    <cellStyle name="40% - Accent6 5 15 2" xfId="50420"/>
    <cellStyle name="40% - Accent6 5 16" xfId="30983"/>
    <cellStyle name="40% - Accent6 5 2" xfId="230"/>
    <cellStyle name="40% - Accent6 5 2 10" xfId="15666"/>
    <cellStyle name="40% - Accent6 5 2 10 2" xfId="20538"/>
    <cellStyle name="40% - Accent6 5 2 10 2 2" xfId="30252"/>
    <cellStyle name="40% - Accent6 5 2 10 2 2 2" xfId="50005"/>
    <cellStyle name="40% - Accent6 5 2 10 2 3" xfId="40361"/>
    <cellStyle name="40% - Accent6 5 2 10 3" xfId="25440"/>
    <cellStyle name="40% - Accent6 5 2 10 3 2" xfId="45194"/>
    <cellStyle name="40% - Accent6 5 2 10 4" xfId="35550"/>
    <cellStyle name="40% - Accent6 5 2 11" xfId="15992"/>
    <cellStyle name="40% - Accent6 5 2 11 2" xfId="25708"/>
    <cellStyle name="40% - Accent6 5 2 11 2 2" xfId="45462"/>
    <cellStyle name="40% - Accent6 5 2 11 3" xfId="35818"/>
    <cellStyle name="40% - Accent6 5 2 12" xfId="20873"/>
    <cellStyle name="40% - Accent6 5 2 12 2" xfId="40653"/>
    <cellStyle name="40% - Accent6 5 2 13" xfId="30673"/>
    <cellStyle name="40% - Accent6 5 2 13 2" xfId="50421"/>
    <cellStyle name="40% - Accent6 5 2 14" xfId="30984"/>
    <cellStyle name="40% - Accent6 5 2 2" xfId="1047"/>
    <cellStyle name="40% - Accent6 5 2 2 2" xfId="8716"/>
    <cellStyle name="40% - Accent6 5 2 2 2 2" xfId="8717"/>
    <cellStyle name="40% - Accent6 5 2 2 2 2 2" xfId="8718"/>
    <cellStyle name="40% - Accent6 5 2 2 2 3" xfId="8719"/>
    <cellStyle name="40% - Accent6 5 2 2 3" xfId="8720"/>
    <cellStyle name="40% - Accent6 5 2 2 3 2" xfId="8721"/>
    <cellStyle name="40% - Accent6 5 2 2 4" xfId="8722"/>
    <cellStyle name="40% - Accent6 5 2 2 5" xfId="15667"/>
    <cellStyle name="40% - Accent6 5 2 2 5 2" xfId="20539"/>
    <cellStyle name="40% - Accent6 5 2 2 5 2 2" xfId="30253"/>
    <cellStyle name="40% - Accent6 5 2 2 5 2 2 2" xfId="50006"/>
    <cellStyle name="40% - Accent6 5 2 2 5 2 3" xfId="40362"/>
    <cellStyle name="40% - Accent6 5 2 2 5 3" xfId="25441"/>
    <cellStyle name="40% - Accent6 5 2 2 5 3 2" xfId="45195"/>
    <cellStyle name="40% - Accent6 5 2 2 5 4" xfId="35551"/>
    <cellStyle name="40% - Accent6 5 2 2 6" xfId="16393"/>
    <cellStyle name="40% - Accent6 5 2 2 6 2" xfId="26109"/>
    <cellStyle name="40% - Accent6 5 2 2 6 2 2" xfId="45863"/>
    <cellStyle name="40% - Accent6 5 2 2 6 3" xfId="36219"/>
    <cellStyle name="40% - Accent6 5 2 2 7" xfId="21299"/>
    <cellStyle name="40% - Accent6 5 2 2 7 2" xfId="41054"/>
    <cellStyle name="40% - Accent6 5 2 2 8" xfId="30674"/>
    <cellStyle name="40% - Accent6 5 2 2 8 2" xfId="50422"/>
    <cellStyle name="40% - Accent6 5 2 2 9" xfId="31410"/>
    <cellStyle name="40% - Accent6 5 2 3" xfId="1048"/>
    <cellStyle name="40% - Accent6 5 2 3 2" xfId="8723"/>
    <cellStyle name="40% - Accent6 5 2 3 2 2" xfId="8724"/>
    <cellStyle name="40% - Accent6 5 2 3 2 2 2" xfId="8725"/>
    <cellStyle name="40% - Accent6 5 2 3 2 3" xfId="8726"/>
    <cellStyle name="40% - Accent6 5 2 3 3" xfId="8727"/>
    <cellStyle name="40% - Accent6 5 2 3 3 2" xfId="8728"/>
    <cellStyle name="40% - Accent6 5 2 3 4" xfId="8729"/>
    <cellStyle name="40% - Accent6 5 2 3 5" xfId="16394"/>
    <cellStyle name="40% - Accent6 5 2 3 5 2" xfId="26110"/>
    <cellStyle name="40% - Accent6 5 2 3 5 2 2" xfId="45864"/>
    <cellStyle name="40% - Accent6 5 2 3 5 3" xfId="36220"/>
    <cellStyle name="40% - Accent6 5 2 3 6" xfId="21300"/>
    <cellStyle name="40% - Accent6 5 2 3 6 2" xfId="41055"/>
    <cellStyle name="40% - Accent6 5 2 3 7" xfId="31411"/>
    <cellStyle name="40% - Accent6 5 2 4" xfId="8730"/>
    <cellStyle name="40% - Accent6 5 2 4 2" xfId="8731"/>
    <cellStyle name="40% - Accent6 5 2 4 2 2" xfId="8732"/>
    <cellStyle name="40% - Accent6 5 2 4 2 2 2" xfId="8733"/>
    <cellStyle name="40% - Accent6 5 2 4 2 3" xfId="8734"/>
    <cellStyle name="40% - Accent6 5 2 4 3" xfId="8735"/>
    <cellStyle name="40% - Accent6 5 2 4 3 2" xfId="8736"/>
    <cellStyle name="40% - Accent6 5 2 4 4" xfId="8737"/>
    <cellStyle name="40% - Accent6 5 2 5" xfId="8738"/>
    <cellStyle name="40% - Accent6 5 2 5 2" xfId="8739"/>
    <cellStyle name="40% - Accent6 5 2 5 2 2" xfId="8740"/>
    <cellStyle name="40% - Accent6 5 2 5 3" xfId="8741"/>
    <cellStyle name="40% - Accent6 5 2 6" xfId="8742"/>
    <cellStyle name="40% - Accent6 5 2 6 2" xfId="8743"/>
    <cellStyle name="40% - Accent6 5 2 7" xfId="8744"/>
    <cellStyle name="40% - Accent6 5 2 8" xfId="8745"/>
    <cellStyle name="40% - Accent6 5 2 9" xfId="8746"/>
    <cellStyle name="40% - Accent6 5 3" xfId="1049"/>
    <cellStyle name="40% - Accent6 5 3 2" xfId="8747"/>
    <cellStyle name="40% - Accent6 5 3 2 2" xfId="8748"/>
    <cellStyle name="40% - Accent6 5 3 2 2 2" xfId="8749"/>
    <cellStyle name="40% - Accent6 5 3 2 3" xfId="8750"/>
    <cellStyle name="40% - Accent6 5 3 3" xfId="8751"/>
    <cellStyle name="40% - Accent6 5 3 3 2" xfId="8752"/>
    <cellStyle name="40% - Accent6 5 3 4" xfId="8753"/>
    <cellStyle name="40% - Accent6 5 3 5" xfId="15668"/>
    <cellStyle name="40% - Accent6 5 3 5 2" xfId="20540"/>
    <cellStyle name="40% - Accent6 5 3 5 2 2" xfId="30254"/>
    <cellStyle name="40% - Accent6 5 3 5 2 2 2" xfId="50007"/>
    <cellStyle name="40% - Accent6 5 3 5 2 3" xfId="40363"/>
    <cellStyle name="40% - Accent6 5 3 5 3" xfId="25442"/>
    <cellStyle name="40% - Accent6 5 3 5 3 2" xfId="45196"/>
    <cellStyle name="40% - Accent6 5 3 5 4" xfId="35552"/>
    <cellStyle name="40% - Accent6 5 3 6" xfId="16395"/>
    <cellStyle name="40% - Accent6 5 3 6 2" xfId="26111"/>
    <cellStyle name="40% - Accent6 5 3 6 2 2" xfId="45865"/>
    <cellStyle name="40% - Accent6 5 3 6 3" xfId="36221"/>
    <cellStyle name="40% - Accent6 5 3 7" xfId="21301"/>
    <cellStyle name="40% - Accent6 5 3 7 2" xfId="41056"/>
    <cellStyle name="40% - Accent6 5 3 8" xfId="30675"/>
    <cellStyle name="40% - Accent6 5 3 8 2" xfId="50423"/>
    <cellStyle name="40% - Accent6 5 3 9" xfId="31412"/>
    <cellStyle name="40% - Accent6 5 4" xfId="1050"/>
    <cellStyle name="40% - Accent6 5 4 2" xfId="8754"/>
    <cellStyle name="40% - Accent6 5 4 2 2" xfId="8755"/>
    <cellStyle name="40% - Accent6 5 4 2 2 2" xfId="8756"/>
    <cellStyle name="40% - Accent6 5 4 2 3" xfId="8757"/>
    <cellStyle name="40% - Accent6 5 4 3" xfId="8758"/>
    <cellStyle name="40% - Accent6 5 4 3 2" xfId="8759"/>
    <cellStyle name="40% - Accent6 5 4 4" xfId="8760"/>
    <cellStyle name="40% - Accent6 5 4 5" xfId="16396"/>
    <cellStyle name="40% - Accent6 5 4 5 2" xfId="26112"/>
    <cellStyle name="40% - Accent6 5 4 5 2 2" xfId="45866"/>
    <cellStyle name="40% - Accent6 5 4 5 3" xfId="36222"/>
    <cellStyle name="40% - Accent6 5 4 6" xfId="21302"/>
    <cellStyle name="40% - Accent6 5 4 6 2" xfId="41057"/>
    <cellStyle name="40% - Accent6 5 4 7" xfId="31413"/>
    <cellStyle name="40% - Accent6 5 5" xfId="8761"/>
    <cellStyle name="40% - Accent6 5 5 2" xfId="8762"/>
    <cellStyle name="40% - Accent6 5 5 2 2" xfId="8763"/>
    <cellStyle name="40% - Accent6 5 5 2 2 2" xfId="8764"/>
    <cellStyle name="40% - Accent6 5 5 2 3" xfId="8765"/>
    <cellStyle name="40% - Accent6 5 5 3" xfId="8766"/>
    <cellStyle name="40% - Accent6 5 5 3 2" xfId="8767"/>
    <cellStyle name="40% - Accent6 5 5 4" xfId="8768"/>
    <cellStyle name="40% - Accent6 5 6" xfId="8769"/>
    <cellStyle name="40% - Accent6 5 6 2" xfId="8770"/>
    <cellStyle name="40% - Accent6 5 6 2 2" xfId="8771"/>
    <cellStyle name="40% - Accent6 5 6 3" xfId="8772"/>
    <cellStyle name="40% - Accent6 5 7" xfId="8773"/>
    <cellStyle name="40% - Accent6 5 7 2" xfId="8774"/>
    <cellStyle name="40% - Accent6 5 8" xfId="8775"/>
    <cellStyle name="40% - Accent6 5 8 2" xfId="8776"/>
    <cellStyle name="40% - Accent6 5 9" xfId="8777"/>
    <cellStyle name="40% - Accent6 6" xfId="231"/>
    <cellStyle name="40% - Accent6 6 10" xfId="8778"/>
    <cellStyle name="40% - Accent6 6 11" xfId="8779"/>
    <cellStyle name="40% - Accent6 6 12" xfId="15669"/>
    <cellStyle name="40% - Accent6 6 12 2" xfId="20541"/>
    <cellStyle name="40% - Accent6 6 12 2 2" xfId="30255"/>
    <cellStyle name="40% - Accent6 6 12 2 2 2" xfId="50008"/>
    <cellStyle name="40% - Accent6 6 12 2 3" xfId="40364"/>
    <cellStyle name="40% - Accent6 6 12 3" xfId="25443"/>
    <cellStyle name="40% - Accent6 6 12 3 2" xfId="45197"/>
    <cellStyle name="40% - Accent6 6 12 4" xfId="35553"/>
    <cellStyle name="40% - Accent6 6 13" xfId="15993"/>
    <cellStyle name="40% - Accent6 6 13 2" xfId="25709"/>
    <cellStyle name="40% - Accent6 6 13 2 2" xfId="45463"/>
    <cellStyle name="40% - Accent6 6 13 3" xfId="35819"/>
    <cellStyle name="40% - Accent6 6 14" xfId="20874"/>
    <cellStyle name="40% - Accent6 6 14 2" xfId="40654"/>
    <cellStyle name="40% - Accent6 6 15" xfId="30676"/>
    <cellStyle name="40% - Accent6 6 15 2" xfId="50424"/>
    <cellStyle name="40% - Accent6 6 16" xfId="30985"/>
    <cellStyle name="40% - Accent6 6 2" xfId="232"/>
    <cellStyle name="40% - Accent6 6 2 10" xfId="15670"/>
    <cellStyle name="40% - Accent6 6 2 10 2" xfId="20542"/>
    <cellStyle name="40% - Accent6 6 2 10 2 2" xfId="30256"/>
    <cellStyle name="40% - Accent6 6 2 10 2 2 2" xfId="50009"/>
    <cellStyle name="40% - Accent6 6 2 10 2 3" xfId="40365"/>
    <cellStyle name="40% - Accent6 6 2 10 3" xfId="25444"/>
    <cellStyle name="40% - Accent6 6 2 10 3 2" xfId="45198"/>
    <cellStyle name="40% - Accent6 6 2 10 4" xfId="35554"/>
    <cellStyle name="40% - Accent6 6 2 11" xfId="15994"/>
    <cellStyle name="40% - Accent6 6 2 11 2" xfId="25710"/>
    <cellStyle name="40% - Accent6 6 2 11 2 2" xfId="45464"/>
    <cellStyle name="40% - Accent6 6 2 11 3" xfId="35820"/>
    <cellStyle name="40% - Accent6 6 2 12" xfId="20875"/>
    <cellStyle name="40% - Accent6 6 2 12 2" xfId="40655"/>
    <cellStyle name="40% - Accent6 6 2 13" xfId="30677"/>
    <cellStyle name="40% - Accent6 6 2 13 2" xfId="50425"/>
    <cellStyle name="40% - Accent6 6 2 14" xfId="30986"/>
    <cellStyle name="40% - Accent6 6 2 2" xfId="1051"/>
    <cellStyle name="40% - Accent6 6 2 2 2" xfId="8780"/>
    <cellStyle name="40% - Accent6 6 2 2 2 2" xfId="8781"/>
    <cellStyle name="40% - Accent6 6 2 2 2 2 2" xfId="8782"/>
    <cellStyle name="40% - Accent6 6 2 2 2 3" xfId="8783"/>
    <cellStyle name="40% - Accent6 6 2 2 3" xfId="8784"/>
    <cellStyle name="40% - Accent6 6 2 2 3 2" xfId="8785"/>
    <cellStyle name="40% - Accent6 6 2 2 4" xfId="8786"/>
    <cellStyle name="40% - Accent6 6 2 2 5" xfId="15671"/>
    <cellStyle name="40% - Accent6 6 2 2 5 2" xfId="20543"/>
    <cellStyle name="40% - Accent6 6 2 2 5 2 2" xfId="30257"/>
    <cellStyle name="40% - Accent6 6 2 2 5 2 2 2" xfId="50010"/>
    <cellStyle name="40% - Accent6 6 2 2 5 2 3" xfId="40366"/>
    <cellStyle name="40% - Accent6 6 2 2 5 3" xfId="25445"/>
    <cellStyle name="40% - Accent6 6 2 2 5 3 2" xfId="45199"/>
    <cellStyle name="40% - Accent6 6 2 2 5 4" xfId="35555"/>
    <cellStyle name="40% - Accent6 6 2 2 6" xfId="16397"/>
    <cellStyle name="40% - Accent6 6 2 2 6 2" xfId="26113"/>
    <cellStyle name="40% - Accent6 6 2 2 6 2 2" xfId="45867"/>
    <cellStyle name="40% - Accent6 6 2 2 6 3" xfId="36223"/>
    <cellStyle name="40% - Accent6 6 2 2 7" xfId="21303"/>
    <cellStyle name="40% - Accent6 6 2 2 7 2" xfId="41058"/>
    <cellStyle name="40% - Accent6 6 2 2 8" xfId="30678"/>
    <cellStyle name="40% - Accent6 6 2 2 8 2" xfId="50426"/>
    <cellStyle name="40% - Accent6 6 2 2 9" xfId="31414"/>
    <cellStyle name="40% - Accent6 6 2 3" xfId="1052"/>
    <cellStyle name="40% - Accent6 6 2 3 2" xfId="8787"/>
    <cellStyle name="40% - Accent6 6 2 3 2 2" xfId="8788"/>
    <cellStyle name="40% - Accent6 6 2 3 2 2 2" xfId="8789"/>
    <cellStyle name="40% - Accent6 6 2 3 2 3" xfId="8790"/>
    <cellStyle name="40% - Accent6 6 2 3 3" xfId="8791"/>
    <cellStyle name="40% - Accent6 6 2 3 3 2" xfId="8792"/>
    <cellStyle name="40% - Accent6 6 2 3 4" xfId="8793"/>
    <cellStyle name="40% - Accent6 6 2 3 5" xfId="16398"/>
    <cellStyle name="40% - Accent6 6 2 3 5 2" xfId="26114"/>
    <cellStyle name="40% - Accent6 6 2 3 5 2 2" xfId="45868"/>
    <cellStyle name="40% - Accent6 6 2 3 5 3" xfId="36224"/>
    <cellStyle name="40% - Accent6 6 2 3 6" xfId="21304"/>
    <cellStyle name="40% - Accent6 6 2 3 6 2" xfId="41059"/>
    <cellStyle name="40% - Accent6 6 2 3 7" xfId="31415"/>
    <cellStyle name="40% - Accent6 6 2 4" xfId="8794"/>
    <cellStyle name="40% - Accent6 6 2 4 2" xfId="8795"/>
    <cellStyle name="40% - Accent6 6 2 4 2 2" xfId="8796"/>
    <cellStyle name="40% - Accent6 6 2 4 2 2 2" xfId="8797"/>
    <cellStyle name="40% - Accent6 6 2 4 2 3" xfId="8798"/>
    <cellStyle name="40% - Accent6 6 2 4 3" xfId="8799"/>
    <cellStyle name="40% - Accent6 6 2 4 3 2" xfId="8800"/>
    <cellStyle name="40% - Accent6 6 2 4 4" xfId="8801"/>
    <cellStyle name="40% - Accent6 6 2 5" xfId="8802"/>
    <cellStyle name="40% - Accent6 6 2 5 2" xfId="8803"/>
    <cellStyle name="40% - Accent6 6 2 5 2 2" xfId="8804"/>
    <cellStyle name="40% - Accent6 6 2 5 3" xfId="8805"/>
    <cellStyle name="40% - Accent6 6 2 6" xfId="8806"/>
    <cellStyle name="40% - Accent6 6 2 6 2" xfId="8807"/>
    <cellStyle name="40% - Accent6 6 2 7" xfId="8808"/>
    <cellStyle name="40% - Accent6 6 2 8" xfId="8809"/>
    <cellStyle name="40% - Accent6 6 2 9" xfId="8810"/>
    <cellStyle name="40% - Accent6 6 3" xfId="1053"/>
    <cellStyle name="40% - Accent6 6 3 2" xfId="8811"/>
    <cellStyle name="40% - Accent6 6 3 2 2" xfId="8812"/>
    <cellStyle name="40% - Accent6 6 3 2 2 2" xfId="8813"/>
    <cellStyle name="40% - Accent6 6 3 2 3" xfId="8814"/>
    <cellStyle name="40% - Accent6 6 3 3" xfId="8815"/>
    <cellStyle name="40% - Accent6 6 3 3 2" xfId="8816"/>
    <cellStyle name="40% - Accent6 6 3 4" xfId="8817"/>
    <cellStyle name="40% - Accent6 6 3 5" xfId="15672"/>
    <cellStyle name="40% - Accent6 6 3 5 2" xfId="20544"/>
    <cellStyle name="40% - Accent6 6 3 5 2 2" xfId="30258"/>
    <cellStyle name="40% - Accent6 6 3 5 2 2 2" xfId="50011"/>
    <cellStyle name="40% - Accent6 6 3 5 2 3" xfId="40367"/>
    <cellStyle name="40% - Accent6 6 3 5 3" xfId="25446"/>
    <cellStyle name="40% - Accent6 6 3 5 3 2" xfId="45200"/>
    <cellStyle name="40% - Accent6 6 3 5 4" xfId="35556"/>
    <cellStyle name="40% - Accent6 6 3 6" xfId="16399"/>
    <cellStyle name="40% - Accent6 6 3 6 2" xfId="26115"/>
    <cellStyle name="40% - Accent6 6 3 6 2 2" xfId="45869"/>
    <cellStyle name="40% - Accent6 6 3 6 3" xfId="36225"/>
    <cellStyle name="40% - Accent6 6 3 7" xfId="21305"/>
    <cellStyle name="40% - Accent6 6 3 7 2" xfId="41060"/>
    <cellStyle name="40% - Accent6 6 3 8" xfId="30679"/>
    <cellStyle name="40% - Accent6 6 3 8 2" xfId="50427"/>
    <cellStyle name="40% - Accent6 6 3 9" xfId="31416"/>
    <cellStyle name="40% - Accent6 6 4" xfId="1054"/>
    <cellStyle name="40% - Accent6 6 4 2" xfId="8818"/>
    <cellStyle name="40% - Accent6 6 4 2 2" xfId="8819"/>
    <cellStyle name="40% - Accent6 6 4 2 2 2" xfId="8820"/>
    <cellStyle name="40% - Accent6 6 4 2 3" xfId="8821"/>
    <cellStyle name="40% - Accent6 6 4 3" xfId="8822"/>
    <cellStyle name="40% - Accent6 6 4 3 2" xfId="8823"/>
    <cellStyle name="40% - Accent6 6 4 4" xfId="8824"/>
    <cellStyle name="40% - Accent6 6 4 5" xfId="16400"/>
    <cellStyle name="40% - Accent6 6 4 5 2" xfId="26116"/>
    <cellStyle name="40% - Accent6 6 4 5 2 2" xfId="45870"/>
    <cellStyle name="40% - Accent6 6 4 5 3" xfId="36226"/>
    <cellStyle name="40% - Accent6 6 4 6" xfId="21306"/>
    <cellStyle name="40% - Accent6 6 4 6 2" xfId="41061"/>
    <cellStyle name="40% - Accent6 6 4 7" xfId="31417"/>
    <cellStyle name="40% - Accent6 6 5" xfId="8825"/>
    <cellStyle name="40% - Accent6 6 5 2" xfId="8826"/>
    <cellStyle name="40% - Accent6 6 5 2 2" xfId="8827"/>
    <cellStyle name="40% - Accent6 6 5 2 2 2" xfId="8828"/>
    <cellStyle name="40% - Accent6 6 5 2 3" xfId="8829"/>
    <cellStyle name="40% - Accent6 6 5 3" xfId="8830"/>
    <cellStyle name="40% - Accent6 6 5 3 2" xfId="8831"/>
    <cellStyle name="40% - Accent6 6 5 4" xfId="8832"/>
    <cellStyle name="40% - Accent6 6 6" xfId="8833"/>
    <cellStyle name="40% - Accent6 6 6 2" xfId="8834"/>
    <cellStyle name="40% - Accent6 6 6 2 2" xfId="8835"/>
    <cellStyle name="40% - Accent6 6 6 3" xfId="8836"/>
    <cellStyle name="40% - Accent6 6 7" xfId="8837"/>
    <cellStyle name="40% - Accent6 6 7 2" xfId="8838"/>
    <cellStyle name="40% - Accent6 6 8" xfId="8839"/>
    <cellStyle name="40% - Accent6 6 8 2" xfId="8840"/>
    <cellStyle name="40% - Accent6 6 9" xfId="8841"/>
    <cellStyle name="40% - Accent6 7" xfId="233"/>
    <cellStyle name="40% - Accent6 7 10" xfId="30987"/>
    <cellStyle name="40% - Accent6 7 2" xfId="234"/>
    <cellStyle name="40% - Accent6 7 2 2" xfId="1055"/>
    <cellStyle name="40% - Accent6 7 2 2 2" xfId="8842"/>
    <cellStyle name="40% - Accent6 7 2 2 2 2" xfId="8843"/>
    <cellStyle name="40% - Accent6 7 2 2 3" xfId="8844"/>
    <cellStyle name="40% - Accent6 7 2 2 4" xfId="15675"/>
    <cellStyle name="40% - Accent6 7 2 2 4 2" xfId="20547"/>
    <cellStyle name="40% - Accent6 7 2 2 4 2 2" xfId="30261"/>
    <cellStyle name="40% - Accent6 7 2 2 4 2 2 2" xfId="50014"/>
    <cellStyle name="40% - Accent6 7 2 2 4 2 3" xfId="40370"/>
    <cellStyle name="40% - Accent6 7 2 2 4 3" xfId="25449"/>
    <cellStyle name="40% - Accent6 7 2 2 4 3 2" xfId="45203"/>
    <cellStyle name="40% - Accent6 7 2 2 4 4" xfId="35559"/>
    <cellStyle name="40% - Accent6 7 2 2 5" xfId="16401"/>
    <cellStyle name="40% - Accent6 7 2 2 5 2" xfId="26117"/>
    <cellStyle name="40% - Accent6 7 2 2 5 2 2" xfId="45871"/>
    <cellStyle name="40% - Accent6 7 2 2 5 3" xfId="36227"/>
    <cellStyle name="40% - Accent6 7 2 2 6" xfId="21307"/>
    <cellStyle name="40% - Accent6 7 2 2 6 2" xfId="41062"/>
    <cellStyle name="40% - Accent6 7 2 2 7" xfId="30682"/>
    <cellStyle name="40% - Accent6 7 2 2 7 2" xfId="50430"/>
    <cellStyle name="40% - Accent6 7 2 2 8" xfId="31418"/>
    <cellStyle name="40% - Accent6 7 2 3" xfId="1056"/>
    <cellStyle name="40% - Accent6 7 2 3 2" xfId="8845"/>
    <cellStyle name="40% - Accent6 7 2 3 3" xfId="16402"/>
    <cellStyle name="40% - Accent6 7 2 3 3 2" xfId="26118"/>
    <cellStyle name="40% - Accent6 7 2 3 3 2 2" xfId="45872"/>
    <cellStyle name="40% - Accent6 7 2 3 3 3" xfId="36228"/>
    <cellStyle name="40% - Accent6 7 2 3 4" xfId="21308"/>
    <cellStyle name="40% - Accent6 7 2 3 4 2" xfId="41063"/>
    <cellStyle name="40% - Accent6 7 2 3 5" xfId="31419"/>
    <cellStyle name="40% - Accent6 7 2 4" xfId="8846"/>
    <cellStyle name="40% - Accent6 7 2 5" xfId="15674"/>
    <cellStyle name="40% - Accent6 7 2 5 2" xfId="20546"/>
    <cellStyle name="40% - Accent6 7 2 5 2 2" xfId="30260"/>
    <cellStyle name="40% - Accent6 7 2 5 2 2 2" xfId="50013"/>
    <cellStyle name="40% - Accent6 7 2 5 2 3" xfId="40369"/>
    <cellStyle name="40% - Accent6 7 2 5 3" xfId="25448"/>
    <cellStyle name="40% - Accent6 7 2 5 3 2" xfId="45202"/>
    <cellStyle name="40% - Accent6 7 2 5 4" xfId="35558"/>
    <cellStyle name="40% - Accent6 7 2 6" xfId="15996"/>
    <cellStyle name="40% - Accent6 7 2 6 2" xfId="25712"/>
    <cellStyle name="40% - Accent6 7 2 6 2 2" xfId="45466"/>
    <cellStyle name="40% - Accent6 7 2 6 3" xfId="35822"/>
    <cellStyle name="40% - Accent6 7 2 7" xfId="20877"/>
    <cellStyle name="40% - Accent6 7 2 7 2" xfId="40657"/>
    <cellStyle name="40% - Accent6 7 2 8" xfId="30681"/>
    <cellStyle name="40% - Accent6 7 2 8 2" xfId="50429"/>
    <cellStyle name="40% - Accent6 7 2 9" xfId="30988"/>
    <cellStyle name="40% - Accent6 7 3" xfId="1057"/>
    <cellStyle name="40% - Accent6 7 3 2" xfId="8847"/>
    <cellStyle name="40% - Accent6 7 3 2 2" xfId="8848"/>
    <cellStyle name="40% - Accent6 7 3 3" xfId="8849"/>
    <cellStyle name="40% - Accent6 7 3 4" xfId="15676"/>
    <cellStyle name="40% - Accent6 7 3 4 2" xfId="20548"/>
    <cellStyle name="40% - Accent6 7 3 4 2 2" xfId="30262"/>
    <cellStyle name="40% - Accent6 7 3 4 2 2 2" xfId="50015"/>
    <cellStyle name="40% - Accent6 7 3 4 2 3" xfId="40371"/>
    <cellStyle name="40% - Accent6 7 3 4 3" xfId="25450"/>
    <cellStyle name="40% - Accent6 7 3 4 3 2" xfId="45204"/>
    <cellStyle name="40% - Accent6 7 3 4 4" xfId="35560"/>
    <cellStyle name="40% - Accent6 7 3 5" xfId="16403"/>
    <cellStyle name="40% - Accent6 7 3 5 2" xfId="26119"/>
    <cellStyle name="40% - Accent6 7 3 5 2 2" xfId="45873"/>
    <cellStyle name="40% - Accent6 7 3 5 3" xfId="36229"/>
    <cellStyle name="40% - Accent6 7 3 6" xfId="21309"/>
    <cellStyle name="40% - Accent6 7 3 6 2" xfId="41064"/>
    <cellStyle name="40% - Accent6 7 3 7" xfId="30683"/>
    <cellStyle name="40% - Accent6 7 3 7 2" xfId="50431"/>
    <cellStyle name="40% - Accent6 7 3 8" xfId="31420"/>
    <cellStyle name="40% - Accent6 7 4" xfId="1058"/>
    <cellStyle name="40% - Accent6 7 4 2" xfId="8850"/>
    <cellStyle name="40% - Accent6 7 4 3" xfId="16404"/>
    <cellStyle name="40% - Accent6 7 4 3 2" xfId="26120"/>
    <cellStyle name="40% - Accent6 7 4 3 2 2" xfId="45874"/>
    <cellStyle name="40% - Accent6 7 4 3 3" xfId="36230"/>
    <cellStyle name="40% - Accent6 7 4 4" xfId="21310"/>
    <cellStyle name="40% - Accent6 7 4 4 2" xfId="41065"/>
    <cellStyle name="40% - Accent6 7 4 5" xfId="31421"/>
    <cellStyle name="40% - Accent6 7 5" xfId="8851"/>
    <cellStyle name="40% - Accent6 7 6" xfId="15673"/>
    <cellStyle name="40% - Accent6 7 6 2" xfId="20545"/>
    <cellStyle name="40% - Accent6 7 6 2 2" xfId="30259"/>
    <cellStyle name="40% - Accent6 7 6 2 2 2" xfId="50012"/>
    <cellStyle name="40% - Accent6 7 6 2 3" xfId="40368"/>
    <cellStyle name="40% - Accent6 7 6 3" xfId="25447"/>
    <cellStyle name="40% - Accent6 7 6 3 2" xfId="45201"/>
    <cellStyle name="40% - Accent6 7 6 4" xfId="35557"/>
    <cellStyle name="40% - Accent6 7 7" xfId="15995"/>
    <cellStyle name="40% - Accent6 7 7 2" xfId="25711"/>
    <cellStyle name="40% - Accent6 7 7 2 2" xfId="45465"/>
    <cellStyle name="40% - Accent6 7 7 3" xfId="35821"/>
    <cellStyle name="40% - Accent6 7 8" xfId="20876"/>
    <cellStyle name="40% - Accent6 7 8 2" xfId="40656"/>
    <cellStyle name="40% - Accent6 7 9" xfId="30680"/>
    <cellStyle name="40% - Accent6 7 9 2" xfId="50428"/>
    <cellStyle name="40% - Accent6 8" xfId="235"/>
    <cellStyle name="40% - Accent6 8 10" xfId="30989"/>
    <cellStyle name="40% - Accent6 8 2" xfId="236"/>
    <cellStyle name="40% - Accent6 8 2 2" xfId="1059"/>
    <cellStyle name="40% - Accent6 8 2 2 2" xfId="8852"/>
    <cellStyle name="40% - Accent6 8 2 2 2 2" xfId="8853"/>
    <cellStyle name="40% - Accent6 8 2 2 3" xfId="8854"/>
    <cellStyle name="40% - Accent6 8 2 2 4" xfId="15679"/>
    <cellStyle name="40% - Accent6 8 2 2 4 2" xfId="20551"/>
    <cellStyle name="40% - Accent6 8 2 2 4 2 2" xfId="30265"/>
    <cellStyle name="40% - Accent6 8 2 2 4 2 2 2" xfId="50018"/>
    <cellStyle name="40% - Accent6 8 2 2 4 2 3" xfId="40374"/>
    <cellStyle name="40% - Accent6 8 2 2 4 3" xfId="25453"/>
    <cellStyle name="40% - Accent6 8 2 2 4 3 2" xfId="45207"/>
    <cellStyle name="40% - Accent6 8 2 2 4 4" xfId="35563"/>
    <cellStyle name="40% - Accent6 8 2 2 5" xfId="16405"/>
    <cellStyle name="40% - Accent6 8 2 2 5 2" xfId="26121"/>
    <cellStyle name="40% - Accent6 8 2 2 5 2 2" xfId="45875"/>
    <cellStyle name="40% - Accent6 8 2 2 5 3" xfId="36231"/>
    <cellStyle name="40% - Accent6 8 2 2 6" xfId="21311"/>
    <cellStyle name="40% - Accent6 8 2 2 6 2" xfId="41066"/>
    <cellStyle name="40% - Accent6 8 2 2 7" xfId="30686"/>
    <cellStyle name="40% - Accent6 8 2 2 7 2" xfId="50434"/>
    <cellStyle name="40% - Accent6 8 2 2 8" xfId="31422"/>
    <cellStyle name="40% - Accent6 8 2 3" xfId="1060"/>
    <cellStyle name="40% - Accent6 8 2 3 2" xfId="8855"/>
    <cellStyle name="40% - Accent6 8 2 3 3" xfId="16406"/>
    <cellStyle name="40% - Accent6 8 2 3 3 2" xfId="26122"/>
    <cellStyle name="40% - Accent6 8 2 3 3 2 2" xfId="45876"/>
    <cellStyle name="40% - Accent6 8 2 3 3 3" xfId="36232"/>
    <cellStyle name="40% - Accent6 8 2 3 4" xfId="21312"/>
    <cellStyle name="40% - Accent6 8 2 3 4 2" xfId="41067"/>
    <cellStyle name="40% - Accent6 8 2 3 5" xfId="31423"/>
    <cellStyle name="40% - Accent6 8 2 4" xfId="8856"/>
    <cellStyle name="40% - Accent6 8 2 5" xfId="15678"/>
    <cellStyle name="40% - Accent6 8 2 5 2" xfId="20550"/>
    <cellStyle name="40% - Accent6 8 2 5 2 2" xfId="30264"/>
    <cellStyle name="40% - Accent6 8 2 5 2 2 2" xfId="50017"/>
    <cellStyle name="40% - Accent6 8 2 5 2 3" xfId="40373"/>
    <cellStyle name="40% - Accent6 8 2 5 3" xfId="25452"/>
    <cellStyle name="40% - Accent6 8 2 5 3 2" xfId="45206"/>
    <cellStyle name="40% - Accent6 8 2 5 4" xfId="35562"/>
    <cellStyle name="40% - Accent6 8 2 6" xfId="15998"/>
    <cellStyle name="40% - Accent6 8 2 6 2" xfId="25714"/>
    <cellStyle name="40% - Accent6 8 2 6 2 2" xfId="45468"/>
    <cellStyle name="40% - Accent6 8 2 6 3" xfId="35824"/>
    <cellStyle name="40% - Accent6 8 2 7" xfId="20879"/>
    <cellStyle name="40% - Accent6 8 2 7 2" xfId="40659"/>
    <cellStyle name="40% - Accent6 8 2 8" xfId="30685"/>
    <cellStyle name="40% - Accent6 8 2 8 2" xfId="50433"/>
    <cellStyle name="40% - Accent6 8 2 9" xfId="30990"/>
    <cellStyle name="40% - Accent6 8 3" xfId="1061"/>
    <cellStyle name="40% - Accent6 8 3 2" xfId="8857"/>
    <cellStyle name="40% - Accent6 8 3 2 2" xfId="8858"/>
    <cellStyle name="40% - Accent6 8 3 3" xfId="8859"/>
    <cellStyle name="40% - Accent6 8 3 4" xfId="15680"/>
    <cellStyle name="40% - Accent6 8 3 4 2" xfId="20552"/>
    <cellStyle name="40% - Accent6 8 3 4 2 2" xfId="30266"/>
    <cellStyle name="40% - Accent6 8 3 4 2 2 2" xfId="50019"/>
    <cellStyle name="40% - Accent6 8 3 4 2 3" xfId="40375"/>
    <cellStyle name="40% - Accent6 8 3 4 3" xfId="25454"/>
    <cellStyle name="40% - Accent6 8 3 4 3 2" xfId="45208"/>
    <cellStyle name="40% - Accent6 8 3 4 4" xfId="35564"/>
    <cellStyle name="40% - Accent6 8 3 5" xfId="16407"/>
    <cellStyle name="40% - Accent6 8 3 5 2" xfId="26123"/>
    <cellStyle name="40% - Accent6 8 3 5 2 2" xfId="45877"/>
    <cellStyle name="40% - Accent6 8 3 5 3" xfId="36233"/>
    <cellStyle name="40% - Accent6 8 3 6" xfId="21313"/>
    <cellStyle name="40% - Accent6 8 3 6 2" xfId="41068"/>
    <cellStyle name="40% - Accent6 8 3 7" xfId="30687"/>
    <cellStyle name="40% - Accent6 8 3 7 2" xfId="50435"/>
    <cellStyle name="40% - Accent6 8 3 8" xfId="31424"/>
    <cellStyle name="40% - Accent6 8 4" xfId="1062"/>
    <cellStyle name="40% - Accent6 8 4 2" xfId="8860"/>
    <cellStyle name="40% - Accent6 8 4 3" xfId="16408"/>
    <cellStyle name="40% - Accent6 8 4 3 2" xfId="26124"/>
    <cellStyle name="40% - Accent6 8 4 3 2 2" xfId="45878"/>
    <cellStyle name="40% - Accent6 8 4 3 3" xfId="36234"/>
    <cellStyle name="40% - Accent6 8 4 4" xfId="21314"/>
    <cellStyle name="40% - Accent6 8 4 4 2" xfId="41069"/>
    <cellStyle name="40% - Accent6 8 4 5" xfId="31425"/>
    <cellStyle name="40% - Accent6 8 5" xfId="8861"/>
    <cellStyle name="40% - Accent6 8 6" xfId="15677"/>
    <cellStyle name="40% - Accent6 8 6 2" xfId="20549"/>
    <cellStyle name="40% - Accent6 8 6 2 2" xfId="30263"/>
    <cellStyle name="40% - Accent6 8 6 2 2 2" xfId="50016"/>
    <cellStyle name="40% - Accent6 8 6 2 3" xfId="40372"/>
    <cellStyle name="40% - Accent6 8 6 3" xfId="25451"/>
    <cellStyle name="40% - Accent6 8 6 3 2" xfId="45205"/>
    <cellStyle name="40% - Accent6 8 6 4" xfId="35561"/>
    <cellStyle name="40% - Accent6 8 7" xfId="15997"/>
    <cellStyle name="40% - Accent6 8 7 2" xfId="25713"/>
    <cellStyle name="40% - Accent6 8 7 2 2" xfId="45467"/>
    <cellStyle name="40% - Accent6 8 7 3" xfId="35823"/>
    <cellStyle name="40% - Accent6 8 8" xfId="20878"/>
    <cellStyle name="40% - Accent6 8 8 2" xfId="40658"/>
    <cellStyle name="40% - Accent6 8 9" xfId="30684"/>
    <cellStyle name="40% - Accent6 8 9 2" xfId="50432"/>
    <cellStyle name="40% - Accent6 9" xfId="237"/>
    <cellStyle name="40% - Accent6 9 2" xfId="1063"/>
    <cellStyle name="40% - Accent6 9 2 2" xfId="8862"/>
    <cellStyle name="40% - Accent6 9 2 2 2" xfId="8863"/>
    <cellStyle name="40% - Accent6 9 2 3" xfId="8864"/>
    <cellStyle name="40% - Accent6 9 2 4" xfId="15682"/>
    <cellStyle name="40% - Accent6 9 2 4 2" xfId="20554"/>
    <cellStyle name="40% - Accent6 9 2 4 2 2" xfId="30268"/>
    <cellStyle name="40% - Accent6 9 2 4 2 2 2" xfId="50021"/>
    <cellStyle name="40% - Accent6 9 2 4 2 3" xfId="40377"/>
    <cellStyle name="40% - Accent6 9 2 4 3" xfId="25456"/>
    <cellStyle name="40% - Accent6 9 2 4 3 2" xfId="45210"/>
    <cellStyle name="40% - Accent6 9 2 4 4" xfId="35566"/>
    <cellStyle name="40% - Accent6 9 2 5" xfId="16409"/>
    <cellStyle name="40% - Accent6 9 2 5 2" xfId="26125"/>
    <cellStyle name="40% - Accent6 9 2 5 2 2" xfId="45879"/>
    <cellStyle name="40% - Accent6 9 2 5 3" xfId="36235"/>
    <cellStyle name="40% - Accent6 9 2 6" xfId="21315"/>
    <cellStyle name="40% - Accent6 9 2 6 2" xfId="41070"/>
    <cellStyle name="40% - Accent6 9 2 7" xfId="30689"/>
    <cellStyle name="40% - Accent6 9 2 7 2" xfId="50437"/>
    <cellStyle name="40% - Accent6 9 2 8" xfId="31426"/>
    <cellStyle name="40% - Accent6 9 3" xfId="1064"/>
    <cellStyle name="40% - Accent6 9 3 2" xfId="8865"/>
    <cellStyle name="40% - Accent6 9 3 3" xfId="16410"/>
    <cellStyle name="40% - Accent6 9 3 3 2" xfId="26126"/>
    <cellStyle name="40% - Accent6 9 3 3 2 2" xfId="45880"/>
    <cellStyle name="40% - Accent6 9 3 3 3" xfId="36236"/>
    <cellStyle name="40% - Accent6 9 3 4" xfId="21316"/>
    <cellStyle name="40% - Accent6 9 3 4 2" xfId="41071"/>
    <cellStyle name="40% - Accent6 9 3 5" xfId="31427"/>
    <cellStyle name="40% - Accent6 9 4" xfId="8866"/>
    <cellStyle name="40% - Accent6 9 5" xfId="15681"/>
    <cellStyle name="40% - Accent6 9 5 2" xfId="20553"/>
    <cellStyle name="40% - Accent6 9 5 2 2" xfId="30267"/>
    <cellStyle name="40% - Accent6 9 5 2 2 2" xfId="50020"/>
    <cellStyle name="40% - Accent6 9 5 2 3" xfId="40376"/>
    <cellStyle name="40% - Accent6 9 5 3" xfId="25455"/>
    <cellStyle name="40% - Accent6 9 5 3 2" xfId="45209"/>
    <cellStyle name="40% - Accent6 9 5 4" xfId="35565"/>
    <cellStyle name="40% - Accent6 9 6" xfId="15999"/>
    <cellStyle name="40% - Accent6 9 6 2" xfId="25715"/>
    <cellStyle name="40% - Accent6 9 6 2 2" xfId="45469"/>
    <cellStyle name="40% - Accent6 9 6 3" xfId="35825"/>
    <cellStyle name="40% - Accent6 9 7" xfId="20880"/>
    <cellStyle name="40% - Accent6 9 7 2" xfId="40660"/>
    <cellStyle name="40% - Accent6 9 8" xfId="30688"/>
    <cellStyle name="40% - Accent6 9 8 2" xfId="50436"/>
    <cellStyle name="40% - Accent6 9 9" xfId="30991"/>
    <cellStyle name="60% - Accent1" xfId="238" builtinId="32" customBuiltin="1"/>
    <cellStyle name="60% - Accent1 2" xfId="239"/>
    <cellStyle name="60% - Accent1 2 2" xfId="240"/>
    <cellStyle name="60% - Accent1 2 2 2" xfId="8867"/>
    <cellStyle name="60% - Accent1 2 3" xfId="8868"/>
    <cellStyle name="60% - Accent1 2 4" xfId="8869"/>
    <cellStyle name="60% - Accent1 2 4 2" xfId="8870"/>
    <cellStyle name="60% - Accent1 3" xfId="241"/>
    <cellStyle name="60% - Accent1 3 2" xfId="8871"/>
    <cellStyle name="60% - Accent1 4" xfId="242"/>
    <cellStyle name="60% - Accent1 5" xfId="243"/>
    <cellStyle name="60% - Accent1 6" xfId="15326"/>
    <cellStyle name="60% - Accent1 7" xfId="20642"/>
    <cellStyle name="60% - Accent1 8" xfId="20881"/>
    <cellStyle name="60% - Accent1 9" xfId="30992"/>
    <cellStyle name="60% - Accent2" xfId="244" builtinId="36" customBuiltin="1"/>
    <cellStyle name="60% - Accent2 2" xfId="245"/>
    <cellStyle name="60% - Accent2 2 2" xfId="246"/>
    <cellStyle name="60% - Accent2 2 2 2" xfId="8872"/>
    <cellStyle name="60% - Accent2 2 3" xfId="8873"/>
    <cellStyle name="60% - Accent2 2 4" xfId="8874"/>
    <cellStyle name="60% - Accent2 2 4 2" xfId="8875"/>
    <cellStyle name="60% - Accent2 3" xfId="247"/>
    <cellStyle name="60% - Accent2 3 2" xfId="8876"/>
    <cellStyle name="60% - Accent2 4" xfId="248"/>
    <cellStyle name="60% - Accent2 5" xfId="249"/>
    <cellStyle name="60% - Accent2 6" xfId="15327"/>
    <cellStyle name="60% - Accent2 7" xfId="20641"/>
    <cellStyle name="60% - Accent2 8" xfId="20882"/>
    <cellStyle name="60% - Accent2 9" xfId="30993"/>
    <cellStyle name="60% - Accent3" xfId="250" builtinId="40" customBuiltin="1"/>
    <cellStyle name="60% - Accent3 2" xfId="251"/>
    <cellStyle name="60% - Accent3 2 2" xfId="252"/>
    <cellStyle name="60% - Accent3 2 2 2" xfId="8877"/>
    <cellStyle name="60% - Accent3 2 3" xfId="8878"/>
    <cellStyle name="60% - Accent3 2 4" xfId="8879"/>
    <cellStyle name="60% - Accent3 2 4 2" xfId="8880"/>
    <cellStyle name="60% - Accent3 3" xfId="253"/>
    <cellStyle name="60% - Accent3 3 2" xfId="8881"/>
    <cellStyle name="60% - Accent3 4" xfId="254"/>
    <cellStyle name="60% - Accent3 5" xfId="255"/>
    <cellStyle name="60% - Accent3 6" xfId="15328"/>
    <cellStyle name="60% - Accent3 7" xfId="20640"/>
    <cellStyle name="60% - Accent3 8" xfId="20883"/>
    <cellStyle name="60% - Accent3 9" xfId="30994"/>
    <cellStyle name="60% - Accent4" xfId="256" builtinId="44" customBuiltin="1"/>
    <cellStyle name="60% - Accent4 2" xfId="257"/>
    <cellStyle name="60% - Accent4 2 2" xfId="258"/>
    <cellStyle name="60% - Accent4 2 2 2" xfId="8882"/>
    <cellStyle name="60% - Accent4 2 3" xfId="8883"/>
    <cellStyle name="60% - Accent4 2 4" xfId="8884"/>
    <cellStyle name="60% - Accent4 2 4 2" xfId="8885"/>
    <cellStyle name="60% - Accent4 3" xfId="259"/>
    <cellStyle name="60% - Accent4 3 2" xfId="8886"/>
    <cellStyle name="60% - Accent4 4" xfId="260"/>
    <cellStyle name="60% - Accent4 5" xfId="261"/>
    <cellStyle name="60% - Accent4 6" xfId="15329"/>
    <cellStyle name="60% - Accent4 7" xfId="20639"/>
    <cellStyle name="60% - Accent4 8" xfId="20884"/>
    <cellStyle name="60% - Accent4 9" xfId="30995"/>
    <cellStyle name="60% - Accent5" xfId="262" builtinId="48" customBuiltin="1"/>
    <cellStyle name="60% - Accent5 2" xfId="263"/>
    <cellStyle name="60% - Accent5 2 2" xfId="264"/>
    <cellStyle name="60% - Accent5 2 2 2" xfId="8887"/>
    <cellStyle name="60% - Accent5 2 3" xfId="8888"/>
    <cellStyle name="60% - Accent5 2 4" xfId="8889"/>
    <cellStyle name="60% - Accent5 2 4 2" xfId="8890"/>
    <cellStyle name="60% - Accent5 3" xfId="265"/>
    <cellStyle name="60% - Accent5 3 2" xfId="8891"/>
    <cellStyle name="60% - Accent5 4" xfId="266"/>
    <cellStyle name="60% - Accent5 5" xfId="267"/>
    <cellStyle name="60% - Accent5 6" xfId="15330"/>
    <cellStyle name="60% - Accent5 7" xfId="20638"/>
    <cellStyle name="60% - Accent5 8" xfId="20885"/>
    <cellStyle name="60% - Accent5 9" xfId="30996"/>
    <cellStyle name="60% - Accent6" xfId="268" builtinId="52" customBuiltin="1"/>
    <cellStyle name="60% - Accent6 2" xfId="269"/>
    <cellStyle name="60% - Accent6 2 2" xfId="270"/>
    <cellStyle name="60% - Accent6 2 2 2" xfId="8892"/>
    <cellStyle name="60% - Accent6 2 3" xfId="8893"/>
    <cellStyle name="60% - Accent6 2 4" xfId="8894"/>
    <cellStyle name="60% - Accent6 2 4 2" xfId="8895"/>
    <cellStyle name="60% - Accent6 3" xfId="271"/>
    <cellStyle name="60% - Accent6 3 2" xfId="8896"/>
    <cellStyle name="60% - Accent6 4" xfId="272"/>
    <cellStyle name="60% - Accent6 5" xfId="273"/>
    <cellStyle name="60% - Accent6 6" xfId="15331"/>
    <cellStyle name="60% - Accent6 7" xfId="20637"/>
    <cellStyle name="60% - Accent6 8" xfId="20886"/>
    <cellStyle name="60% - Accent6 9" xfId="30997"/>
    <cellStyle name="Accent1" xfId="274" builtinId="29" customBuiltin="1"/>
    <cellStyle name="Accent1 2" xfId="275"/>
    <cellStyle name="Accent1 2 2" xfId="276"/>
    <cellStyle name="Accent1 2 2 2" xfId="8897"/>
    <cellStyle name="Accent1 2 3" xfId="8898"/>
    <cellStyle name="Accent1 2 4" xfId="8899"/>
    <cellStyle name="Accent1 2 4 2" xfId="8900"/>
    <cellStyle name="Accent1 3" xfId="277"/>
    <cellStyle name="Accent1 3 2" xfId="8901"/>
    <cellStyle name="Accent1 4" xfId="278"/>
    <cellStyle name="Accent1 5" xfId="279"/>
    <cellStyle name="Accent1 6" xfId="15332"/>
    <cellStyle name="Accent1 7" xfId="20636"/>
    <cellStyle name="Accent1 8" xfId="20887"/>
    <cellStyle name="Accent1 9" xfId="30998"/>
    <cellStyle name="Accent2" xfId="280" builtinId="33" customBuiltin="1"/>
    <cellStyle name="Accent2 2" xfId="281"/>
    <cellStyle name="Accent2 2 2" xfId="282"/>
    <cellStyle name="Accent2 2 2 2" xfId="8902"/>
    <cellStyle name="Accent2 2 3" xfId="8903"/>
    <cellStyle name="Accent2 2 4" xfId="8904"/>
    <cellStyle name="Accent2 2 4 2" xfId="8905"/>
    <cellStyle name="Accent2 3" xfId="283"/>
    <cellStyle name="Accent2 3 2" xfId="8906"/>
    <cellStyle name="Accent2 4" xfId="284"/>
    <cellStyle name="Accent2 5" xfId="285"/>
    <cellStyle name="Accent2 6" xfId="15333"/>
    <cellStyle name="Accent2 7" xfId="20635"/>
    <cellStyle name="Accent2 8" xfId="20888"/>
    <cellStyle name="Accent2 9" xfId="30999"/>
    <cellStyle name="Accent3" xfId="286" builtinId="37" customBuiltin="1"/>
    <cellStyle name="Accent3 2" xfId="287"/>
    <cellStyle name="Accent3 2 2" xfId="288"/>
    <cellStyle name="Accent3 2 2 2" xfId="8907"/>
    <cellStyle name="Accent3 2 3" xfId="8908"/>
    <cellStyle name="Accent3 2 4" xfId="8909"/>
    <cellStyle name="Accent3 2 4 2" xfId="8910"/>
    <cellStyle name="Accent3 3" xfId="289"/>
    <cellStyle name="Accent3 3 2" xfId="8911"/>
    <cellStyle name="Accent3 4" xfId="290"/>
    <cellStyle name="Accent3 5" xfId="291"/>
    <cellStyle name="Accent3 6" xfId="15334"/>
    <cellStyle name="Accent3 7" xfId="20634"/>
    <cellStyle name="Accent3 8" xfId="20889"/>
    <cellStyle name="Accent3 9" xfId="31000"/>
    <cellStyle name="Accent4" xfId="292" builtinId="41" customBuiltin="1"/>
    <cellStyle name="Accent4 2" xfId="293"/>
    <cellStyle name="Accent4 2 2" xfId="294"/>
    <cellStyle name="Accent4 2 2 2" xfId="8912"/>
    <cellStyle name="Accent4 2 3" xfId="8913"/>
    <cellStyle name="Accent4 2 4" xfId="8914"/>
    <cellStyle name="Accent4 2 4 2" xfId="8915"/>
    <cellStyle name="Accent4 3" xfId="295"/>
    <cellStyle name="Accent4 3 2" xfId="8916"/>
    <cellStyle name="Accent4 4" xfId="296"/>
    <cellStyle name="Accent4 5" xfId="297"/>
    <cellStyle name="Accent4 6" xfId="15335"/>
    <cellStyle name="Accent4 7" xfId="20633"/>
    <cellStyle name="Accent4 8" xfId="20890"/>
    <cellStyle name="Accent4 9" xfId="31001"/>
    <cellStyle name="Accent5" xfId="298" builtinId="45" customBuiltin="1"/>
    <cellStyle name="Accent5 2" xfId="299"/>
    <cellStyle name="Accent5 2 2" xfId="300"/>
    <cellStyle name="Accent5 2 2 2" xfId="8917"/>
    <cellStyle name="Accent5 2 3" xfId="8918"/>
    <cellStyle name="Accent5 2 4" xfId="8919"/>
    <cellStyle name="Accent5 2 4 2" xfId="8920"/>
    <cellStyle name="Accent5 3" xfId="301"/>
    <cellStyle name="Accent5 3 2" xfId="8921"/>
    <cellStyle name="Accent5 4" xfId="8922"/>
    <cellStyle name="Accent6" xfId="302" builtinId="49" customBuiltin="1"/>
    <cellStyle name="Accent6 2" xfId="303"/>
    <cellStyle name="Accent6 2 2" xfId="304"/>
    <cellStyle name="Accent6 2 2 2" xfId="8923"/>
    <cellStyle name="Accent6 2 3" xfId="8924"/>
    <cellStyle name="Accent6 2 4" xfId="8925"/>
    <cellStyle name="Accent6 2 4 2" xfId="8926"/>
    <cellStyle name="Accent6 3" xfId="305"/>
    <cellStyle name="Accent6 3 2" xfId="8927"/>
    <cellStyle name="Accent6 4" xfId="306"/>
    <cellStyle name="Accent6 5" xfId="307"/>
    <cellStyle name="Accent6 6" xfId="15336"/>
    <cellStyle name="Accent6 7" xfId="20632"/>
    <cellStyle name="Accent6 8" xfId="20891"/>
    <cellStyle name="Accent6 9" xfId="31002"/>
    <cellStyle name="Bad" xfId="308" builtinId="27" customBuiltin="1"/>
    <cellStyle name="Bad 2" xfId="309"/>
    <cellStyle name="Bad 2 2" xfId="310"/>
    <cellStyle name="Bad 2 2 2" xfId="8928"/>
    <cellStyle name="Bad 2 3" xfId="8929"/>
    <cellStyle name="Bad 2 4" xfId="8930"/>
    <cellStyle name="Bad 2 4 2" xfId="8931"/>
    <cellStyle name="Bad 3" xfId="311"/>
    <cellStyle name="Bad 3 2" xfId="8932"/>
    <cellStyle name="Bad 4" xfId="312"/>
    <cellStyle name="Bad 5" xfId="313"/>
    <cellStyle name="Bad 6" xfId="15337"/>
    <cellStyle name="Bad 7" xfId="20631"/>
    <cellStyle name="Bad 8" xfId="20892"/>
    <cellStyle name="Bad 9" xfId="31003"/>
    <cellStyle name="Calculation" xfId="314" builtinId="22" customBuiltin="1"/>
    <cellStyle name="Calculation 2" xfId="315"/>
    <cellStyle name="Calculation 2 2" xfId="316"/>
    <cellStyle name="Calculation 2 2 2" xfId="8933"/>
    <cellStyle name="Calculation 2 3" xfId="8934"/>
    <cellStyle name="Calculation 2 4" xfId="8935"/>
    <cellStyle name="Calculation 2 4 2" xfId="8936"/>
    <cellStyle name="Calculation 3" xfId="317"/>
    <cellStyle name="Calculation 3 2" xfId="8937"/>
    <cellStyle name="Calculation 4" xfId="318"/>
    <cellStyle name="Calculation 5" xfId="319"/>
    <cellStyle name="Calculation 6" xfId="15338"/>
    <cellStyle name="Calculation 7" xfId="20630"/>
    <cellStyle name="Calculation 8" xfId="20893"/>
    <cellStyle name="Calculation 9" xfId="31004"/>
    <cellStyle name="Check Cell" xfId="320" builtinId="23" customBuiltin="1"/>
    <cellStyle name="Check Cell 2" xfId="321"/>
    <cellStyle name="Check Cell 2 2" xfId="322"/>
    <cellStyle name="Check Cell 2 2 2" xfId="8938"/>
    <cellStyle name="Check Cell 2 3" xfId="8939"/>
    <cellStyle name="Check Cell 2 4" xfId="8940"/>
    <cellStyle name="Check Cell 2 4 2" xfId="8941"/>
    <cellStyle name="Check Cell 3" xfId="323"/>
    <cellStyle name="Check Cell 3 2" xfId="8942"/>
    <cellStyle name="Check Cell 4" xfId="8943"/>
    <cellStyle name="Comma" xfId="324" builtinId="3"/>
    <cellStyle name="Comma 10" xfId="325"/>
    <cellStyle name="Comma 10 2" xfId="8944"/>
    <cellStyle name="Comma 11" xfId="326"/>
    <cellStyle name="Comma 11 2" xfId="8945"/>
    <cellStyle name="Comma 12" xfId="327"/>
    <cellStyle name="Comma 12 2" xfId="8946"/>
    <cellStyle name="Comma 13" xfId="328"/>
    <cellStyle name="Comma 13 2" xfId="8947"/>
    <cellStyle name="Comma 14" xfId="329"/>
    <cellStyle name="Comma 14 2" xfId="8948"/>
    <cellStyle name="Comma 15" xfId="8949"/>
    <cellStyle name="Comma 15 2" xfId="8950"/>
    <cellStyle name="Comma 15 3" xfId="30690"/>
    <cellStyle name="Comma 16" xfId="8951"/>
    <cellStyle name="Comma 16 2" xfId="8952"/>
    <cellStyle name="Comma 17" xfId="8953"/>
    <cellStyle name="Comma 18" xfId="15339"/>
    <cellStyle name="Comma 19" xfId="15683"/>
    <cellStyle name="Comma 19 2" xfId="20555"/>
    <cellStyle name="Comma 2" xfId="330"/>
    <cellStyle name="Comma 2 10" xfId="15684"/>
    <cellStyle name="Comma 2 11" xfId="15685"/>
    <cellStyle name="Comma 2 2" xfId="331"/>
    <cellStyle name="Comma 2 2 10" xfId="8954"/>
    <cellStyle name="Comma 2 2 10 2" xfId="8955"/>
    <cellStyle name="Comma 2 2 10 2 2" xfId="8956"/>
    <cellStyle name="Comma 2 2 10 3" xfId="8957"/>
    <cellStyle name="Comma 2 2 11" xfId="8958"/>
    <cellStyle name="Comma 2 2 11 2" xfId="8959"/>
    <cellStyle name="Comma 2 2 12" xfId="8960"/>
    <cellStyle name="Comma 2 2 12 2" xfId="8961"/>
    <cellStyle name="Comma 2 2 13" xfId="8962"/>
    <cellStyle name="Comma 2 2 13 2" xfId="8963"/>
    <cellStyle name="Comma 2 2 14" xfId="8964"/>
    <cellStyle name="Comma 2 2 15" xfId="30691"/>
    <cellStyle name="Comma 2 2 15 2" xfId="50438"/>
    <cellStyle name="Comma 2 2 2" xfId="332"/>
    <cellStyle name="Comma 2 2 2 10" xfId="8965"/>
    <cellStyle name="Comma 2 2 2 10 2" xfId="8966"/>
    <cellStyle name="Comma 2 2 2 11" xfId="8967"/>
    <cellStyle name="Comma 2 2 2 11 2" xfId="8968"/>
    <cellStyle name="Comma 2 2 2 12" xfId="8969"/>
    <cellStyle name="Comma 2 2 2 2" xfId="8970"/>
    <cellStyle name="Comma 2 2 2 2 2" xfId="8971"/>
    <cellStyle name="Comma 2 2 2 2 2 2" xfId="8972"/>
    <cellStyle name="Comma 2 2 2 2 2 2 2" xfId="8973"/>
    <cellStyle name="Comma 2 2 2 2 2 2 2 2" xfId="8974"/>
    <cellStyle name="Comma 2 2 2 2 2 2 2 2 2" xfId="8975"/>
    <cellStyle name="Comma 2 2 2 2 2 2 2 3" xfId="8976"/>
    <cellStyle name="Comma 2 2 2 2 2 2 3" xfId="8977"/>
    <cellStyle name="Comma 2 2 2 2 2 2 3 2" xfId="8978"/>
    <cellStyle name="Comma 2 2 2 2 2 2 4" xfId="8979"/>
    <cellStyle name="Comma 2 2 2 2 2 3" xfId="8980"/>
    <cellStyle name="Comma 2 2 2 2 2 3 2" xfId="8981"/>
    <cellStyle name="Comma 2 2 2 2 2 3 2 2" xfId="8982"/>
    <cellStyle name="Comma 2 2 2 2 2 3 3" xfId="8983"/>
    <cellStyle name="Comma 2 2 2 2 2 4" xfId="8984"/>
    <cellStyle name="Comma 2 2 2 2 2 4 2" xfId="8985"/>
    <cellStyle name="Comma 2 2 2 2 2 5" xfId="8986"/>
    <cellStyle name="Comma 2 2 2 2 3" xfId="8987"/>
    <cellStyle name="Comma 2 2 2 2 3 2" xfId="8988"/>
    <cellStyle name="Comma 2 2 2 2 3 2 2" xfId="8989"/>
    <cellStyle name="Comma 2 2 2 2 3 2 2 2" xfId="8990"/>
    <cellStyle name="Comma 2 2 2 2 3 2 3" xfId="8991"/>
    <cellStyle name="Comma 2 2 2 2 3 3" xfId="8992"/>
    <cellStyle name="Comma 2 2 2 2 3 3 2" xfId="8993"/>
    <cellStyle name="Comma 2 2 2 2 3 4" xfId="8994"/>
    <cellStyle name="Comma 2 2 2 2 4" xfId="8995"/>
    <cellStyle name="Comma 2 2 2 2 4 2" xfId="8996"/>
    <cellStyle name="Comma 2 2 2 2 4 2 2" xfId="8997"/>
    <cellStyle name="Comma 2 2 2 2 4 3" xfId="8998"/>
    <cellStyle name="Comma 2 2 2 2 5" xfId="8999"/>
    <cellStyle name="Comma 2 2 2 2 5 2" xfId="9000"/>
    <cellStyle name="Comma 2 2 2 2 6" xfId="9001"/>
    <cellStyle name="Comma 2 2 2 2 6 2" xfId="9002"/>
    <cellStyle name="Comma 2 2 2 2 7" xfId="9003"/>
    <cellStyle name="Comma 2 2 2 2 7 2" xfId="9004"/>
    <cellStyle name="Comma 2 2 2 2 8" xfId="9005"/>
    <cellStyle name="Comma 2 2 2 3" xfId="9006"/>
    <cellStyle name="Comma 2 2 2 3 2" xfId="9007"/>
    <cellStyle name="Comma 2 2 2 3 2 2" xfId="9008"/>
    <cellStyle name="Comma 2 2 2 3 2 2 2" xfId="9009"/>
    <cellStyle name="Comma 2 2 2 3 2 2 2 2" xfId="9010"/>
    <cellStyle name="Comma 2 2 2 3 2 2 3" xfId="9011"/>
    <cellStyle name="Comma 2 2 2 3 2 3" xfId="9012"/>
    <cellStyle name="Comma 2 2 2 3 2 3 2" xfId="9013"/>
    <cellStyle name="Comma 2 2 2 3 2 4" xfId="9014"/>
    <cellStyle name="Comma 2 2 2 3 3" xfId="9015"/>
    <cellStyle name="Comma 2 2 2 3 3 2" xfId="9016"/>
    <cellStyle name="Comma 2 2 2 3 3 2 2" xfId="9017"/>
    <cellStyle name="Comma 2 2 2 3 3 3" xfId="9018"/>
    <cellStyle name="Comma 2 2 2 3 4" xfId="9019"/>
    <cellStyle name="Comma 2 2 2 3 4 2" xfId="9020"/>
    <cellStyle name="Comma 2 2 2 3 5" xfId="9021"/>
    <cellStyle name="Comma 2 2 2 4" xfId="9022"/>
    <cellStyle name="Comma 2 2 2 4 2" xfId="9023"/>
    <cellStyle name="Comma 2 2 2 4 2 2" xfId="9024"/>
    <cellStyle name="Comma 2 2 2 4 2 2 2" xfId="9025"/>
    <cellStyle name="Comma 2 2 2 4 2 2 2 2" xfId="9026"/>
    <cellStyle name="Comma 2 2 2 4 2 2 3" xfId="9027"/>
    <cellStyle name="Comma 2 2 2 4 2 3" xfId="9028"/>
    <cellStyle name="Comma 2 2 2 4 2 3 2" xfId="9029"/>
    <cellStyle name="Comma 2 2 2 4 2 4" xfId="9030"/>
    <cellStyle name="Comma 2 2 2 4 3" xfId="9031"/>
    <cellStyle name="Comma 2 2 2 4 3 2" xfId="9032"/>
    <cellStyle name="Comma 2 2 2 4 3 2 2" xfId="9033"/>
    <cellStyle name="Comma 2 2 2 4 3 3" xfId="9034"/>
    <cellStyle name="Comma 2 2 2 4 4" xfId="9035"/>
    <cellStyle name="Comma 2 2 2 4 4 2" xfId="9036"/>
    <cellStyle name="Comma 2 2 2 4 5" xfId="9037"/>
    <cellStyle name="Comma 2 2 2 5" xfId="9038"/>
    <cellStyle name="Comma 2 2 2 5 2" xfId="9039"/>
    <cellStyle name="Comma 2 2 2 6" xfId="9040"/>
    <cellStyle name="Comma 2 2 2 6 2" xfId="9041"/>
    <cellStyle name="Comma 2 2 2 6 2 2" xfId="9042"/>
    <cellStyle name="Comma 2 2 2 6 2 2 2" xfId="9043"/>
    <cellStyle name="Comma 2 2 2 6 2 3" xfId="9044"/>
    <cellStyle name="Comma 2 2 2 6 3" xfId="9045"/>
    <cellStyle name="Comma 2 2 2 6 3 2" xfId="9046"/>
    <cellStyle name="Comma 2 2 2 6 4" xfId="9047"/>
    <cellStyle name="Comma 2 2 2 7" xfId="9048"/>
    <cellStyle name="Comma 2 2 2 7 2" xfId="9049"/>
    <cellStyle name="Comma 2 2 2 7 2 2" xfId="9050"/>
    <cellStyle name="Comma 2 2 2 7 3" xfId="9051"/>
    <cellStyle name="Comma 2 2 2 8" xfId="9052"/>
    <cellStyle name="Comma 2 2 2 8 2" xfId="9053"/>
    <cellStyle name="Comma 2 2 2 8 2 2" xfId="9054"/>
    <cellStyle name="Comma 2 2 2 8 3" xfId="9055"/>
    <cellStyle name="Comma 2 2 2 9" xfId="9056"/>
    <cellStyle name="Comma 2 2 2 9 2" xfId="9057"/>
    <cellStyle name="Comma 2 2 3" xfId="333"/>
    <cellStyle name="Comma 2 2 3 10" xfId="9058"/>
    <cellStyle name="Comma 2 2 3 11" xfId="15686"/>
    <cellStyle name="Comma 2 2 3 11 2" xfId="20556"/>
    <cellStyle name="Comma 2 2 3 11 2 2" xfId="30269"/>
    <cellStyle name="Comma 2 2 3 11 2 2 2" xfId="50022"/>
    <cellStyle name="Comma 2 2 3 11 2 3" xfId="40378"/>
    <cellStyle name="Comma 2 2 3 11 3" xfId="25457"/>
    <cellStyle name="Comma 2 2 3 11 3 2" xfId="45211"/>
    <cellStyle name="Comma 2 2 3 11 4" xfId="35567"/>
    <cellStyle name="Comma 2 2 3 12" xfId="30692"/>
    <cellStyle name="Comma 2 2 3 12 2" xfId="50439"/>
    <cellStyle name="Comma 2 2 3 2" xfId="334"/>
    <cellStyle name="Comma 2 2 3 2 2" xfId="9059"/>
    <cellStyle name="Comma 2 2 3 2 2 2" xfId="9060"/>
    <cellStyle name="Comma 2 2 3 2 2 2 2" xfId="9061"/>
    <cellStyle name="Comma 2 2 3 2 2 2 2 2" xfId="9062"/>
    <cellStyle name="Comma 2 2 3 2 2 2 3" xfId="9063"/>
    <cellStyle name="Comma 2 2 3 2 2 3" xfId="9064"/>
    <cellStyle name="Comma 2 2 3 2 2 3 2" xfId="9065"/>
    <cellStyle name="Comma 2 2 3 2 2 4" xfId="9066"/>
    <cellStyle name="Comma 2 2 3 2 3" xfId="9067"/>
    <cellStyle name="Comma 2 2 3 2 3 2" xfId="9068"/>
    <cellStyle name="Comma 2 2 3 2 3 2 2" xfId="9069"/>
    <cellStyle name="Comma 2 2 3 2 3 3" xfId="9070"/>
    <cellStyle name="Comma 2 2 3 2 4" xfId="9071"/>
    <cellStyle name="Comma 2 2 3 2 4 2" xfId="9072"/>
    <cellStyle name="Comma 2 2 3 2 5" xfId="9073"/>
    <cellStyle name="Comma 2 2 3 3" xfId="9074"/>
    <cellStyle name="Comma 2 2 3 3 2" xfId="9075"/>
    <cellStyle name="Comma 2 2 3 3 2 2" xfId="9076"/>
    <cellStyle name="Comma 2 2 3 3 2 2 2" xfId="9077"/>
    <cellStyle name="Comma 2 2 3 3 2 2 2 2" xfId="9078"/>
    <cellStyle name="Comma 2 2 3 3 2 2 3" xfId="9079"/>
    <cellStyle name="Comma 2 2 3 3 2 3" xfId="9080"/>
    <cellStyle name="Comma 2 2 3 3 2 3 2" xfId="9081"/>
    <cellStyle name="Comma 2 2 3 3 2 4" xfId="9082"/>
    <cellStyle name="Comma 2 2 3 3 3" xfId="9083"/>
    <cellStyle name="Comma 2 2 3 3 3 2" xfId="9084"/>
    <cellStyle name="Comma 2 2 3 3 3 2 2" xfId="9085"/>
    <cellStyle name="Comma 2 2 3 3 3 3" xfId="9086"/>
    <cellStyle name="Comma 2 2 3 3 4" xfId="9087"/>
    <cellStyle name="Comma 2 2 3 3 4 2" xfId="9088"/>
    <cellStyle name="Comma 2 2 3 3 5" xfId="9089"/>
    <cellStyle name="Comma 2 2 3 4" xfId="9090"/>
    <cellStyle name="Comma 2 2 3 4 2" xfId="9091"/>
    <cellStyle name="Comma 2 2 3 5" xfId="9092"/>
    <cellStyle name="Comma 2 2 3 5 2" xfId="9093"/>
    <cellStyle name="Comma 2 2 3 5 2 2" xfId="9094"/>
    <cellStyle name="Comma 2 2 3 5 2 2 2" xfId="9095"/>
    <cellStyle name="Comma 2 2 3 5 2 3" xfId="9096"/>
    <cellStyle name="Comma 2 2 3 5 3" xfId="9097"/>
    <cellStyle name="Comma 2 2 3 5 3 2" xfId="9098"/>
    <cellStyle name="Comma 2 2 3 5 4" xfId="9099"/>
    <cellStyle name="Comma 2 2 3 6" xfId="9100"/>
    <cellStyle name="Comma 2 2 3 6 2" xfId="9101"/>
    <cellStyle name="Comma 2 2 3 6 2 2" xfId="9102"/>
    <cellStyle name="Comma 2 2 3 6 3" xfId="9103"/>
    <cellStyle name="Comma 2 2 3 7" xfId="9104"/>
    <cellStyle name="Comma 2 2 3 7 2" xfId="9105"/>
    <cellStyle name="Comma 2 2 3 8" xfId="9106"/>
    <cellStyle name="Comma 2 2 3 8 2" xfId="9107"/>
    <cellStyle name="Comma 2 2 3 9" xfId="9108"/>
    <cellStyle name="Comma 2 2 3 9 2" xfId="9109"/>
    <cellStyle name="Comma 2 2 4" xfId="9110"/>
    <cellStyle name="Comma 2 2 4 2" xfId="9111"/>
    <cellStyle name="Comma 2 2 4 2 2" xfId="9112"/>
    <cellStyle name="Comma 2 2 4 2 2 2" xfId="9113"/>
    <cellStyle name="Comma 2 2 4 2 2 2 2" xfId="9114"/>
    <cellStyle name="Comma 2 2 4 2 2 2 2 2" xfId="9115"/>
    <cellStyle name="Comma 2 2 4 2 2 2 3" xfId="9116"/>
    <cellStyle name="Comma 2 2 4 2 2 3" xfId="9117"/>
    <cellStyle name="Comma 2 2 4 2 2 3 2" xfId="9118"/>
    <cellStyle name="Comma 2 2 4 2 2 4" xfId="9119"/>
    <cellStyle name="Comma 2 2 4 2 3" xfId="9120"/>
    <cellStyle name="Comma 2 2 4 2 3 2" xfId="9121"/>
    <cellStyle name="Comma 2 2 4 2 3 2 2" xfId="9122"/>
    <cellStyle name="Comma 2 2 4 2 3 3" xfId="9123"/>
    <cellStyle name="Comma 2 2 4 2 4" xfId="9124"/>
    <cellStyle name="Comma 2 2 4 2 4 2" xfId="9125"/>
    <cellStyle name="Comma 2 2 4 2 5" xfId="9126"/>
    <cellStyle name="Comma 2 2 4 3" xfId="9127"/>
    <cellStyle name="Comma 2 2 4 3 2" xfId="9128"/>
    <cellStyle name="Comma 2 2 4 3 2 2" xfId="9129"/>
    <cellStyle name="Comma 2 2 4 3 2 2 2" xfId="9130"/>
    <cellStyle name="Comma 2 2 4 3 2 3" xfId="9131"/>
    <cellStyle name="Comma 2 2 4 3 3" xfId="9132"/>
    <cellStyle name="Comma 2 2 4 3 3 2" xfId="9133"/>
    <cellStyle name="Comma 2 2 4 3 4" xfId="9134"/>
    <cellStyle name="Comma 2 2 4 4" xfId="9135"/>
    <cellStyle name="Comma 2 2 4 4 2" xfId="9136"/>
    <cellStyle name="Comma 2 2 4 4 2 2" xfId="9137"/>
    <cellStyle name="Comma 2 2 4 4 3" xfId="9138"/>
    <cellStyle name="Comma 2 2 4 5" xfId="9139"/>
    <cellStyle name="Comma 2 2 4 5 2" xfId="9140"/>
    <cellStyle name="Comma 2 2 4 6" xfId="9141"/>
    <cellStyle name="Comma 2 2 4 6 2" xfId="9142"/>
    <cellStyle name="Comma 2 2 4 7" xfId="9143"/>
    <cellStyle name="Comma 2 2 4 7 2" xfId="9144"/>
    <cellStyle name="Comma 2 2 4 8" xfId="9145"/>
    <cellStyle name="Comma 2 2 5" xfId="9146"/>
    <cellStyle name="Comma 2 2 5 2" xfId="9147"/>
    <cellStyle name="Comma 2 2 5 2 2" xfId="9148"/>
    <cellStyle name="Comma 2 2 5 2 2 2" xfId="9149"/>
    <cellStyle name="Comma 2 2 5 2 2 2 2" xfId="9150"/>
    <cellStyle name="Comma 2 2 5 2 2 3" xfId="9151"/>
    <cellStyle name="Comma 2 2 5 2 3" xfId="9152"/>
    <cellStyle name="Comma 2 2 5 2 3 2" xfId="9153"/>
    <cellStyle name="Comma 2 2 5 2 4" xfId="9154"/>
    <cellStyle name="Comma 2 2 5 3" xfId="9155"/>
    <cellStyle name="Comma 2 2 5 3 2" xfId="9156"/>
    <cellStyle name="Comma 2 2 5 3 2 2" xfId="9157"/>
    <cellStyle name="Comma 2 2 5 3 3" xfId="9158"/>
    <cellStyle name="Comma 2 2 5 4" xfId="9159"/>
    <cellStyle name="Comma 2 2 5 4 2" xfId="9160"/>
    <cellStyle name="Comma 2 2 5 5" xfId="9161"/>
    <cellStyle name="Comma 2 2 6" xfId="9162"/>
    <cellStyle name="Comma 2 2 6 2" xfId="9163"/>
    <cellStyle name="Comma 2 2 6 2 2" xfId="9164"/>
    <cellStyle name="Comma 2 2 6 2 2 2" xfId="9165"/>
    <cellStyle name="Comma 2 2 6 2 2 2 2" xfId="9166"/>
    <cellStyle name="Comma 2 2 6 2 2 3" xfId="9167"/>
    <cellStyle name="Comma 2 2 6 2 3" xfId="9168"/>
    <cellStyle name="Comma 2 2 6 2 3 2" xfId="9169"/>
    <cellStyle name="Comma 2 2 6 2 4" xfId="9170"/>
    <cellStyle name="Comma 2 2 6 3" xfId="9171"/>
    <cellStyle name="Comma 2 2 6 3 2" xfId="9172"/>
    <cellStyle name="Comma 2 2 6 3 2 2" xfId="9173"/>
    <cellStyle name="Comma 2 2 6 3 3" xfId="9174"/>
    <cellStyle name="Comma 2 2 6 4" xfId="9175"/>
    <cellStyle name="Comma 2 2 6 4 2" xfId="9176"/>
    <cellStyle name="Comma 2 2 6 5" xfId="9177"/>
    <cellStyle name="Comma 2 2 7" xfId="9178"/>
    <cellStyle name="Comma 2 2 7 2" xfId="9179"/>
    <cellStyle name="Comma 2 2 8" xfId="9180"/>
    <cellStyle name="Comma 2 2 8 2" xfId="9181"/>
    <cellStyle name="Comma 2 2 8 2 2" xfId="9182"/>
    <cellStyle name="Comma 2 2 8 2 2 2" xfId="9183"/>
    <cellStyle name="Comma 2 2 8 2 3" xfId="9184"/>
    <cellStyle name="Comma 2 2 8 3" xfId="9185"/>
    <cellStyle name="Comma 2 2 8 3 2" xfId="9186"/>
    <cellStyle name="Comma 2 2 8 4" xfId="9187"/>
    <cellStyle name="Comma 2 2 9" xfId="9188"/>
    <cellStyle name="Comma 2 2 9 2" xfId="9189"/>
    <cellStyle name="Comma 2 2 9 2 2" xfId="9190"/>
    <cellStyle name="Comma 2 2 9 3" xfId="9191"/>
    <cellStyle name="Comma 2 3" xfId="335"/>
    <cellStyle name="Comma 2 3 10" xfId="9192"/>
    <cellStyle name="Comma 2 3 10 2" xfId="9193"/>
    <cellStyle name="Comma 2 3 11" xfId="9194"/>
    <cellStyle name="Comma 2 3 11 2" xfId="9195"/>
    <cellStyle name="Comma 2 3 12" xfId="9196"/>
    <cellStyle name="Comma 2 3 2" xfId="9197"/>
    <cellStyle name="Comma 2 3 2 2" xfId="9198"/>
    <cellStyle name="Comma 2 3 2 2 2" xfId="9199"/>
    <cellStyle name="Comma 2 3 2 2 2 2" xfId="9200"/>
    <cellStyle name="Comma 2 3 2 2 2 2 2" xfId="9201"/>
    <cellStyle name="Comma 2 3 2 2 2 2 2 2" xfId="9202"/>
    <cellStyle name="Comma 2 3 2 2 2 2 3" xfId="9203"/>
    <cellStyle name="Comma 2 3 2 2 2 3" xfId="9204"/>
    <cellStyle name="Comma 2 3 2 2 2 3 2" xfId="9205"/>
    <cellStyle name="Comma 2 3 2 2 2 4" xfId="9206"/>
    <cellStyle name="Comma 2 3 2 2 3" xfId="9207"/>
    <cellStyle name="Comma 2 3 2 2 3 2" xfId="9208"/>
    <cellStyle name="Comma 2 3 2 2 3 2 2" xfId="9209"/>
    <cellStyle name="Comma 2 3 2 2 3 3" xfId="9210"/>
    <cellStyle name="Comma 2 3 2 2 4" xfId="9211"/>
    <cellStyle name="Comma 2 3 2 2 4 2" xfId="9212"/>
    <cellStyle name="Comma 2 3 2 2 5" xfId="9213"/>
    <cellStyle name="Comma 2 3 2 3" xfId="9214"/>
    <cellStyle name="Comma 2 3 2 3 2" xfId="9215"/>
    <cellStyle name="Comma 2 3 2 3 2 2" xfId="9216"/>
    <cellStyle name="Comma 2 3 2 3 2 2 2" xfId="9217"/>
    <cellStyle name="Comma 2 3 2 3 2 3" xfId="9218"/>
    <cellStyle name="Comma 2 3 2 3 3" xfId="9219"/>
    <cellStyle name="Comma 2 3 2 3 3 2" xfId="9220"/>
    <cellStyle name="Comma 2 3 2 3 4" xfId="9221"/>
    <cellStyle name="Comma 2 3 2 4" xfId="9222"/>
    <cellStyle name="Comma 2 3 2 4 2" xfId="9223"/>
    <cellStyle name="Comma 2 3 2 4 2 2" xfId="9224"/>
    <cellStyle name="Comma 2 3 2 4 3" xfId="9225"/>
    <cellStyle name="Comma 2 3 2 5" xfId="9226"/>
    <cellStyle name="Comma 2 3 2 5 2" xfId="9227"/>
    <cellStyle name="Comma 2 3 2 6" xfId="9228"/>
    <cellStyle name="Comma 2 3 2 6 2" xfId="9229"/>
    <cellStyle name="Comma 2 3 2 7" xfId="9230"/>
    <cellStyle name="Comma 2 3 2 7 2" xfId="9231"/>
    <cellStyle name="Comma 2 3 2 8" xfId="9232"/>
    <cellStyle name="Comma 2 3 3" xfId="9233"/>
    <cellStyle name="Comma 2 3 3 2" xfId="9234"/>
    <cellStyle name="Comma 2 3 3 2 2" xfId="9235"/>
    <cellStyle name="Comma 2 3 3 2 2 2" xfId="9236"/>
    <cellStyle name="Comma 2 3 3 2 2 2 2" xfId="9237"/>
    <cellStyle name="Comma 2 3 3 2 2 3" xfId="9238"/>
    <cellStyle name="Comma 2 3 3 2 3" xfId="9239"/>
    <cellStyle name="Comma 2 3 3 2 3 2" xfId="9240"/>
    <cellStyle name="Comma 2 3 3 2 4" xfId="9241"/>
    <cellStyle name="Comma 2 3 3 3" xfId="9242"/>
    <cellStyle name="Comma 2 3 3 3 2" xfId="9243"/>
    <cellStyle name="Comma 2 3 3 3 2 2" xfId="9244"/>
    <cellStyle name="Comma 2 3 3 3 3" xfId="9245"/>
    <cellStyle name="Comma 2 3 3 4" xfId="9246"/>
    <cellStyle name="Comma 2 3 3 4 2" xfId="9247"/>
    <cellStyle name="Comma 2 3 3 5" xfId="9248"/>
    <cellStyle name="Comma 2 3 4" xfId="9249"/>
    <cellStyle name="Comma 2 3 4 2" xfId="9250"/>
    <cellStyle name="Comma 2 3 4 2 2" xfId="9251"/>
    <cellStyle name="Comma 2 3 4 2 2 2" xfId="9252"/>
    <cellStyle name="Comma 2 3 4 2 2 2 2" xfId="9253"/>
    <cellStyle name="Comma 2 3 4 2 2 3" xfId="9254"/>
    <cellStyle name="Comma 2 3 4 2 3" xfId="9255"/>
    <cellStyle name="Comma 2 3 4 2 3 2" xfId="9256"/>
    <cellStyle name="Comma 2 3 4 2 4" xfId="9257"/>
    <cellStyle name="Comma 2 3 4 3" xfId="9258"/>
    <cellStyle name="Comma 2 3 4 3 2" xfId="9259"/>
    <cellStyle name="Comma 2 3 4 3 2 2" xfId="9260"/>
    <cellStyle name="Comma 2 3 4 3 3" xfId="9261"/>
    <cellStyle name="Comma 2 3 4 4" xfId="9262"/>
    <cellStyle name="Comma 2 3 4 4 2" xfId="9263"/>
    <cellStyle name="Comma 2 3 4 5" xfId="9264"/>
    <cellStyle name="Comma 2 3 5" xfId="9265"/>
    <cellStyle name="Comma 2 3 5 2" xfId="9266"/>
    <cellStyle name="Comma 2 3 6" xfId="9267"/>
    <cellStyle name="Comma 2 3 6 2" xfId="9268"/>
    <cellStyle name="Comma 2 3 6 2 2" xfId="9269"/>
    <cellStyle name="Comma 2 3 6 2 2 2" xfId="9270"/>
    <cellStyle name="Comma 2 3 6 2 3" xfId="9271"/>
    <cellStyle name="Comma 2 3 6 3" xfId="9272"/>
    <cellStyle name="Comma 2 3 6 3 2" xfId="9273"/>
    <cellStyle name="Comma 2 3 6 4" xfId="9274"/>
    <cellStyle name="Comma 2 3 7" xfId="9275"/>
    <cellStyle name="Comma 2 3 7 2" xfId="9276"/>
    <cellStyle name="Comma 2 3 7 2 2" xfId="9277"/>
    <cellStyle name="Comma 2 3 7 3" xfId="9278"/>
    <cellStyle name="Comma 2 3 8" xfId="9279"/>
    <cellStyle name="Comma 2 3 8 2" xfId="9280"/>
    <cellStyle name="Comma 2 3 8 2 2" xfId="9281"/>
    <cellStyle name="Comma 2 3 8 3" xfId="9282"/>
    <cellStyle name="Comma 2 3 9" xfId="9283"/>
    <cellStyle name="Comma 2 3 9 2" xfId="9284"/>
    <cellStyle name="Comma 2 4" xfId="336"/>
    <cellStyle name="Comma 2 4 2" xfId="9285"/>
    <cellStyle name="Comma 2 5" xfId="337"/>
    <cellStyle name="Comma 2 5 10" xfId="9286"/>
    <cellStyle name="Comma 2 5 10 2" xfId="9287"/>
    <cellStyle name="Comma 2 5 11" xfId="9288"/>
    <cellStyle name="Comma 2 5 11 2" xfId="9289"/>
    <cellStyle name="Comma 2 5 12" xfId="9290"/>
    <cellStyle name="Comma 2 5 2" xfId="9291"/>
    <cellStyle name="Comma 2 5 2 2" xfId="9292"/>
    <cellStyle name="Comma 2 5 2 2 2" xfId="9293"/>
    <cellStyle name="Comma 2 5 2 2 2 2" xfId="9294"/>
    <cellStyle name="Comma 2 5 2 2 2 2 2" xfId="9295"/>
    <cellStyle name="Comma 2 5 2 2 2 2 2 2" xfId="9296"/>
    <cellStyle name="Comma 2 5 2 2 2 2 3" xfId="9297"/>
    <cellStyle name="Comma 2 5 2 2 2 3" xfId="9298"/>
    <cellStyle name="Comma 2 5 2 2 2 3 2" xfId="9299"/>
    <cellStyle name="Comma 2 5 2 2 2 4" xfId="9300"/>
    <cellStyle name="Comma 2 5 2 2 3" xfId="9301"/>
    <cellStyle name="Comma 2 5 2 2 3 2" xfId="9302"/>
    <cellStyle name="Comma 2 5 2 2 3 2 2" xfId="9303"/>
    <cellStyle name="Comma 2 5 2 2 3 3" xfId="9304"/>
    <cellStyle name="Comma 2 5 2 2 4" xfId="9305"/>
    <cellStyle name="Comma 2 5 2 2 4 2" xfId="9306"/>
    <cellStyle name="Comma 2 5 2 2 5" xfId="9307"/>
    <cellStyle name="Comma 2 5 2 3" xfId="9308"/>
    <cellStyle name="Comma 2 5 2 3 2" xfId="9309"/>
    <cellStyle name="Comma 2 5 2 3 2 2" xfId="9310"/>
    <cellStyle name="Comma 2 5 2 3 2 2 2" xfId="9311"/>
    <cellStyle name="Comma 2 5 2 3 2 3" xfId="9312"/>
    <cellStyle name="Comma 2 5 2 3 3" xfId="9313"/>
    <cellStyle name="Comma 2 5 2 3 3 2" xfId="9314"/>
    <cellStyle name="Comma 2 5 2 3 4" xfId="9315"/>
    <cellStyle name="Comma 2 5 2 4" xfId="9316"/>
    <cellStyle name="Comma 2 5 2 4 2" xfId="9317"/>
    <cellStyle name="Comma 2 5 2 4 2 2" xfId="9318"/>
    <cellStyle name="Comma 2 5 2 4 3" xfId="9319"/>
    <cellStyle name="Comma 2 5 2 5" xfId="9320"/>
    <cellStyle name="Comma 2 5 2 5 2" xfId="9321"/>
    <cellStyle name="Comma 2 5 2 6" xfId="9322"/>
    <cellStyle name="Comma 2 5 2 6 2" xfId="9323"/>
    <cellStyle name="Comma 2 5 2 7" xfId="9324"/>
    <cellStyle name="Comma 2 5 2 7 2" xfId="9325"/>
    <cellStyle name="Comma 2 5 2 8" xfId="9326"/>
    <cellStyle name="Comma 2 5 3" xfId="9327"/>
    <cellStyle name="Comma 2 5 3 2" xfId="9328"/>
    <cellStyle name="Comma 2 5 3 2 2" xfId="9329"/>
    <cellStyle name="Comma 2 5 3 2 2 2" xfId="9330"/>
    <cellStyle name="Comma 2 5 3 2 2 2 2" xfId="9331"/>
    <cellStyle name="Comma 2 5 3 2 2 3" xfId="9332"/>
    <cellStyle name="Comma 2 5 3 2 3" xfId="9333"/>
    <cellStyle name="Comma 2 5 3 2 3 2" xfId="9334"/>
    <cellStyle name="Comma 2 5 3 2 4" xfId="9335"/>
    <cellStyle name="Comma 2 5 3 3" xfId="9336"/>
    <cellStyle name="Comma 2 5 3 3 2" xfId="9337"/>
    <cellStyle name="Comma 2 5 3 3 2 2" xfId="9338"/>
    <cellStyle name="Comma 2 5 3 3 3" xfId="9339"/>
    <cellStyle name="Comma 2 5 3 4" xfId="9340"/>
    <cellStyle name="Comma 2 5 3 4 2" xfId="9341"/>
    <cellStyle name="Comma 2 5 3 5" xfId="9342"/>
    <cellStyle name="Comma 2 5 4" xfId="9343"/>
    <cellStyle name="Comma 2 5 4 2" xfId="9344"/>
    <cellStyle name="Comma 2 5 4 2 2" xfId="9345"/>
    <cellStyle name="Comma 2 5 4 2 2 2" xfId="9346"/>
    <cellStyle name="Comma 2 5 4 2 2 2 2" xfId="9347"/>
    <cellStyle name="Comma 2 5 4 2 2 3" xfId="9348"/>
    <cellStyle name="Comma 2 5 4 2 3" xfId="9349"/>
    <cellStyle name="Comma 2 5 4 2 3 2" xfId="9350"/>
    <cellStyle name="Comma 2 5 4 2 4" xfId="9351"/>
    <cellStyle name="Comma 2 5 4 3" xfId="9352"/>
    <cellStyle name="Comma 2 5 4 3 2" xfId="9353"/>
    <cellStyle name="Comma 2 5 4 3 2 2" xfId="9354"/>
    <cellStyle name="Comma 2 5 4 3 3" xfId="9355"/>
    <cellStyle name="Comma 2 5 4 4" xfId="9356"/>
    <cellStyle name="Comma 2 5 4 4 2" xfId="9357"/>
    <cellStyle name="Comma 2 5 4 5" xfId="9358"/>
    <cellStyle name="Comma 2 5 5" xfId="9359"/>
    <cellStyle name="Comma 2 5 5 2" xfId="9360"/>
    <cellStyle name="Comma 2 5 6" xfId="9361"/>
    <cellStyle name="Comma 2 5 6 2" xfId="9362"/>
    <cellStyle name="Comma 2 5 6 2 2" xfId="9363"/>
    <cellStyle name="Comma 2 5 6 2 2 2" xfId="9364"/>
    <cellStyle name="Comma 2 5 6 2 3" xfId="9365"/>
    <cellStyle name="Comma 2 5 6 3" xfId="9366"/>
    <cellStyle name="Comma 2 5 6 3 2" xfId="9367"/>
    <cellStyle name="Comma 2 5 6 4" xfId="9368"/>
    <cellStyle name="Comma 2 5 7" xfId="9369"/>
    <cellStyle name="Comma 2 5 7 2" xfId="9370"/>
    <cellStyle name="Comma 2 5 7 2 2" xfId="9371"/>
    <cellStyle name="Comma 2 5 7 3" xfId="9372"/>
    <cellStyle name="Comma 2 5 8" xfId="9373"/>
    <cellStyle name="Comma 2 5 8 2" xfId="9374"/>
    <cellStyle name="Comma 2 5 8 2 2" xfId="9375"/>
    <cellStyle name="Comma 2 5 8 3" xfId="9376"/>
    <cellStyle name="Comma 2 5 9" xfId="9377"/>
    <cellStyle name="Comma 2 5 9 2" xfId="9378"/>
    <cellStyle name="Comma 2 6" xfId="338"/>
    <cellStyle name="Comma 2 6 2" xfId="9379"/>
    <cellStyle name="Comma 2 7" xfId="339"/>
    <cellStyle name="Comma 2 7 2" xfId="9380"/>
    <cellStyle name="Comma 2 8" xfId="1065"/>
    <cellStyle name="Comma 2 8 2" xfId="9381"/>
    <cellStyle name="Comma 2 8 3" xfId="15687"/>
    <cellStyle name="Comma 2 8 3 2" xfId="20557"/>
    <cellStyle name="Comma 2 8 3 2 2" xfId="30270"/>
    <cellStyle name="Comma 2 8 3 2 2 2" xfId="50023"/>
    <cellStyle name="Comma 2 8 3 2 3" xfId="40379"/>
    <cellStyle name="Comma 2 8 3 3" xfId="25458"/>
    <cellStyle name="Comma 2 8 3 3 2" xfId="45212"/>
    <cellStyle name="Comma 2 8 3 4" xfId="35568"/>
    <cellStyle name="Comma 2 8 4" xfId="16411"/>
    <cellStyle name="Comma 2 8 4 2" xfId="26127"/>
    <cellStyle name="Comma 2 8 4 2 2" xfId="45881"/>
    <cellStyle name="Comma 2 8 4 3" xfId="36237"/>
    <cellStyle name="Comma 2 8 5" xfId="21317"/>
    <cellStyle name="Comma 2 8 5 2" xfId="41072"/>
    <cellStyle name="Comma 2 8 6" xfId="30693"/>
    <cellStyle name="Comma 2 8 6 2" xfId="50440"/>
    <cellStyle name="Comma 2 8 7" xfId="31428"/>
    <cellStyle name="Comma 2 9" xfId="9382"/>
    <cellStyle name="Comma 2 9 2" xfId="15688"/>
    <cellStyle name="Comma 20" xfId="20662"/>
    <cellStyle name="Comma 20 2" xfId="30339"/>
    <cellStyle name="Comma 20 2 2" xfId="50088"/>
    <cellStyle name="Comma 20 3" xfId="40444"/>
    <cellStyle name="Comma 21" xfId="20894"/>
    <cellStyle name="Comma 22" xfId="31005"/>
    <cellStyle name="Comma 3" xfId="340"/>
    <cellStyle name="Comma 3 2" xfId="341"/>
    <cellStyle name="Comma 3 2 2" xfId="9383"/>
    <cellStyle name="Comma 3 2 2 2" xfId="9384"/>
    <cellStyle name="Comma 3 2 2 2 10" xfId="9385"/>
    <cellStyle name="Comma 3 2 2 2 10 2" xfId="9386"/>
    <cellStyle name="Comma 3 2 2 2 11" xfId="9387"/>
    <cellStyle name="Comma 3 2 2 2 2" xfId="9388"/>
    <cellStyle name="Comma 3 2 2 2 2 2" xfId="9389"/>
    <cellStyle name="Comma 3 2 2 2 2 2 2" xfId="9390"/>
    <cellStyle name="Comma 3 2 2 2 2 2 2 2" xfId="9391"/>
    <cellStyle name="Comma 3 2 2 2 2 2 2 2 2" xfId="9392"/>
    <cellStyle name="Comma 3 2 2 2 2 2 2 2 2 2" xfId="9393"/>
    <cellStyle name="Comma 3 2 2 2 2 2 2 2 3" xfId="9394"/>
    <cellStyle name="Comma 3 2 2 2 2 2 2 3" xfId="9395"/>
    <cellStyle name="Comma 3 2 2 2 2 2 2 3 2" xfId="9396"/>
    <cellStyle name="Comma 3 2 2 2 2 2 2 4" xfId="9397"/>
    <cellStyle name="Comma 3 2 2 2 2 2 3" xfId="9398"/>
    <cellStyle name="Comma 3 2 2 2 2 2 3 2" xfId="9399"/>
    <cellStyle name="Comma 3 2 2 2 2 2 3 2 2" xfId="9400"/>
    <cellStyle name="Comma 3 2 2 2 2 2 3 3" xfId="9401"/>
    <cellStyle name="Comma 3 2 2 2 2 2 4" xfId="9402"/>
    <cellStyle name="Comma 3 2 2 2 2 2 4 2" xfId="9403"/>
    <cellStyle name="Comma 3 2 2 2 2 2 5" xfId="9404"/>
    <cellStyle name="Comma 3 2 2 2 2 3" xfId="9405"/>
    <cellStyle name="Comma 3 2 2 2 2 3 2" xfId="9406"/>
    <cellStyle name="Comma 3 2 2 2 2 3 2 2" xfId="9407"/>
    <cellStyle name="Comma 3 2 2 2 2 3 2 2 2" xfId="9408"/>
    <cellStyle name="Comma 3 2 2 2 2 3 2 3" xfId="9409"/>
    <cellStyle name="Comma 3 2 2 2 2 3 3" xfId="9410"/>
    <cellStyle name="Comma 3 2 2 2 2 3 3 2" xfId="9411"/>
    <cellStyle name="Comma 3 2 2 2 2 3 4" xfId="9412"/>
    <cellStyle name="Comma 3 2 2 2 2 4" xfId="9413"/>
    <cellStyle name="Comma 3 2 2 2 2 4 2" xfId="9414"/>
    <cellStyle name="Comma 3 2 2 2 2 4 2 2" xfId="9415"/>
    <cellStyle name="Comma 3 2 2 2 2 4 3" xfId="9416"/>
    <cellStyle name="Comma 3 2 2 2 2 5" xfId="9417"/>
    <cellStyle name="Comma 3 2 2 2 2 5 2" xfId="9418"/>
    <cellStyle name="Comma 3 2 2 2 2 6" xfId="9419"/>
    <cellStyle name="Comma 3 2 2 2 2 6 2" xfId="9420"/>
    <cellStyle name="Comma 3 2 2 2 2 7" xfId="9421"/>
    <cellStyle name="Comma 3 2 2 2 2 7 2" xfId="9422"/>
    <cellStyle name="Comma 3 2 2 2 2 8" xfId="9423"/>
    <cellStyle name="Comma 3 2 2 2 3" xfId="9424"/>
    <cellStyle name="Comma 3 2 2 2 3 2" xfId="9425"/>
    <cellStyle name="Comma 3 2 2 2 3 2 2" xfId="9426"/>
    <cellStyle name="Comma 3 2 2 2 3 2 2 2" xfId="9427"/>
    <cellStyle name="Comma 3 2 2 2 3 2 2 2 2" xfId="9428"/>
    <cellStyle name="Comma 3 2 2 2 3 2 2 3" xfId="9429"/>
    <cellStyle name="Comma 3 2 2 2 3 2 3" xfId="9430"/>
    <cellStyle name="Comma 3 2 2 2 3 2 3 2" xfId="9431"/>
    <cellStyle name="Comma 3 2 2 2 3 2 4" xfId="9432"/>
    <cellStyle name="Comma 3 2 2 2 3 3" xfId="9433"/>
    <cellStyle name="Comma 3 2 2 2 3 3 2" xfId="9434"/>
    <cellStyle name="Comma 3 2 2 2 3 3 2 2" xfId="9435"/>
    <cellStyle name="Comma 3 2 2 2 3 3 3" xfId="9436"/>
    <cellStyle name="Comma 3 2 2 2 3 4" xfId="9437"/>
    <cellStyle name="Comma 3 2 2 2 3 4 2" xfId="9438"/>
    <cellStyle name="Comma 3 2 2 2 3 5" xfId="9439"/>
    <cellStyle name="Comma 3 2 2 2 4" xfId="9440"/>
    <cellStyle name="Comma 3 2 2 2 4 2" xfId="9441"/>
    <cellStyle name="Comma 3 2 2 2 4 2 2" xfId="9442"/>
    <cellStyle name="Comma 3 2 2 2 4 2 2 2" xfId="9443"/>
    <cellStyle name="Comma 3 2 2 2 4 2 2 2 2" xfId="9444"/>
    <cellStyle name="Comma 3 2 2 2 4 2 2 3" xfId="9445"/>
    <cellStyle name="Comma 3 2 2 2 4 2 3" xfId="9446"/>
    <cellStyle name="Comma 3 2 2 2 4 2 3 2" xfId="9447"/>
    <cellStyle name="Comma 3 2 2 2 4 2 4" xfId="9448"/>
    <cellStyle name="Comma 3 2 2 2 4 3" xfId="9449"/>
    <cellStyle name="Comma 3 2 2 2 4 3 2" xfId="9450"/>
    <cellStyle name="Comma 3 2 2 2 4 3 2 2" xfId="9451"/>
    <cellStyle name="Comma 3 2 2 2 4 3 3" xfId="9452"/>
    <cellStyle name="Comma 3 2 2 2 4 4" xfId="9453"/>
    <cellStyle name="Comma 3 2 2 2 4 4 2" xfId="9454"/>
    <cellStyle name="Comma 3 2 2 2 4 5" xfId="9455"/>
    <cellStyle name="Comma 3 2 2 2 5" xfId="9456"/>
    <cellStyle name="Comma 3 2 2 2 5 2" xfId="9457"/>
    <cellStyle name="Comma 3 2 2 2 5 2 2" xfId="9458"/>
    <cellStyle name="Comma 3 2 2 2 5 2 2 2" xfId="9459"/>
    <cellStyle name="Comma 3 2 2 2 5 2 3" xfId="9460"/>
    <cellStyle name="Comma 3 2 2 2 5 3" xfId="9461"/>
    <cellStyle name="Comma 3 2 2 2 5 3 2" xfId="9462"/>
    <cellStyle name="Comma 3 2 2 2 5 4" xfId="9463"/>
    <cellStyle name="Comma 3 2 2 2 6" xfId="9464"/>
    <cellStyle name="Comma 3 2 2 2 6 2" xfId="9465"/>
    <cellStyle name="Comma 3 2 2 2 6 2 2" xfId="9466"/>
    <cellStyle name="Comma 3 2 2 2 6 3" xfId="9467"/>
    <cellStyle name="Comma 3 2 2 2 7" xfId="9468"/>
    <cellStyle name="Comma 3 2 2 2 7 2" xfId="9469"/>
    <cellStyle name="Comma 3 2 2 2 7 2 2" xfId="9470"/>
    <cellStyle name="Comma 3 2 2 2 7 3" xfId="9471"/>
    <cellStyle name="Comma 3 2 2 2 8" xfId="9472"/>
    <cellStyle name="Comma 3 2 2 2 8 2" xfId="9473"/>
    <cellStyle name="Comma 3 2 2 2 9" xfId="9474"/>
    <cellStyle name="Comma 3 2 2 2 9 2" xfId="9475"/>
    <cellStyle name="Comma 3 2 2 3" xfId="9476"/>
    <cellStyle name="Comma 3 2 3" xfId="9477"/>
    <cellStyle name="Comma 3 2 3 10" xfId="9478"/>
    <cellStyle name="Comma 3 2 3 10 2" xfId="9479"/>
    <cellStyle name="Comma 3 2 3 11" xfId="9480"/>
    <cellStyle name="Comma 3 2 3 2" xfId="9481"/>
    <cellStyle name="Comma 3 2 3 2 2" xfId="9482"/>
    <cellStyle name="Comma 3 2 3 2 2 2" xfId="9483"/>
    <cellStyle name="Comma 3 2 3 2 2 2 2" xfId="9484"/>
    <cellStyle name="Comma 3 2 3 2 2 2 2 2" xfId="9485"/>
    <cellStyle name="Comma 3 2 3 2 2 2 2 2 2" xfId="9486"/>
    <cellStyle name="Comma 3 2 3 2 2 2 2 3" xfId="9487"/>
    <cellStyle name="Comma 3 2 3 2 2 2 3" xfId="9488"/>
    <cellStyle name="Comma 3 2 3 2 2 2 3 2" xfId="9489"/>
    <cellStyle name="Comma 3 2 3 2 2 2 4" xfId="9490"/>
    <cellStyle name="Comma 3 2 3 2 2 3" xfId="9491"/>
    <cellStyle name="Comma 3 2 3 2 2 3 2" xfId="9492"/>
    <cellStyle name="Comma 3 2 3 2 2 3 2 2" xfId="9493"/>
    <cellStyle name="Comma 3 2 3 2 2 3 3" xfId="9494"/>
    <cellStyle name="Comma 3 2 3 2 2 4" xfId="9495"/>
    <cellStyle name="Comma 3 2 3 2 2 4 2" xfId="9496"/>
    <cellStyle name="Comma 3 2 3 2 2 5" xfId="9497"/>
    <cellStyle name="Comma 3 2 3 2 3" xfId="9498"/>
    <cellStyle name="Comma 3 2 3 2 3 2" xfId="9499"/>
    <cellStyle name="Comma 3 2 3 2 3 2 2" xfId="9500"/>
    <cellStyle name="Comma 3 2 3 2 3 2 2 2" xfId="9501"/>
    <cellStyle name="Comma 3 2 3 2 3 2 3" xfId="9502"/>
    <cellStyle name="Comma 3 2 3 2 3 3" xfId="9503"/>
    <cellStyle name="Comma 3 2 3 2 3 3 2" xfId="9504"/>
    <cellStyle name="Comma 3 2 3 2 3 4" xfId="9505"/>
    <cellStyle name="Comma 3 2 3 2 4" xfId="9506"/>
    <cellStyle name="Comma 3 2 3 2 4 2" xfId="9507"/>
    <cellStyle name="Comma 3 2 3 2 4 2 2" xfId="9508"/>
    <cellStyle name="Comma 3 2 3 2 4 3" xfId="9509"/>
    <cellStyle name="Comma 3 2 3 2 5" xfId="9510"/>
    <cellStyle name="Comma 3 2 3 2 5 2" xfId="9511"/>
    <cellStyle name="Comma 3 2 3 2 6" xfId="9512"/>
    <cellStyle name="Comma 3 2 3 2 6 2" xfId="9513"/>
    <cellStyle name="Comma 3 2 3 2 7" xfId="9514"/>
    <cellStyle name="Comma 3 2 3 2 7 2" xfId="9515"/>
    <cellStyle name="Comma 3 2 3 2 8" xfId="9516"/>
    <cellStyle name="Comma 3 2 3 3" xfId="9517"/>
    <cellStyle name="Comma 3 2 3 3 2" xfId="9518"/>
    <cellStyle name="Comma 3 2 3 3 2 2" xfId="9519"/>
    <cellStyle name="Comma 3 2 3 3 2 2 2" xfId="9520"/>
    <cellStyle name="Comma 3 2 3 3 2 2 2 2" xfId="9521"/>
    <cellStyle name="Comma 3 2 3 3 2 2 3" xfId="9522"/>
    <cellStyle name="Comma 3 2 3 3 2 3" xfId="9523"/>
    <cellStyle name="Comma 3 2 3 3 2 3 2" xfId="9524"/>
    <cellStyle name="Comma 3 2 3 3 2 4" xfId="9525"/>
    <cellStyle name="Comma 3 2 3 3 3" xfId="9526"/>
    <cellStyle name="Comma 3 2 3 3 3 2" xfId="9527"/>
    <cellStyle name="Comma 3 2 3 3 3 2 2" xfId="9528"/>
    <cellStyle name="Comma 3 2 3 3 3 3" xfId="9529"/>
    <cellStyle name="Comma 3 2 3 3 4" xfId="9530"/>
    <cellStyle name="Comma 3 2 3 3 4 2" xfId="9531"/>
    <cellStyle name="Comma 3 2 3 3 5" xfId="9532"/>
    <cellStyle name="Comma 3 2 3 4" xfId="9533"/>
    <cellStyle name="Comma 3 2 3 4 2" xfId="9534"/>
    <cellStyle name="Comma 3 2 3 4 2 2" xfId="9535"/>
    <cellStyle name="Comma 3 2 3 4 2 2 2" xfId="9536"/>
    <cellStyle name="Comma 3 2 3 4 2 2 2 2" xfId="9537"/>
    <cellStyle name="Comma 3 2 3 4 2 2 3" xfId="9538"/>
    <cellStyle name="Comma 3 2 3 4 2 3" xfId="9539"/>
    <cellStyle name="Comma 3 2 3 4 2 3 2" xfId="9540"/>
    <cellStyle name="Comma 3 2 3 4 2 4" xfId="9541"/>
    <cellStyle name="Comma 3 2 3 4 3" xfId="9542"/>
    <cellStyle name="Comma 3 2 3 4 3 2" xfId="9543"/>
    <cellStyle name="Comma 3 2 3 4 3 2 2" xfId="9544"/>
    <cellStyle name="Comma 3 2 3 4 3 3" xfId="9545"/>
    <cellStyle name="Comma 3 2 3 4 4" xfId="9546"/>
    <cellStyle name="Comma 3 2 3 4 4 2" xfId="9547"/>
    <cellStyle name="Comma 3 2 3 4 5" xfId="9548"/>
    <cellStyle name="Comma 3 2 3 5" xfId="9549"/>
    <cellStyle name="Comma 3 2 3 5 2" xfId="9550"/>
    <cellStyle name="Comma 3 2 3 5 2 2" xfId="9551"/>
    <cellStyle name="Comma 3 2 3 5 2 2 2" xfId="9552"/>
    <cellStyle name="Comma 3 2 3 5 2 3" xfId="9553"/>
    <cellStyle name="Comma 3 2 3 5 3" xfId="9554"/>
    <cellStyle name="Comma 3 2 3 5 3 2" xfId="9555"/>
    <cellStyle name="Comma 3 2 3 5 4" xfId="9556"/>
    <cellStyle name="Comma 3 2 3 6" xfId="9557"/>
    <cellStyle name="Comma 3 2 3 6 2" xfId="9558"/>
    <cellStyle name="Comma 3 2 3 6 2 2" xfId="9559"/>
    <cellStyle name="Comma 3 2 3 6 3" xfId="9560"/>
    <cellStyle name="Comma 3 2 3 7" xfId="9561"/>
    <cellStyle name="Comma 3 2 3 7 2" xfId="9562"/>
    <cellStyle name="Comma 3 2 3 7 2 2" xfId="9563"/>
    <cellStyle name="Comma 3 2 3 7 3" xfId="9564"/>
    <cellStyle name="Comma 3 2 3 8" xfId="9565"/>
    <cellStyle name="Comma 3 2 3 8 2" xfId="9566"/>
    <cellStyle name="Comma 3 2 3 9" xfId="9567"/>
    <cellStyle name="Comma 3 2 3 9 2" xfId="9568"/>
    <cellStyle name="Comma 3 2 4" xfId="9569"/>
    <cellStyle name="Comma 3 2 4 2" xfId="9570"/>
    <cellStyle name="Comma 3 2 5" xfId="9571"/>
    <cellStyle name="Comma 3 2 5 2" xfId="9572"/>
    <cellStyle name="Comma 3 2 6" xfId="9573"/>
    <cellStyle name="Comma 3 3" xfId="342"/>
    <cellStyle name="Comma 3 3 2" xfId="9574"/>
    <cellStyle name="Comma 3 3 2 10" xfId="9575"/>
    <cellStyle name="Comma 3 3 2 10 2" xfId="9576"/>
    <cellStyle name="Comma 3 3 2 11" xfId="9577"/>
    <cellStyle name="Comma 3 3 2 2" xfId="9578"/>
    <cellStyle name="Comma 3 3 2 2 2" xfId="9579"/>
    <cellStyle name="Comma 3 3 2 2 2 2" xfId="9580"/>
    <cellStyle name="Comma 3 3 2 2 2 2 2" xfId="9581"/>
    <cellStyle name="Comma 3 3 2 2 2 2 2 2" xfId="9582"/>
    <cellStyle name="Comma 3 3 2 2 2 2 2 2 2" xfId="9583"/>
    <cellStyle name="Comma 3 3 2 2 2 2 2 3" xfId="9584"/>
    <cellStyle name="Comma 3 3 2 2 2 2 3" xfId="9585"/>
    <cellStyle name="Comma 3 3 2 2 2 2 3 2" xfId="9586"/>
    <cellStyle name="Comma 3 3 2 2 2 2 4" xfId="9587"/>
    <cellStyle name="Comma 3 3 2 2 2 3" xfId="9588"/>
    <cellStyle name="Comma 3 3 2 2 2 3 2" xfId="9589"/>
    <cellStyle name="Comma 3 3 2 2 2 3 2 2" xfId="9590"/>
    <cellStyle name="Comma 3 3 2 2 2 3 3" xfId="9591"/>
    <cellStyle name="Comma 3 3 2 2 2 4" xfId="9592"/>
    <cellStyle name="Comma 3 3 2 2 2 4 2" xfId="9593"/>
    <cellStyle name="Comma 3 3 2 2 2 5" xfId="9594"/>
    <cellStyle name="Comma 3 3 2 2 3" xfId="9595"/>
    <cellStyle name="Comma 3 3 2 2 3 2" xfId="9596"/>
    <cellStyle name="Comma 3 3 2 2 3 2 2" xfId="9597"/>
    <cellStyle name="Comma 3 3 2 2 3 2 2 2" xfId="9598"/>
    <cellStyle name="Comma 3 3 2 2 3 2 3" xfId="9599"/>
    <cellStyle name="Comma 3 3 2 2 3 3" xfId="9600"/>
    <cellStyle name="Comma 3 3 2 2 3 3 2" xfId="9601"/>
    <cellStyle name="Comma 3 3 2 2 3 4" xfId="9602"/>
    <cellStyle name="Comma 3 3 2 2 4" xfId="9603"/>
    <cellStyle name="Comma 3 3 2 2 4 2" xfId="9604"/>
    <cellStyle name="Comma 3 3 2 2 4 2 2" xfId="9605"/>
    <cellStyle name="Comma 3 3 2 2 4 3" xfId="9606"/>
    <cellStyle name="Comma 3 3 2 2 5" xfId="9607"/>
    <cellStyle name="Comma 3 3 2 2 5 2" xfId="9608"/>
    <cellStyle name="Comma 3 3 2 2 6" xfId="9609"/>
    <cellStyle name="Comma 3 3 2 2 6 2" xfId="9610"/>
    <cellStyle name="Comma 3 3 2 2 7" xfId="9611"/>
    <cellStyle name="Comma 3 3 2 2 7 2" xfId="9612"/>
    <cellStyle name="Comma 3 3 2 2 8" xfId="9613"/>
    <cellStyle name="Comma 3 3 2 3" xfId="9614"/>
    <cellStyle name="Comma 3 3 2 3 2" xfId="9615"/>
    <cellStyle name="Comma 3 3 2 3 2 2" xfId="9616"/>
    <cellStyle name="Comma 3 3 2 3 2 2 2" xfId="9617"/>
    <cellStyle name="Comma 3 3 2 3 2 2 2 2" xfId="9618"/>
    <cellStyle name="Comma 3 3 2 3 2 2 3" xfId="9619"/>
    <cellStyle name="Comma 3 3 2 3 2 3" xfId="9620"/>
    <cellStyle name="Comma 3 3 2 3 2 3 2" xfId="9621"/>
    <cellStyle name="Comma 3 3 2 3 2 4" xfId="9622"/>
    <cellStyle name="Comma 3 3 2 3 3" xfId="9623"/>
    <cellStyle name="Comma 3 3 2 3 3 2" xfId="9624"/>
    <cellStyle name="Comma 3 3 2 3 3 2 2" xfId="9625"/>
    <cellStyle name="Comma 3 3 2 3 3 3" xfId="9626"/>
    <cellStyle name="Comma 3 3 2 3 4" xfId="9627"/>
    <cellStyle name="Comma 3 3 2 3 4 2" xfId="9628"/>
    <cellStyle name="Comma 3 3 2 3 5" xfId="9629"/>
    <cellStyle name="Comma 3 3 2 4" xfId="9630"/>
    <cellStyle name="Comma 3 3 2 4 2" xfId="9631"/>
    <cellStyle name="Comma 3 3 2 4 2 2" xfId="9632"/>
    <cellStyle name="Comma 3 3 2 4 2 2 2" xfId="9633"/>
    <cellStyle name="Comma 3 3 2 4 2 2 2 2" xfId="9634"/>
    <cellStyle name="Comma 3 3 2 4 2 2 3" xfId="9635"/>
    <cellStyle name="Comma 3 3 2 4 2 3" xfId="9636"/>
    <cellStyle name="Comma 3 3 2 4 2 3 2" xfId="9637"/>
    <cellStyle name="Comma 3 3 2 4 2 4" xfId="9638"/>
    <cellStyle name="Comma 3 3 2 4 3" xfId="9639"/>
    <cellStyle name="Comma 3 3 2 4 3 2" xfId="9640"/>
    <cellStyle name="Comma 3 3 2 4 3 2 2" xfId="9641"/>
    <cellStyle name="Comma 3 3 2 4 3 3" xfId="9642"/>
    <cellStyle name="Comma 3 3 2 4 4" xfId="9643"/>
    <cellStyle name="Comma 3 3 2 4 4 2" xfId="9644"/>
    <cellStyle name="Comma 3 3 2 4 5" xfId="9645"/>
    <cellStyle name="Comma 3 3 2 5" xfId="9646"/>
    <cellStyle name="Comma 3 3 2 5 2" xfId="9647"/>
    <cellStyle name="Comma 3 3 2 5 2 2" xfId="9648"/>
    <cellStyle name="Comma 3 3 2 5 2 2 2" xfId="9649"/>
    <cellStyle name="Comma 3 3 2 5 2 3" xfId="9650"/>
    <cellStyle name="Comma 3 3 2 5 3" xfId="9651"/>
    <cellStyle name="Comma 3 3 2 5 3 2" xfId="9652"/>
    <cellStyle name="Comma 3 3 2 5 4" xfId="9653"/>
    <cellStyle name="Comma 3 3 2 6" xfId="9654"/>
    <cellStyle name="Comma 3 3 2 6 2" xfId="9655"/>
    <cellStyle name="Comma 3 3 2 6 2 2" xfId="9656"/>
    <cellStyle name="Comma 3 3 2 6 3" xfId="9657"/>
    <cellStyle name="Comma 3 3 2 7" xfId="9658"/>
    <cellStyle name="Comma 3 3 2 7 2" xfId="9659"/>
    <cellStyle name="Comma 3 3 2 7 2 2" xfId="9660"/>
    <cellStyle name="Comma 3 3 2 7 3" xfId="9661"/>
    <cellStyle name="Comma 3 3 2 8" xfId="9662"/>
    <cellStyle name="Comma 3 3 2 8 2" xfId="9663"/>
    <cellStyle name="Comma 3 3 2 9" xfId="9664"/>
    <cellStyle name="Comma 3 3 2 9 2" xfId="9665"/>
    <cellStyle name="Comma 3 3 3" xfId="9666"/>
    <cellStyle name="Comma 3 3 3 2" xfId="9667"/>
    <cellStyle name="Comma 3 3 4" xfId="9668"/>
    <cellStyle name="Comma 3 3 4 2" xfId="9669"/>
    <cellStyle name="Comma 3 3 5" xfId="9670"/>
    <cellStyle name="Comma 3 4" xfId="343"/>
    <cellStyle name="Comma 3 4 10" xfId="9671"/>
    <cellStyle name="Comma 3 4 10 2" xfId="9672"/>
    <cellStyle name="Comma 3 4 11" xfId="9673"/>
    <cellStyle name="Comma 3 4 11 2" xfId="9674"/>
    <cellStyle name="Comma 3 4 12" xfId="9675"/>
    <cellStyle name="Comma 3 4 2" xfId="9676"/>
    <cellStyle name="Comma 3 4 2 2" xfId="9677"/>
    <cellStyle name="Comma 3 4 2 2 2" xfId="9678"/>
    <cellStyle name="Comma 3 4 2 2 2 2" xfId="9679"/>
    <cellStyle name="Comma 3 4 2 2 2 2 2" xfId="9680"/>
    <cellStyle name="Comma 3 4 2 2 2 2 2 2" xfId="9681"/>
    <cellStyle name="Comma 3 4 2 2 2 2 3" xfId="9682"/>
    <cellStyle name="Comma 3 4 2 2 2 3" xfId="9683"/>
    <cellStyle name="Comma 3 4 2 2 2 3 2" xfId="9684"/>
    <cellStyle name="Comma 3 4 2 2 2 4" xfId="9685"/>
    <cellStyle name="Comma 3 4 2 2 3" xfId="9686"/>
    <cellStyle name="Comma 3 4 2 2 3 2" xfId="9687"/>
    <cellStyle name="Comma 3 4 2 2 3 2 2" xfId="9688"/>
    <cellStyle name="Comma 3 4 2 2 3 3" xfId="9689"/>
    <cellStyle name="Comma 3 4 2 2 4" xfId="9690"/>
    <cellStyle name="Comma 3 4 2 2 4 2" xfId="9691"/>
    <cellStyle name="Comma 3 4 2 2 5" xfId="9692"/>
    <cellStyle name="Comma 3 4 2 3" xfId="9693"/>
    <cellStyle name="Comma 3 4 2 3 2" xfId="9694"/>
    <cellStyle name="Comma 3 4 2 3 2 2" xfId="9695"/>
    <cellStyle name="Comma 3 4 2 3 2 2 2" xfId="9696"/>
    <cellStyle name="Comma 3 4 2 3 2 3" xfId="9697"/>
    <cellStyle name="Comma 3 4 2 3 3" xfId="9698"/>
    <cellStyle name="Comma 3 4 2 3 3 2" xfId="9699"/>
    <cellStyle name="Comma 3 4 2 3 4" xfId="9700"/>
    <cellStyle name="Comma 3 4 2 4" xfId="9701"/>
    <cellStyle name="Comma 3 4 2 4 2" xfId="9702"/>
    <cellStyle name="Comma 3 4 2 4 2 2" xfId="9703"/>
    <cellStyle name="Comma 3 4 2 4 3" xfId="9704"/>
    <cellStyle name="Comma 3 4 2 5" xfId="9705"/>
    <cellStyle name="Comma 3 4 2 5 2" xfId="9706"/>
    <cellStyle name="Comma 3 4 2 6" xfId="9707"/>
    <cellStyle name="Comma 3 4 2 6 2" xfId="9708"/>
    <cellStyle name="Comma 3 4 2 7" xfId="9709"/>
    <cellStyle name="Comma 3 4 2 7 2" xfId="9710"/>
    <cellStyle name="Comma 3 4 2 8" xfId="9711"/>
    <cellStyle name="Comma 3 4 3" xfId="9712"/>
    <cellStyle name="Comma 3 4 3 2" xfId="9713"/>
    <cellStyle name="Comma 3 4 3 2 2" xfId="9714"/>
    <cellStyle name="Comma 3 4 3 2 2 2" xfId="9715"/>
    <cellStyle name="Comma 3 4 3 2 2 2 2" xfId="9716"/>
    <cellStyle name="Comma 3 4 3 2 2 3" xfId="9717"/>
    <cellStyle name="Comma 3 4 3 2 3" xfId="9718"/>
    <cellStyle name="Comma 3 4 3 2 3 2" xfId="9719"/>
    <cellStyle name="Comma 3 4 3 2 4" xfId="9720"/>
    <cellStyle name="Comma 3 4 3 3" xfId="9721"/>
    <cellStyle name="Comma 3 4 3 3 2" xfId="9722"/>
    <cellStyle name="Comma 3 4 3 3 2 2" xfId="9723"/>
    <cellStyle name="Comma 3 4 3 3 3" xfId="9724"/>
    <cellStyle name="Comma 3 4 3 4" xfId="9725"/>
    <cellStyle name="Comma 3 4 3 4 2" xfId="9726"/>
    <cellStyle name="Comma 3 4 3 5" xfId="9727"/>
    <cellStyle name="Comma 3 4 4" xfId="9728"/>
    <cellStyle name="Comma 3 4 4 2" xfId="9729"/>
    <cellStyle name="Comma 3 4 4 2 2" xfId="9730"/>
    <cellStyle name="Comma 3 4 4 2 2 2" xfId="9731"/>
    <cellStyle name="Comma 3 4 4 2 2 2 2" xfId="9732"/>
    <cellStyle name="Comma 3 4 4 2 2 3" xfId="9733"/>
    <cellStyle name="Comma 3 4 4 2 3" xfId="9734"/>
    <cellStyle name="Comma 3 4 4 2 3 2" xfId="9735"/>
    <cellStyle name="Comma 3 4 4 2 4" xfId="9736"/>
    <cellStyle name="Comma 3 4 4 3" xfId="9737"/>
    <cellStyle name="Comma 3 4 4 3 2" xfId="9738"/>
    <cellStyle name="Comma 3 4 4 3 2 2" xfId="9739"/>
    <cellStyle name="Comma 3 4 4 3 3" xfId="9740"/>
    <cellStyle name="Comma 3 4 4 4" xfId="9741"/>
    <cellStyle name="Comma 3 4 4 4 2" xfId="9742"/>
    <cellStyle name="Comma 3 4 4 5" xfId="9743"/>
    <cellStyle name="Comma 3 4 5" xfId="9744"/>
    <cellStyle name="Comma 3 4 5 2" xfId="9745"/>
    <cellStyle name="Comma 3 4 6" xfId="9746"/>
    <cellStyle name="Comma 3 4 6 2" xfId="9747"/>
    <cellStyle name="Comma 3 4 6 2 2" xfId="9748"/>
    <cellStyle name="Comma 3 4 6 2 2 2" xfId="9749"/>
    <cellStyle name="Comma 3 4 6 2 3" xfId="9750"/>
    <cellStyle name="Comma 3 4 6 3" xfId="9751"/>
    <cellStyle name="Comma 3 4 6 3 2" xfId="9752"/>
    <cellStyle name="Comma 3 4 6 4" xfId="9753"/>
    <cellStyle name="Comma 3 4 7" xfId="9754"/>
    <cellStyle name="Comma 3 4 7 2" xfId="9755"/>
    <cellStyle name="Comma 3 4 7 2 2" xfId="9756"/>
    <cellStyle name="Comma 3 4 7 3" xfId="9757"/>
    <cellStyle name="Comma 3 4 8" xfId="9758"/>
    <cellStyle name="Comma 3 4 8 2" xfId="9759"/>
    <cellStyle name="Comma 3 4 8 2 2" xfId="9760"/>
    <cellStyle name="Comma 3 4 8 3" xfId="9761"/>
    <cellStyle name="Comma 3 4 9" xfId="9762"/>
    <cellStyle name="Comma 3 4 9 2" xfId="9763"/>
    <cellStyle name="Comma 3 5" xfId="344"/>
    <cellStyle name="Comma 3 5 2" xfId="9764"/>
    <cellStyle name="Comma 3 6" xfId="345"/>
    <cellStyle name="Comma 3 6 2" xfId="9765"/>
    <cellStyle name="Comma 3 7" xfId="346"/>
    <cellStyle name="Comma 3 7 2" xfId="9766"/>
    <cellStyle name="Comma 3 8" xfId="9767"/>
    <cellStyle name="Comma 3 8 2" xfId="9768"/>
    <cellStyle name="Comma 3 9" xfId="9769"/>
    <cellStyle name="Comma 4" xfId="347"/>
    <cellStyle name="Comma 4 10" xfId="9770"/>
    <cellStyle name="Comma 4 10 2" xfId="9771"/>
    <cellStyle name="Comma 4 10 2 2" xfId="9772"/>
    <cellStyle name="Comma 4 10 3" xfId="9773"/>
    <cellStyle name="Comma 4 11" xfId="9774"/>
    <cellStyle name="Comma 4 11 2" xfId="9775"/>
    <cellStyle name="Comma 4 12" xfId="9776"/>
    <cellStyle name="Comma 4 12 2" xfId="9777"/>
    <cellStyle name="Comma 4 13" xfId="9778"/>
    <cellStyle name="Comma 4 13 2" xfId="9779"/>
    <cellStyle name="Comma 4 14" xfId="9780"/>
    <cellStyle name="Comma 4 2" xfId="348"/>
    <cellStyle name="Comma 4 2 10" xfId="9781"/>
    <cellStyle name="Comma 4 2 10 2" xfId="9782"/>
    <cellStyle name="Comma 4 2 11" xfId="9783"/>
    <cellStyle name="Comma 4 2 11 2" xfId="9784"/>
    <cellStyle name="Comma 4 2 12" xfId="9785"/>
    <cellStyle name="Comma 4 2 12 2" xfId="9786"/>
    <cellStyle name="Comma 4 2 13" xfId="9787"/>
    <cellStyle name="Comma 4 2 2" xfId="9788"/>
    <cellStyle name="Comma 4 2 2 10" xfId="9789"/>
    <cellStyle name="Comma 4 2 2 10 2" xfId="9790"/>
    <cellStyle name="Comma 4 2 2 11" xfId="9791"/>
    <cellStyle name="Comma 4 2 2 2" xfId="9792"/>
    <cellStyle name="Comma 4 2 2 2 2" xfId="9793"/>
    <cellStyle name="Comma 4 2 2 2 2 2" xfId="9794"/>
    <cellStyle name="Comma 4 2 2 2 2 2 2" xfId="9795"/>
    <cellStyle name="Comma 4 2 2 2 2 2 2 2" xfId="9796"/>
    <cellStyle name="Comma 4 2 2 2 2 2 2 2 2" xfId="9797"/>
    <cellStyle name="Comma 4 2 2 2 2 2 2 3" xfId="9798"/>
    <cellStyle name="Comma 4 2 2 2 2 2 3" xfId="9799"/>
    <cellStyle name="Comma 4 2 2 2 2 2 3 2" xfId="9800"/>
    <cellStyle name="Comma 4 2 2 2 2 2 4" xfId="9801"/>
    <cellStyle name="Comma 4 2 2 2 2 3" xfId="9802"/>
    <cellStyle name="Comma 4 2 2 2 2 3 2" xfId="9803"/>
    <cellStyle name="Comma 4 2 2 2 2 3 2 2" xfId="9804"/>
    <cellStyle name="Comma 4 2 2 2 2 3 3" xfId="9805"/>
    <cellStyle name="Comma 4 2 2 2 2 4" xfId="9806"/>
    <cellStyle name="Comma 4 2 2 2 2 4 2" xfId="9807"/>
    <cellStyle name="Comma 4 2 2 2 2 5" xfId="9808"/>
    <cellStyle name="Comma 4 2 2 2 3" xfId="9809"/>
    <cellStyle name="Comma 4 2 2 2 3 2" xfId="9810"/>
    <cellStyle name="Comma 4 2 2 2 3 2 2" xfId="9811"/>
    <cellStyle name="Comma 4 2 2 2 3 2 2 2" xfId="9812"/>
    <cellStyle name="Comma 4 2 2 2 3 2 3" xfId="9813"/>
    <cellStyle name="Comma 4 2 2 2 3 3" xfId="9814"/>
    <cellStyle name="Comma 4 2 2 2 3 3 2" xfId="9815"/>
    <cellStyle name="Comma 4 2 2 2 3 4" xfId="9816"/>
    <cellStyle name="Comma 4 2 2 2 4" xfId="9817"/>
    <cellStyle name="Comma 4 2 2 2 4 2" xfId="9818"/>
    <cellStyle name="Comma 4 2 2 2 4 2 2" xfId="9819"/>
    <cellStyle name="Comma 4 2 2 2 4 3" xfId="9820"/>
    <cellStyle name="Comma 4 2 2 2 5" xfId="9821"/>
    <cellStyle name="Comma 4 2 2 2 5 2" xfId="9822"/>
    <cellStyle name="Comma 4 2 2 2 6" xfId="9823"/>
    <cellStyle name="Comma 4 2 2 2 6 2" xfId="9824"/>
    <cellStyle name="Comma 4 2 2 2 7" xfId="9825"/>
    <cellStyle name="Comma 4 2 2 2 7 2" xfId="9826"/>
    <cellStyle name="Comma 4 2 2 2 8" xfId="9827"/>
    <cellStyle name="Comma 4 2 2 3" xfId="9828"/>
    <cellStyle name="Comma 4 2 2 3 2" xfId="9829"/>
    <cellStyle name="Comma 4 2 2 3 2 2" xfId="9830"/>
    <cellStyle name="Comma 4 2 2 3 2 2 2" xfId="9831"/>
    <cellStyle name="Comma 4 2 2 3 2 2 2 2" xfId="9832"/>
    <cellStyle name="Comma 4 2 2 3 2 2 3" xfId="9833"/>
    <cellStyle name="Comma 4 2 2 3 2 3" xfId="9834"/>
    <cellStyle name="Comma 4 2 2 3 2 3 2" xfId="9835"/>
    <cellStyle name="Comma 4 2 2 3 2 4" xfId="9836"/>
    <cellStyle name="Comma 4 2 2 3 3" xfId="9837"/>
    <cellStyle name="Comma 4 2 2 3 3 2" xfId="9838"/>
    <cellStyle name="Comma 4 2 2 3 3 2 2" xfId="9839"/>
    <cellStyle name="Comma 4 2 2 3 3 3" xfId="9840"/>
    <cellStyle name="Comma 4 2 2 3 4" xfId="9841"/>
    <cellStyle name="Comma 4 2 2 3 4 2" xfId="9842"/>
    <cellStyle name="Comma 4 2 2 3 5" xfId="9843"/>
    <cellStyle name="Comma 4 2 2 4" xfId="9844"/>
    <cellStyle name="Comma 4 2 2 4 2" xfId="9845"/>
    <cellStyle name="Comma 4 2 2 4 2 2" xfId="9846"/>
    <cellStyle name="Comma 4 2 2 4 2 2 2" xfId="9847"/>
    <cellStyle name="Comma 4 2 2 4 2 2 2 2" xfId="9848"/>
    <cellStyle name="Comma 4 2 2 4 2 2 3" xfId="9849"/>
    <cellStyle name="Comma 4 2 2 4 2 3" xfId="9850"/>
    <cellStyle name="Comma 4 2 2 4 2 3 2" xfId="9851"/>
    <cellStyle name="Comma 4 2 2 4 2 4" xfId="9852"/>
    <cellStyle name="Comma 4 2 2 4 3" xfId="9853"/>
    <cellStyle name="Comma 4 2 2 4 3 2" xfId="9854"/>
    <cellStyle name="Comma 4 2 2 4 3 2 2" xfId="9855"/>
    <cellStyle name="Comma 4 2 2 4 3 3" xfId="9856"/>
    <cellStyle name="Comma 4 2 2 4 4" xfId="9857"/>
    <cellStyle name="Comma 4 2 2 4 4 2" xfId="9858"/>
    <cellStyle name="Comma 4 2 2 4 5" xfId="9859"/>
    <cellStyle name="Comma 4 2 2 5" xfId="9860"/>
    <cellStyle name="Comma 4 2 2 5 2" xfId="9861"/>
    <cellStyle name="Comma 4 2 2 5 2 2" xfId="9862"/>
    <cellStyle name="Comma 4 2 2 5 2 2 2" xfId="9863"/>
    <cellStyle name="Comma 4 2 2 5 2 3" xfId="9864"/>
    <cellStyle name="Comma 4 2 2 5 3" xfId="9865"/>
    <cellStyle name="Comma 4 2 2 5 3 2" xfId="9866"/>
    <cellStyle name="Comma 4 2 2 5 4" xfId="9867"/>
    <cellStyle name="Comma 4 2 2 6" xfId="9868"/>
    <cellStyle name="Comma 4 2 2 6 2" xfId="9869"/>
    <cellStyle name="Comma 4 2 2 6 2 2" xfId="9870"/>
    <cellStyle name="Comma 4 2 2 6 3" xfId="9871"/>
    <cellStyle name="Comma 4 2 2 7" xfId="9872"/>
    <cellStyle name="Comma 4 2 2 7 2" xfId="9873"/>
    <cellStyle name="Comma 4 2 2 7 2 2" xfId="9874"/>
    <cellStyle name="Comma 4 2 2 7 3" xfId="9875"/>
    <cellStyle name="Comma 4 2 2 8" xfId="9876"/>
    <cellStyle name="Comma 4 2 2 8 2" xfId="9877"/>
    <cellStyle name="Comma 4 2 2 9" xfId="9878"/>
    <cellStyle name="Comma 4 2 2 9 2" xfId="9879"/>
    <cellStyle name="Comma 4 2 3" xfId="9880"/>
    <cellStyle name="Comma 4 2 3 2" xfId="9881"/>
    <cellStyle name="Comma 4 2 3 2 2" xfId="9882"/>
    <cellStyle name="Comma 4 2 3 2 2 2" xfId="9883"/>
    <cellStyle name="Comma 4 2 3 2 2 2 2" xfId="9884"/>
    <cellStyle name="Comma 4 2 3 2 2 2 2 2" xfId="9885"/>
    <cellStyle name="Comma 4 2 3 2 2 2 3" xfId="9886"/>
    <cellStyle name="Comma 4 2 3 2 2 3" xfId="9887"/>
    <cellStyle name="Comma 4 2 3 2 2 3 2" xfId="9888"/>
    <cellStyle name="Comma 4 2 3 2 2 4" xfId="9889"/>
    <cellStyle name="Comma 4 2 3 2 3" xfId="9890"/>
    <cellStyle name="Comma 4 2 3 2 3 2" xfId="9891"/>
    <cellStyle name="Comma 4 2 3 2 3 2 2" xfId="9892"/>
    <cellStyle name="Comma 4 2 3 2 3 3" xfId="9893"/>
    <cellStyle name="Comma 4 2 3 2 4" xfId="9894"/>
    <cellStyle name="Comma 4 2 3 2 4 2" xfId="9895"/>
    <cellStyle name="Comma 4 2 3 2 5" xfId="9896"/>
    <cellStyle name="Comma 4 2 3 3" xfId="9897"/>
    <cellStyle name="Comma 4 2 3 3 2" xfId="9898"/>
    <cellStyle name="Comma 4 2 3 3 2 2" xfId="9899"/>
    <cellStyle name="Comma 4 2 3 3 2 2 2" xfId="9900"/>
    <cellStyle name="Comma 4 2 3 3 2 3" xfId="9901"/>
    <cellStyle name="Comma 4 2 3 3 3" xfId="9902"/>
    <cellStyle name="Comma 4 2 3 3 3 2" xfId="9903"/>
    <cellStyle name="Comma 4 2 3 3 4" xfId="9904"/>
    <cellStyle name="Comma 4 2 3 4" xfId="9905"/>
    <cellStyle name="Comma 4 2 3 4 2" xfId="9906"/>
    <cellStyle name="Comma 4 2 3 4 2 2" xfId="9907"/>
    <cellStyle name="Comma 4 2 3 4 3" xfId="9908"/>
    <cellStyle name="Comma 4 2 3 5" xfId="9909"/>
    <cellStyle name="Comma 4 2 3 5 2" xfId="9910"/>
    <cellStyle name="Comma 4 2 3 6" xfId="9911"/>
    <cellStyle name="Comma 4 2 3 6 2" xfId="9912"/>
    <cellStyle name="Comma 4 2 3 7" xfId="9913"/>
    <cellStyle name="Comma 4 2 3 7 2" xfId="9914"/>
    <cellStyle name="Comma 4 2 3 8" xfId="9915"/>
    <cellStyle name="Comma 4 2 4" xfId="9916"/>
    <cellStyle name="Comma 4 2 4 2" xfId="9917"/>
    <cellStyle name="Comma 4 2 4 2 2" xfId="9918"/>
    <cellStyle name="Comma 4 2 4 2 2 2" xfId="9919"/>
    <cellStyle name="Comma 4 2 4 2 2 2 2" xfId="9920"/>
    <cellStyle name="Comma 4 2 4 2 2 3" xfId="9921"/>
    <cellStyle name="Comma 4 2 4 2 3" xfId="9922"/>
    <cellStyle name="Comma 4 2 4 2 3 2" xfId="9923"/>
    <cellStyle name="Comma 4 2 4 2 4" xfId="9924"/>
    <cellStyle name="Comma 4 2 4 3" xfId="9925"/>
    <cellStyle name="Comma 4 2 4 3 2" xfId="9926"/>
    <cellStyle name="Comma 4 2 4 3 2 2" xfId="9927"/>
    <cellStyle name="Comma 4 2 4 3 3" xfId="9928"/>
    <cellStyle name="Comma 4 2 4 4" xfId="9929"/>
    <cellStyle name="Comma 4 2 4 4 2" xfId="9930"/>
    <cellStyle name="Comma 4 2 4 5" xfId="9931"/>
    <cellStyle name="Comma 4 2 5" xfId="9932"/>
    <cellStyle name="Comma 4 2 5 2" xfId="9933"/>
    <cellStyle name="Comma 4 2 5 2 2" xfId="9934"/>
    <cellStyle name="Comma 4 2 5 2 2 2" xfId="9935"/>
    <cellStyle name="Comma 4 2 5 2 2 2 2" xfId="9936"/>
    <cellStyle name="Comma 4 2 5 2 2 3" xfId="9937"/>
    <cellStyle name="Comma 4 2 5 2 3" xfId="9938"/>
    <cellStyle name="Comma 4 2 5 2 3 2" xfId="9939"/>
    <cellStyle name="Comma 4 2 5 2 4" xfId="9940"/>
    <cellStyle name="Comma 4 2 5 3" xfId="9941"/>
    <cellStyle name="Comma 4 2 5 3 2" xfId="9942"/>
    <cellStyle name="Comma 4 2 5 3 2 2" xfId="9943"/>
    <cellStyle name="Comma 4 2 5 3 3" xfId="9944"/>
    <cellStyle name="Comma 4 2 5 4" xfId="9945"/>
    <cellStyle name="Comma 4 2 5 4 2" xfId="9946"/>
    <cellStyle name="Comma 4 2 5 5" xfId="9947"/>
    <cellStyle name="Comma 4 2 6" xfId="9948"/>
    <cellStyle name="Comma 4 2 6 2" xfId="9949"/>
    <cellStyle name="Comma 4 2 7" xfId="9950"/>
    <cellStyle name="Comma 4 2 7 2" xfId="9951"/>
    <cellStyle name="Comma 4 2 7 2 2" xfId="9952"/>
    <cellStyle name="Comma 4 2 7 2 2 2" xfId="9953"/>
    <cellStyle name="Comma 4 2 7 2 3" xfId="9954"/>
    <cellStyle name="Comma 4 2 7 3" xfId="9955"/>
    <cellStyle name="Comma 4 2 7 3 2" xfId="9956"/>
    <cellStyle name="Comma 4 2 7 4" xfId="9957"/>
    <cellStyle name="Comma 4 2 8" xfId="9958"/>
    <cellStyle name="Comma 4 2 8 2" xfId="9959"/>
    <cellStyle name="Comma 4 2 8 2 2" xfId="9960"/>
    <cellStyle name="Comma 4 2 8 3" xfId="9961"/>
    <cellStyle name="Comma 4 2 9" xfId="9962"/>
    <cellStyle name="Comma 4 2 9 2" xfId="9963"/>
    <cellStyle name="Comma 4 2 9 2 2" xfId="9964"/>
    <cellStyle name="Comma 4 2 9 3" xfId="9965"/>
    <cellStyle name="Comma 4 3" xfId="349"/>
    <cellStyle name="Comma 4 3 10" xfId="9966"/>
    <cellStyle name="Comma 4 3 10 2" xfId="9967"/>
    <cellStyle name="Comma 4 3 11" xfId="9968"/>
    <cellStyle name="Comma 4 3 11 2" xfId="9969"/>
    <cellStyle name="Comma 4 3 12" xfId="9970"/>
    <cellStyle name="Comma 4 3 2" xfId="9971"/>
    <cellStyle name="Comma 4 3 2 2" xfId="9972"/>
    <cellStyle name="Comma 4 3 2 2 2" xfId="9973"/>
    <cellStyle name="Comma 4 3 2 2 2 2" xfId="9974"/>
    <cellStyle name="Comma 4 3 2 2 2 2 2" xfId="9975"/>
    <cellStyle name="Comma 4 3 2 2 2 2 2 2" xfId="9976"/>
    <cellStyle name="Comma 4 3 2 2 2 2 3" xfId="9977"/>
    <cellStyle name="Comma 4 3 2 2 2 3" xfId="9978"/>
    <cellStyle name="Comma 4 3 2 2 2 3 2" xfId="9979"/>
    <cellStyle name="Comma 4 3 2 2 2 4" xfId="9980"/>
    <cellStyle name="Comma 4 3 2 2 3" xfId="9981"/>
    <cellStyle name="Comma 4 3 2 2 3 2" xfId="9982"/>
    <cellStyle name="Comma 4 3 2 2 3 2 2" xfId="9983"/>
    <cellStyle name="Comma 4 3 2 2 3 3" xfId="9984"/>
    <cellStyle name="Comma 4 3 2 2 4" xfId="9985"/>
    <cellStyle name="Comma 4 3 2 2 4 2" xfId="9986"/>
    <cellStyle name="Comma 4 3 2 2 5" xfId="9987"/>
    <cellStyle name="Comma 4 3 2 3" xfId="9988"/>
    <cellStyle name="Comma 4 3 2 3 2" xfId="9989"/>
    <cellStyle name="Comma 4 3 2 3 2 2" xfId="9990"/>
    <cellStyle name="Comma 4 3 2 3 2 2 2" xfId="9991"/>
    <cellStyle name="Comma 4 3 2 3 2 3" xfId="9992"/>
    <cellStyle name="Comma 4 3 2 3 3" xfId="9993"/>
    <cellStyle name="Comma 4 3 2 3 3 2" xfId="9994"/>
    <cellStyle name="Comma 4 3 2 3 4" xfId="9995"/>
    <cellStyle name="Comma 4 3 2 4" xfId="9996"/>
    <cellStyle name="Comma 4 3 2 4 2" xfId="9997"/>
    <cellStyle name="Comma 4 3 2 4 2 2" xfId="9998"/>
    <cellStyle name="Comma 4 3 2 4 3" xfId="9999"/>
    <cellStyle name="Comma 4 3 2 5" xfId="10000"/>
    <cellStyle name="Comma 4 3 2 5 2" xfId="10001"/>
    <cellStyle name="Comma 4 3 2 6" xfId="10002"/>
    <cellStyle name="Comma 4 3 2 6 2" xfId="10003"/>
    <cellStyle name="Comma 4 3 2 7" xfId="10004"/>
    <cellStyle name="Comma 4 3 2 7 2" xfId="10005"/>
    <cellStyle name="Comma 4 3 2 8" xfId="10006"/>
    <cellStyle name="Comma 4 3 3" xfId="10007"/>
    <cellStyle name="Comma 4 3 3 2" xfId="10008"/>
    <cellStyle name="Comma 4 3 3 2 2" xfId="10009"/>
    <cellStyle name="Comma 4 3 3 2 2 2" xfId="10010"/>
    <cellStyle name="Comma 4 3 3 2 2 2 2" xfId="10011"/>
    <cellStyle name="Comma 4 3 3 2 2 3" xfId="10012"/>
    <cellStyle name="Comma 4 3 3 2 3" xfId="10013"/>
    <cellStyle name="Comma 4 3 3 2 3 2" xfId="10014"/>
    <cellStyle name="Comma 4 3 3 2 4" xfId="10015"/>
    <cellStyle name="Comma 4 3 3 3" xfId="10016"/>
    <cellStyle name="Comma 4 3 3 3 2" xfId="10017"/>
    <cellStyle name="Comma 4 3 3 3 2 2" xfId="10018"/>
    <cellStyle name="Comma 4 3 3 3 3" xfId="10019"/>
    <cellStyle name="Comma 4 3 3 4" xfId="10020"/>
    <cellStyle name="Comma 4 3 3 4 2" xfId="10021"/>
    <cellStyle name="Comma 4 3 3 5" xfId="10022"/>
    <cellStyle name="Comma 4 3 4" xfId="10023"/>
    <cellStyle name="Comma 4 3 4 2" xfId="10024"/>
    <cellStyle name="Comma 4 3 4 2 2" xfId="10025"/>
    <cellStyle name="Comma 4 3 4 2 2 2" xfId="10026"/>
    <cellStyle name="Comma 4 3 4 2 2 2 2" xfId="10027"/>
    <cellStyle name="Comma 4 3 4 2 2 3" xfId="10028"/>
    <cellStyle name="Comma 4 3 4 2 3" xfId="10029"/>
    <cellStyle name="Comma 4 3 4 2 3 2" xfId="10030"/>
    <cellStyle name="Comma 4 3 4 2 4" xfId="10031"/>
    <cellStyle name="Comma 4 3 4 3" xfId="10032"/>
    <cellStyle name="Comma 4 3 4 3 2" xfId="10033"/>
    <cellStyle name="Comma 4 3 4 3 2 2" xfId="10034"/>
    <cellStyle name="Comma 4 3 4 3 3" xfId="10035"/>
    <cellStyle name="Comma 4 3 4 4" xfId="10036"/>
    <cellStyle name="Comma 4 3 4 4 2" xfId="10037"/>
    <cellStyle name="Comma 4 3 4 5" xfId="10038"/>
    <cellStyle name="Comma 4 3 5" xfId="10039"/>
    <cellStyle name="Comma 4 3 5 2" xfId="10040"/>
    <cellStyle name="Comma 4 3 6" xfId="10041"/>
    <cellStyle name="Comma 4 3 6 2" xfId="10042"/>
    <cellStyle name="Comma 4 3 6 2 2" xfId="10043"/>
    <cellStyle name="Comma 4 3 6 2 2 2" xfId="10044"/>
    <cellStyle name="Comma 4 3 6 2 3" xfId="10045"/>
    <cellStyle name="Comma 4 3 6 3" xfId="10046"/>
    <cellStyle name="Comma 4 3 6 3 2" xfId="10047"/>
    <cellStyle name="Comma 4 3 6 4" xfId="10048"/>
    <cellStyle name="Comma 4 3 7" xfId="10049"/>
    <cellStyle name="Comma 4 3 7 2" xfId="10050"/>
    <cellStyle name="Comma 4 3 7 2 2" xfId="10051"/>
    <cellStyle name="Comma 4 3 7 3" xfId="10052"/>
    <cellStyle name="Comma 4 3 8" xfId="10053"/>
    <cellStyle name="Comma 4 3 8 2" xfId="10054"/>
    <cellStyle name="Comma 4 3 8 2 2" xfId="10055"/>
    <cellStyle name="Comma 4 3 8 3" xfId="10056"/>
    <cellStyle name="Comma 4 3 9" xfId="10057"/>
    <cellStyle name="Comma 4 3 9 2" xfId="10058"/>
    <cellStyle name="Comma 4 4" xfId="10059"/>
    <cellStyle name="Comma 4 4 2" xfId="10060"/>
    <cellStyle name="Comma 4 4 2 2" xfId="10061"/>
    <cellStyle name="Comma 4 4 2 2 2" xfId="10062"/>
    <cellStyle name="Comma 4 4 2 2 2 2" xfId="10063"/>
    <cellStyle name="Comma 4 4 2 2 2 2 2" xfId="10064"/>
    <cellStyle name="Comma 4 4 2 2 2 3" xfId="10065"/>
    <cellStyle name="Comma 4 4 2 2 3" xfId="10066"/>
    <cellStyle name="Comma 4 4 2 2 3 2" xfId="10067"/>
    <cellStyle name="Comma 4 4 2 2 4" xfId="10068"/>
    <cellStyle name="Comma 4 4 2 3" xfId="10069"/>
    <cellStyle name="Comma 4 4 2 3 2" xfId="10070"/>
    <cellStyle name="Comma 4 4 2 3 2 2" xfId="10071"/>
    <cellStyle name="Comma 4 4 2 3 3" xfId="10072"/>
    <cellStyle name="Comma 4 4 2 4" xfId="10073"/>
    <cellStyle name="Comma 4 4 2 4 2" xfId="10074"/>
    <cellStyle name="Comma 4 4 2 5" xfId="10075"/>
    <cellStyle name="Comma 4 4 3" xfId="10076"/>
    <cellStyle name="Comma 4 4 3 2" xfId="10077"/>
    <cellStyle name="Comma 4 4 3 2 2" xfId="10078"/>
    <cellStyle name="Comma 4 4 3 2 2 2" xfId="10079"/>
    <cellStyle name="Comma 4 4 3 2 3" xfId="10080"/>
    <cellStyle name="Comma 4 4 3 3" xfId="10081"/>
    <cellStyle name="Comma 4 4 3 3 2" xfId="10082"/>
    <cellStyle name="Comma 4 4 3 4" xfId="10083"/>
    <cellStyle name="Comma 4 4 4" xfId="10084"/>
    <cellStyle name="Comma 4 4 4 2" xfId="10085"/>
    <cellStyle name="Comma 4 4 4 2 2" xfId="10086"/>
    <cellStyle name="Comma 4 4 4 3" xfId="10087"/>
    <cellStyle name="Comma 4 4 5" xfId="10088"/>
    <cellStyle name="Comma 4 4 5 2" xfId="10089"/>
    <cellStyle name="Comma 4 4 6" xfId="10090"/>
    <cellStyle name="Comma 4 4 6 2" xfId="10091"/>
    <cellStyle name="Comma 4 4 7" xfId="10092"/>
    <cellStyle name="Comma 4 4 7 2" xfId="10093"/>
    <cellStyle name="Comma 4 4 8" xfId="10094"/>
    <cellStyle name="Comma 4 5" xfId="10095"/>
    <cellStyle name="Comma 4 5 2" xfId="10096"/>
    <cellStyle name="Comma 4 5 2 2" xfId="10097"/>
    <cellStyle name="Comma 4 5 2 2 2" xfId="10098"/>
    <cellStyle name="Comma 4 5 2 2 2 2" xfId="10099"/>
    <cellStyle name="Comma 4 5 2 2 3" xfId="10100"/>
    <cellStyle name="Comma 4 5 2 3" xfId="10101"/>
    <cellStyle name="Comma 4 5 2 3 2" xfId="10102"/>
    <cellStyle name="Comma 4 5 2 4" xfId="10103"/>
    <cellStyle name="Comma 4 5 3" xfId="10104"/>
    <cellStyle name="Comma 4 5 3 2" xfId="10105"/>
    <cellStyle name="Comma 4 5 3 2 2" xfId="10106"/>
    <cellStyle name="Comma 4 5 3 3" xfId="10107"/>
    <cellStyle name="Comma 4 5 4" xfId="10108"/>
    <cellStyle name="Comma 4 5 4 2" xfId="10109"/>
    <cellStyle name="Comma 4 5 5" xfId="10110"/>
    <cellStyle name="Comma 4 6" xfId="10111"/>
    <cellStyle name="Comma 4 6 2" xfId="10112"/>
    <cellStyle name="Comma 4 6 2 2" xfId="10113"/>
    <cellStyle name="Comma 4 6 2 2 2" xfId="10114"/>
    <cellStyle name="Comma 4 6 2 2 2 2" xfId="10115"/>
    <cellStyle name="Comma 4 6 2 2 3" xfId="10116"/>
    <cellStyle name="Comma 4 6 2 3" xfId="10117"/>
    <cellStyle name="Comma 4 6 2 3 2" xfId="10118"/>
    <cellStyle name="Comma 4 6 2 4" xfId="10119"/>
    <cellStyle name="Comma 4 6 3" xfId="10120"/>
    <cellStyle name="Comma 4 6 3 2" xfId="10121"/>
    <cellStyle name="Comma 4 6 3 2 2" xfId="10122"/>
    <cellStyle name="Comma 4 6 3 3" xfId="10123"/>
    <cellStyle name="Comma 4 6 4" xfId="10124"/>
    <cellStyle name="Comma 4 6 4 2" xfId="10125"/>
    <cellStyle name="Comma 4 6 5" xfId="10126"/>
    <cellStyle name="Comma 4 7" xfId="10127"/>
    <cellStyle name="Comma 4 7 2" xfId="10128"/>
    <cellStyle name="Comma 4 8" xfId="10129"/>
    <cellStyle name="Comma 4 8 2" xfId="10130"/>
    <cellStyle name="Comma 4 8 2 2" xfId="10131"/>
    <cellStyle name="Comma 4 8 2 2 2" xfId="10132"/>
    <cellStyle name="Comma 4 8 2 3" xfId="10133"/>
    <cellStyle name="Comma 4 8 3" xfId="10134"/>
    <cellStyle name="Comma 4 8 3 2" xfId="10135"/>
    <cellStyle name="Comma 4 8 4" xfId="10136"/>
    <cellStyle name="Comma 4 9" xfId="10137"/>
    <cellStyle name="Comma 4 9 2" xfId="10138"/>
    <cellStyle name="Comma 4 9 2 2" xfId="10139"/>
    <cellStyle name="Comma 4 9 3" xfId="10140"/>
    <cellStyle name="Comma 44" xfId="10141"/>
    <cellStyle name="Comma 44 2" xfId="10142"/>
    <cellStyle name="Comma 45" xfId="10143"/>
    <cellStyle name="Comma 45 2" xfId="10144"/>
    <cellStyle name="Comma 5" xfId="350"/>
    <cellStyle name="Comma 5 10" xfId="10145"/>
    <cellStyle name="Comma 5 10 2" xfId="10146"/>
    <cellStyle name="Comma 5 10 2 2" xfId="10147"/>
    <cellStyle name="Comma 5 10 3" xfId="10148"/>
    <cellStyle name="Comma 5 11" xfId="10149"/>
    <cellStyle name="Comma 5 11 2" xfId="10150"/>
    <cellStyle name="Comma 5 12" xfId="10151"/>
    <cellStyle name="Comma 5 12 2" xfId="10152"/>
    <cellStyle name="Comma 5 13" xfId="10153"/>
    <cellStyle name="Comma 5 13 2" xfId="10154"/>
    <cellStyle name="Comma 5 14" xfId="10155"/>
    <cellStyle name="Comma 5 2" xfId="351"/>
    <cellStyle name="Comma 5 2 10" xfId="10156"/>
    <cellStyle name="Comma 5 2 10 2" xfId="10157"/>
    <cellStyle name="Comma 5 2 11" xfId="10158"/>
    <cellStyle name="Comma 5 2 11 2" xfId="10159"/>
    <cellStyle name="Comma 5 2 12" xfId="10160"/>
    <cellStyle name="Comma 5 2 12 2" xfId="10161"/>
    <cellStyle name="Comma 5 2 13" xfId="10162"/>
    <cellStyle name="Comma 5 2 2" xfId="10163"/>
    <cellStyle name="Comma 5 2 2 10" xfId="10164"/>
    <cellStyle name="Comma 5 2 2 10 2" xfId="10165"/>
    <cellStyle name="Comma 5 2 2 11" xfId="10166"/>
    <cellStyle name="Comma 5 2 2 2" xfId="10167"/>
    <cellStyle name="Comma 5 2 2 2 2" xfId="10168"/>
    <cellStyle name="Comma 5 2 2 2 2 2" xfId="10169"/>
    <cellStyle name="Comma 5 2 2 2 2 2 2" xfId="10170"/>
    <cellStyle name="Comma 5 2 2 2 2 2 2 2" xfId="10171"/>
    <cellStyle name="Comma 5 2 2 2 2 2 2 2 2" xfId="10172"/>
    <cellStyle name="Comma 5 2 2 2 2 2 2 3" xfId="10173"/>
    <cellStyle name="Comma 5 2 2 2 2 2 3" xfId="10174"/>
    <cellStyle name="Comma 5 2 2 2 2 2 3 2" xfId="10175"/>
    <cellStyle name="Comma 5 2 2 2 2 2 4" xfId="10176"/>
    <cellStyle name="Comma 5 2 2 2 2 3" xfId="10177"/>
    <cellStyle name="Comma 5 2 2 2 2 3 2" xfId="10178"/>
    <cellStyle name="Comma 5 2 2 2 2 3 2 2" xfId="10179"/>
    <cellStyle name="Comma 5 2 2 2 2 3 3" xfId="10180"/>
    <cellStyle name="Comma 5 2 2 2 2 4" xfId="10181"/>
    <cellStyle name="Comma 5 2 2 2 2 4 2" xfId="10182"/>
    <cellStyle name="Comma 5 2 2 2 2 5" xfId="10183"/>
    <cellStyle name="Comma 5 2 2 2 3" xfId="10184"/>
    <cellStyle name="Comma 5 2 2 2 3 2" xfId="10185"/>
    <cellStyle name="Comma 5 2 2 2 3 2 2" xfId="10186"/>
    <cellStyle name="Comma 5 2 2 2 3 2 2 2" xfId="10187"/>
    <cellStyle name="Comma 5 2 2 2 3 2 3" xfId="10188"/>
    <cellStyle name="Comma 5 2 2 2 3 3" xfId="10189"/>
    <cellStyle name="Comma 5 2 2 2 3 3 2" xfId="10190"/>
    <cellStyle name="Comma 5 2 2 2 3 4" xfId="10191"/>
    <cellStyle name="Comma 5 2 2 2 4" xfId="10192"/>
    <cellStyle name="Comma 5 2 2 2 4 2" xfId="10193"/>
    <cellStyle name="Comma 5 2 2 2 4 2 2" xfId="10194"/>
    <cellStyle name="Comma 5 2 2 2 4 3" xfId="10195"/>
    <cellStyle name="Comma 5 2 2 2 5" xfId="10196"/>
    <cellStyle name="Comma 5 2 2 2 5 2" xfId="10197"/>
    <cellStyle name="Comma 5 2 2 2 6" xfId="10198"/>
    <cellStyle name="Comma 5 2 2 2 6 2" xfId="10199"/>
    <cellStyle name="Comma 5 2 2 2 7" xfId="10200"/>
    <cellStyle name="Comma 5 2 2 2 7 2" xfId="10201"/>
    <cellStyle name="Comma 5 2 2 2 8" xfId="10202"/>
    <cellStyle name="Comma 5 2 2 3" xfId="10203"/>
    <cellStyle name="Comma 5 2 2 3 2" xfId="10204"/>
    <cellStyle name="Comma 5 2 2 3 2 2" xfId="10205"/>
    <cellStyle name="Comma 5 2 2 3 2 2 2" xfId="10206"/>
    <cellStyle name="Comma 5 2 2 3 2 2 2 2" xfId="10207"/>
    <cellStyle name="Comma 5 2 2 3 2 2 3" xfId="10208"/>
    <cellStyle name="Comma 5 2 2 3 2 3" xfId="10209"/>
    <cellStyle name="Comma 5 2 2 3 2 3 2" xfId="10210"/>
    <cellStyle name="Comma 5 2 2 3 2 4" xfId="10211"/>
    <cellStyle name="Comma 5 2 2 3 3" xfId="10212"/>
    <cellStyle name="Comma 5 2 2 3 3 2" xfId="10213"/>
    <cellStyle name="Comma 5 2 2 3 3 2 2" xfId="10214"/>
    <cellStyle name="Comma 5 2 2 3 3 3" xfId="10215"/>
    <cellStyle name="Comma 5 2 2 3 4" xfId="10216"/>
    <cellStyle name="Comma 5 2 2 3 4 2" xfId="10217"/>
    <cellStyle name="Comma 5 2 2 3 5" xfId="10218"/>
    <cellStyle name="Comma 5 2 2 4" xfId="10219"/>
    <cellStyle name="Comma 5 2 2 4 2" xfId="10220"/>
    <cellStyle name="Comma 5 2 2 4 2 2" xfId="10221"/>
    <cellStyle name="Comma 5 2 2 4 2 2 2" xfId="10222"/>
    <cellStyle name="Comma 5 2 2 4 2 2 2 2" xfId="10223"/>
    <cellStyle name="Comma 5 2 2 4 2 2 3" xfId="10224"/>
    <cellStyle name="Comma 5 2 2 4 2 3" xfId="10225"/>
    <cellStyle name="Comma 5 2 2 4 2 3 2" xfId="10226"/>
    <cellStyle name="Comma 5 2 2 4 2 4" xfId="10227"/>
    <cellStyle name="Comma 5 2 2 4 3" xfId="10228"/>
    <cellStyle name="Comma 5 2 2 4 3 2" xfId="10229"/>
    <cellStyle name="Comma 5 2 2 4 3 2 2" xfId="10230"/>
    <cellStyle name="Comma 5 2 2 4 3 3" xfId="10231"/>
    <cellStyle name="Comma 5 2 2 4 4" xfId="10232"/>
    <cellStyle name="Comma 5 2 2 4 4 2" xfId="10233"/>
    <cellStyle name="Comma 5 2 2 4 5" xfId="10234"/>
    <cellStyle name="Comma 5 2 2 5" xfId="10235"/>
    <cellStyle name="Comma 5 2 2 5 2" xfId="10236"/>
    <cellStyle name="Comma 5 2 2 5 2 2" xfId="10237"/>
    <cellStyle name="Comma 5 2 2 5 2 2 2" xfId="10238"/>
    <cellStyle name="Comma 5 2 2 5 2 3" xfId="10239"/>
    <cellStyle name="Comma 5 2 2 5 3" xfId="10240"/>
    <cellStyle name="Comma 5 2 2 5 3 2" xfId="10241"/>
    <cellStyle name="Comma 5 2 2 5 4" xfId="10242"/>
    <cellStyle name="Comma 5 2 2 6" xfId="10243"/>
    <cellStyle name="Comma 5 2 2 6 2" xfId="10244"/>
    <cellStyle name="Comma 5 2 2 6 2 2" xfId="10245"/>
    <cellStyle name="Comma 5 2 2 6 3" xfId="10246"/>
    <cellStyle name="Comma 5 2 2 7" xfId="10247"/>
    <cellStyle name="Comma 5 2 2 7 2" xfId="10248"/>
    <cellStyle name="Comma 5 2 2 7 2 2" xfId="10249"/>
    <cellStyle name="Comma 5 2 2 7 3" xfId="10250"/>
    <cellStyle name="Comma 5 2 2 8" xfId="10251"/>
    <cellStyle name="Comma 5 2 2 8 2" xfId="10252"/>
    <cellStyle name="Comma 5 2 2 9" xfId="10253"/>
    <cellStyle name="Comma 5 2 2 9 2" xfId="10254"/>
    <cellStyle name="Comma 5 2 3" xfId="10255"/>
    <cellStyle name="Comma 5 2 3 2" xfId="10256"/>
    <cellStyle name="Comma 5 2 3 2 2" xfId="10257"/>
    <cellStyle name="Comma 5 2 3 2 2 2" xfId="10258"/>
    <cellStyle name="Comma 5 2 3 2 2 2 2" xfId="10259"/>
    <cellStyle name="Comma 5 2 3 2 2 2 2 2" xfId="10260"/>
    <cellStyle name="Comma 5 2 3 2 2 2 3" xfId="10261"/>
    <cellStyle name="Comma 5 2 3 2 2 3" xfId="10262"/>
    <cellStyle name="Comma 5 2 3 2 2 3 2" xfId="10263"/>
    <cellStyle name="Comma 5 2 3 2 2 4" xfId="10264"/>
    <cellStyle name="Comma 5 2 3 2 3" xfId="10265"/>
    <cellStyle name="Comma 5 2 3 2 3 2" xfId="10266"/>
    <cellStyle name="Comma 5 2 3 2 3 2 2" xfId="10267"/>
    <cellStyle name="Comma 5 2 3 2 3 3" xfId="10268"/>
    <cellStyle name="Comma 5 2 3 2 4" xfId="10269"/>
    <cellStyle name="Comma 5 2 3 2 4 2" xfId="10270"/>
    <cellStyle name="Comma 5 2 3 2 5" xfId="10271"/>
    <cellStyle name="Comma 5 2 3 3" xfId="10272"/>
    <cellStyle name="Comma 5 2 3 3 2" xfId="10273"/>
    <cellStyle name="Comma 5 2 3 3 2 2" xfId="10274"/>
    <cellStyle name="Comma 5 2 3 3 2 2 2" xfId="10275"/>
    <cellStyle name="Comma 5 2 3 3 2 3" xfId="10276"/>
    <cellStyle name="Comma 5 2 3 3 3" xfId="10277"/>
    <cellStyle name="Comma 5 2 3 3 3 2" xfId="10278"/>
    <cellStyle name="Comma 5 2 3 3 4" xfId="10279"/>
    <cellStyle name="Comma 5 2 3 4" xfId="10280"/>
    <cellStyle name="Comma 5 2 3 4 2" xfId="10281"/>
    <cellStyle name="Comma 5 2 3 4 2 2" xfId="10282"/>
    <cellStyle name="Comma 5 2 3 4 3" xfId="10283"/>
    <cellStyle name="Comma 5 2 3 5" xfId="10284"/>
    <cellStyle name="Comma 5 2 3 5 2" xfId="10285"/>
    <cellStyle name="Comma 5 2 3 6" xfId="10286"/>
    <cellStyle name="Comma 5 2 3 6 2" xfId="10287"/>
    <cellStyle name="Comma 5 2 3 7" xfId="10288"/>
    <cellStyle name="Comma 5 2 3 7 2" xfId="10289"/>
    <cellStyle name="Comma 5 2 3 8" xfId="10290"/>
    <cellStyle name="Comma 5 2 4" xfId="10291"/>
    <cellStyle name="Comma 5 2 4 2" xfId="10292"/>
    <cellStyle name="Comma 5 2 4 2 2" xfId="10293"/>
    <cellStyle name="Comma 5 2 4 2 2 2" xfId="10294"/>
    <cellStyle name="Comma 5 2 4 2 2 2 2" xfId="10295"/>
    <cellStyle name="Comma 5 2 4 2 2 3" xfId="10296"/>
    <cellStyle name="Comma 5 2 4 2 3" xfId="10297"/>
    <cellStyle name="Comma 5 2 4 2 3 2" xfId="10298"/>
    <cellStyle name="Comma 5 2 4 2 4" xfId="10299"/>
    <cellStyle name="Comma 5 2 4 3" xfId="10300"/>
    <cellStyle name="Comma 5 2 4 3 2" xfId="10301"/>
    <cellStyle name="Comma 5 2 4 3 2 2" xfId="10302"/>
    <cellStyle name="Comma 5 2 4 3 3" xfId="10303"/>
    <cellStyle name="Comma 5 2 4 4" xfId="10304"/>
    <cellStyle name="Comma 5 2 4 4 2" xfId="10305"/>
    <cellStyle name="Comma 5 2 4 5" xfId="10306"/>
    <cellStyle name="Comma 5 2 5" xfId="10307"/>
    <cellStyle name="Comma 5 2 5 2" xfId="10308"/>
    <cellStyle name="Comma 5 2 5 2 2" xfId="10309"/>
    <cellStyle name="Comma 5 2 5 2 2 2" xfId="10310"/>
    <cellStyle name="Comma 5 2 5 2 2 2 2" xfId="10311"/>
    <cellStyle name="Comma 5 2 5 2 2 3" xfId="10312"/>
    <cellStyle name="Comma 5 2 5 2 3" xfId="10313"/>
    <cellStyle name="Comma 5 2 5 2 3 2" xfId="10314"/>
    <cellStyle name="Comma 5 2 5 2 4" xfId="10315"/>
    <cellStyle name="Comma 5 2 5 3" xfId="10316"/>
    <cellStyle name="Comma 5 2 5 3 2" xfId="10317"/>
    <cellStyle name="Comma 5 2 5 3 2 2" xfId="10318"/>
    <cellStyle name="Comma 5 2 5 3 3" xfId="10319"/>
    <cellStyle name="Comma 5 2 5 4" xfId="10320"/>
    <cellStyle name="Comma 5 2 5 4 2" xfId="10321"/>
    <cellStyle name="Comma 5 2 5 5" xfId="10322"/>
    <cellStyle name="Comma 5 2 6" xfId="10323"/>
    <cellStyle name="Comma 5 2 6 2" xfId="10324"/>
    <cellStyle name="Comma 5 2 7" xfId="10325"/>
    <cellStyle name="Comma 5 2 7 2" xfId="10326"/>
    <cellStyle name="Comma 5 2 7 2 2" xfId="10327"/>
    <cellStyle name="Comma 5 2 7 2 2 2" xfId="10328"/>
    <cellStyle name="Comma 5 2 7 2 3" xfId="10329"/>
    <cellStyle name="Comma 5 2 7 3" xfId="10330"/>
    <cellStyle name="Comma 5 2 7 3 2" xfId="10331"/>
    <cellStyle name="Comma 5 2 7 4" xfId="10332"/>
    <cellStyle name="Comma 5 2 8" xfId="10333"/>
    <cellStyle name="Comma 5 2 8 2" xfId="10334"/>
    <cellStyle name="Comma 5 2 8 2 2" xfId="10335"/>
    <cellStyle name="Comma 5 2 8 3" xfId="10336"/>
    <cellStyle name="Comma 5 2 9" xfId="10337"/>
    <cellStyle name="Comma 5 2 9 2" xfId="10338"/>
    <cellStyle name="Comma 5 2 9 2 2" xfId="10339"/>
    <cellStyle name="Comma 5 2 9 3" xfId="10340"/>
    <cellStyle name="Comma 5 3" xfId="10341"/>
    <cellStyle name="Comma 5 3 10" xfId="10342"/>
    <cellStyle name="Comma 5 3 10 2" xfId="10343"/>
    <cellStyle name="Comma 5 3 11" xfId="10344"/>
    <cellStyle name="Comma 5 3 2" xfId="10345"/>
    <cellStyle name="Comma 5 3 2 2" xfId="10346"/>
    <cellStyle name="Comma 5 3 2 2 2" xfId="10347"/>
    <cellStyle name="Comma 5 3 2 2 2 2" xfId="10348"/>
    <cellStyle name="Comma 5 3 2 2 2 2 2" xfId="10349"/>
    <cellStyle name="Comma 5 3 2 2 2 2 2 2" xfId="10350"/>
    <cellStyle name="Comma 5 3 2 2 2 2 3" xfId="10351"/>
    <cellStyle name="Comma 5 3 2 2 2 3" xfId="10352"/>
    <cellStyle name="Comma 5 3 2 2 2 3 2" xfId="10353"/>
    <cellStyle name="Comma 5 3 2 2 2 4" xfId="10354"/>
    <cellStyle name="Comma 5 3 2 2 3" xfId="10355"/>
    <cellStyle name="Comma 5 3 2 2 3 2" xfId="10356"/>
    <cellStyle name="Comma 5 3 2 2 3 2 2" xfId="10357"/>
    <cellStyle name="Comma 5 3 2 2 3 3" xfId="10358"/>
    <cellStyle name="Comma 5 3 2 2 4" xfId="10359"/>
    <cellStyle name="Comma 5 3 2 2 4 2" xfId="10360"/>
    <cellStyle name="Comma 5 3 2 2 5" xfId="10361"/>
    <cellStyle name="Comma 5 3 2 3" xfId="10362"/>
    <cellStyle name="Comma 5 3 2 3 2" xfId="10363"/>
    <cellStyle name="Comma 5 3 2 3 2 2" xfId="10364"/>
    <cellStyle name="Comma 5 3 2 3 2 2 2" xfId="10365"/>
    <cellStyle name="Comma 5 3 2 3 2 3" xfId="10366"/>
    <cellStyle name="Comma 5 3 2 3 3" xfId="10367"/>
    <cellStyle name="Comma 5 3 2 3 3 2" xfId="10368"/>
    <cellStyle name="Comma 5 3 2 3 4" xfId="10369"/>
    <cellStyle name="Comma 5 3 2 4" xfId="10370"/>
    <cellStyle name="Comma 5 3 2 4 2" xfId="10371"/>
    <cellStyle name="Comma 5 3 2 4 2 2" xfId="10372"/>
    <cellStyle name="Comma 5 3 2 4 3" xfId="10373"/>
    <cellStyle name="Comma 5 3 2 5" xfId="10374"/>
    <cellStyle name="Comma 5 3 2 5 2" xfId="10375"/>
    <cellStyle name="Comma 5 3 2 6" xfId="10376"/>
    <cellStyle name="Comma 5 3 2 6 2" xfId="10377"/>
    <cellStyle name="Comma 5 3 2 7" xfId="10378"/>
    <cellStyle name="Comma 5 3 2 7 2" xfId="10379"/>
    <cellStyle name="Comma 5 3 2 8" xfId="10380"/>
    <cellStyle name="Comma 5 3 3" xfId="10381"/>
    <cellStyle name="Comma 5 3 3 2" xfId="10382"/>
    <cellStyle name="Comma 5 3 3 2 2" xfId="10383"/>
    <cellStyle name="Comma 5 3 3 2 2 2" xfId="10384"/>
    <cellStyle name="Comma 5 3 3 2 2 2 2" xfId="10385"/>
    <cellStyle name="Comma 5 3 3 2 2 3" xfId="10386"/>
    <cellStyle name="Comma 5 3 3 2 3" xfId="10387"/>
    <cellStyle name="Comma 5 3 3 2 3 2" xfId="10388"/>
    <cellStyle name="Comma 5 3 3 2 4" xfId="10389"/>
    <cellStyle name="Comma 5 3 3 3" xfId="10390"/>
    <cellStyle name="Comma 5 3 3 3 2" xfId="10391"/>
    <cellStyle name="Comma 5 3 3 3 2 2" xfId="10392"/>
    <cellStyle name="Comma 5 3 3 3 3" xfId="10393"/>
    <cellStyle name="Comma 5 3 3 4" xfId="10394"/>
    <cellStyle name="Comma 5 3 3 4 2" xfId="10395"/>
    <cellStyle name="Comma 5 3 3 5" xfId="10396"/>
    <cellStyle name="Comma 5 3 4" xfId="10397"/>
    <cellStyle name="Comma 5 3 4 2" xfId="10398"/>
    <cellStyle name="Comma 5 3 4 2 2" xfId="10399"/>
    <cellStyle name="Comma 5 3 4 2 2 2" xfId="10400"/>
    <cellStyle name="Comma 5 3 4 2 2 2 2" xfId="10401"/>
    <cellStyle name="Comma 5 3 4 2 2 3" xfId="10402"/>
    <cellStyle name="Comma 5 3 4 2 3" xfId="10403"/>
    <cellStyle name="Comma 5 3 4 2 3 2" xfId="10404"/>
    <cellStyle name="Comma 5 3 4 2 4" xfId="10405"/>
    <cellStyle name="Comma 5 3 4 3" xfId="10406"/>
    <cellStyle name="Comma 5 3 4 3 2" xfId="10407"/>
    <cellStyle name="Comma 5 3 4 3 2 2" xfId="10408"/>
    <cellStyle name="Comma 5 3 4 3 3" xfId="10409"/>
    <cellStyle name="Comma 5 3 4 4" xfId="10410"/>
    <cellStyle name="Comma 5 3 4 4 2" xfId="10411"/>
    <cellStyle name="Comma 5 3 4 5" xfId="10412"/>
    <cellStyle name="Comma 5 3 5" xfId="10413"/>
    <cellStyle name="Comma 5 3 5 2" xfId="10414"/>
    <cellStyle name="Comma 5 3 5 2 2" xfId="10415"/>
    <cellStyle name="Comma 5 3 5 2 2 2" xfId="10416"/>
    <cellStyle name="Comma 5 3 5 2 3" xfId="10417"/>
    <cellStyle name="Comma 5 3 5 3" xfId="10418"/>
    <cellStyle name="Comma 5 3 5 3 2" xfId="10419"/>
    <cellStyle name="Comma 5 3 5 4" xfId="10420"/>
    <cellStyle name="Comma 5 3 6" xfId="10421"/>
    <cellStyle name="Comma 5 3 6 2" xfId="10422"/>
    <cellStyle name="Comma 5 3 6 2 2" xfId="10423"/>
    <cellStyle name="Comma 5 3 6 3" xfId="10424"/>
    <cellStyle name="Comma 5 3 7" xfId="10425"/>
    <cellStyle name="Comma 5 3 7 2" xfId="10426"/>
    <cellStyle name="Comma 5 3 7 2 2" xfId="10427"/>
    <cellStyle name="Comma 5 3 7 3" xfId="10428"/>
    <cellStyle name="Comma 5 3 8" xfId="10429"/>
    <cellStyle name="Comma 5 3 8 2" xfId="10430"/>
    <cellStyle name="Comma 5 3 9" xfId="10431"/>
    <cellStyle name="Comma 5 3 9 2" xfId="10432"/>
    <cellStyle name="Comma 5 4" xfId="10433"/>
    <cellStyle name="Comma 5 4 2" xfId="10434"/>
    <cellStyle name="Comma 5 4 2 2" xfId="10435"/>
    <cellStyle name="Comma 5 4 2 2 2" xfId="10436"/>
    <cellStyle name="Comma 5 4 2 2 2 2" xfId="10437"/>
    <cellStyle name="Comma 5 4 2 2 2 2 2" xfId="10438"/>
    <cellStyle name="Comma 5 4 2 2 2 3" xfId="10439"/>
    <cellStyle name="Comma 5 4 2 2 3" xfId="10440"/>
    <cellStyle name="Comma 5 4 2 2 3 2" xfId="10441"/>
    <cellStyle name="Comma 5 4 2 2 4" xfId="10442"/>
    <cellStyle name="Comma 5 4 2 3" xfId="10443"/>
    <cellStyle name="Comma 5 4 2 3 2" xfId="10444"/>
    <cellStyle name="Comma 5 4 2 3 2 2" xfId="10445"/>
    <cellStyle name="Comma 5 4 2 3 3" xfId="10446"/>
    <cellStyle name="Comma 5 4 2 4" xfId="10447"/>
    <cellStyle name="Comma 5 4 2 4 2" xfId="10448"/>
    <cellStyle name="Comma 5 4 2 5" xfId="10449"/>
    <cellStyle name="Comma 5 4 3" xfId="10450"/>
    <cellStyle name="Comma 5 4 3 2" xfId="10451"/>
    <cellStyle name="Comma 5 4 3 2 2" xfId="10452"/>
    <cellStyle name="Comma 5 4 3 2 2 2" xfId="10453"/>
    <cellStyle name="Comma 5 4 3 2 3" xfId="10454"/>
    <cellStyle name="Comma 5 4 3 3" xfId="10455"/>
    <cellStyle name="Comma 5 4 3 3 2" xfId="10456"/>
    <cellStyle name="Comma 5 4 3 4" xfId="10457"/>
    <cellStyle name="Comma 5 4 4" xfId="10458"/>
    <cellStyle name="Comma 5 4 4 2" xfId="10459"/>
    <cellStyle name="Comma 5 4 4 2 2" xfId="10460"/>
    <cellStyle name="Comma 5 4 4 3" xfId="10461"/>
    <cellStyle name="Comma 5 4 5" xfId="10462"/>
    <cellStyle name="Comma 5 4 5 2" xfId="10463"/>
    <cellStyle name="Comma 5 4 6" xfId="10464"/>
    <cellStyle name="Comma 5 4 6 2" xfId="10465"/>
    <cellStyle name="Comma 5 4 7" xfId="10466"/>
    <cellStyle name="Comma 5 4 7 2" xfId="10467"/>
    <cellStyle name="Comma 5 4 8" xfId="10468"/>
    <cellStyle name="Comma 5 5" xfId="10469"/>
    <cellStyle name="Comma 5 5 2" xfId="10470"/>
    <cellStyle name="Comma 5 5 2 2" xfId="10471"/>
    <cellStyle name="Comma 5 5 2 2 2" xfId="10472"/>
    <cellStyle name="Comma 5 5 2 2 2 2" xfId="10473"/>
    <cellStyle name="Comma 5 5 2 2 3" xfId="10474"/>
    <cellStyle name="Comma 5 5 2 3" xfId="10475"/>
    <cellStyle name="Comma 5 5 2 3 2" xfId="10476"/>
    <cellStyle name="Comma 5 5 2 4" xfId="10477"/>
    <cellStyle name="Comma 5 5 3" xfId="10478"/>
    <cellStyle name="Comma 5 5 3 2" xfId="10479"/>
    <cellStyle name="Comma 5 5 3 2 2" xfId="10480"/>
    <cellStyle name="Comma 5 5 3 3" xfId="10481"/>
    <cellStyle name="Comma 5 5 4" xfId="10482"/>
    <cellStyle name="Comma 5 5 4 2" xfId="10483"/>
    <cellStyle name="Comma 5 5 5" xfId="10484"/>
    <cellStyle name="Comma 5 6" xfId="10485"/>
    <cellStyle name="Comma 5 6 2" xfId="10486"/>
    <cellStyle name="Comma 5 6 2 2" xfId="10487"/>
    <cellStyle name="Comma 5 6 2 2 2" xfId="10488"/>
    <cellStyle name="Comma 5 6 2 2 2 2" xfId="10489"/>
    <cellStyle name="Comma 5 6 2 2 3" xfId="10490"/>
    <cellStyle name="Comma 5 6 2 3" xfId="10491"/>
    <cellStyle name="Comma 5 6 2 3 2" xfId="10492"/>
    <cellStyle name="Comma 5 6 2 4" xfId="10493"/>
    <cellStyle name="Comma 5 6 3" xfId="10494"/>
    <cellStyle name="Comma 5 6 3 2" xfId="10495"/>
    <cellStyle name="Comma 5 6 3 2 2" xfId="10496"/>
    <cellStyle name="Comma 5 6 3 3" xfId="10497"/>
    <cellStyle name="Comma 5 6 4" xfId="10498"/>
    <cellStyle name="Comma 5 6 4 2" xfId="10499"/>
    <cellStyle name="Comma 5 6 5" xfId="10500"/>
    <cellStyle name="Comma 5 7" xfId="10501"/>
    <cellStyle name="Comma 5 7 2" xfId="10502"/>
    <cellStyle name="Comma 5 8" xfId="10503"/>
    <cellStyle name="Comma 5 8 2" xfId="10504"/>
    <cellStyle name="Comma 5 8 2 2" xfId="10505"/>
    <cellStyle name="Comma 5 8 2 2 2" xfId="10506"/>
    <cellStyle name="Comma 5 8 2 3" xfId="10507"/>
    <cellStyle name="Comma 5 8 3" xfId="10508"/>
    <cellStyle name="Comma 5 8 3 2" xfId="10509"/>
    <cellStyle name="Comma 5 8 4" xfId="10510"/>
    <cellStyle name="Comma 5 9" xfId="10511"/>
    <cellStyle name="Comma 5 9 2" xfId="10512"/>
    <cellStyle name="Comma 5 9 2 2" xfId="10513"/>
    <cellStyle name="Comma 5 9 3" xfId="10514"/>
    <cellStyle name="Comma 6" xfId="352"/>
    <cellStyle name="Comma 6 10" xfId="10515"/>
    <cellStyle name="Comma 6 2" xfId="353"/>
    <cellStyle name="Comma 6 2 2" xfId="10516"/>
    <cellStyle name="Comma 6 3" xfId="354"/>
    <cellStyle name="Comma 6 3 2" xfId="10517"/>
    <cellStyle name="Comma 6 4" xfId="355"/>
    <cellStyle name="Comma 6 4 2" xfId="10518"/>
    <cellStyle name="Comma 6 5" xfId="356"/>
    <cellStyle name="Comma 6 5 2" xfId="10519"/>
    <cellStyle name="Comma 6 6" xfId="357"/>
    <cellStyle name="Comma 6 6 2" xfId="10520"/>
    <cellStyle name="Comma 6 7" xfId="358"/>
    <cellStyle name="Comma 6 7 2" xfId="10521"/>
    <cellStyle name="Comma 6 8" xfId="359"/>
    <cellStyle name="Comma 6 8 2" xfId="10522"/>
    <cellStyle name="Comma 6 9" xfId="360"/>
    <cellStyle name="Comma 6 9 2" xfId="10523"/>
    <cellStyle name="Comma 7" xfId="361"/>
    <cellStyle name="Comma 7 2" xfId="10524"/>
    <cellStyle name="Comma 8" xfId="362"/>
    <cellStyle name="Comma 8 2" xfId="10525"/>
    <cellStyle name="Comma 9" xfId="363"/>
    <cellStyle name="Comma 9 2" xfId="10526"/>
    <cellStyle name="Comma0" xfId="364"/>
    <cellStyle name="Comma0 2" xfId="1066"/>
    <cellStyle name="Comma0 2 2" xfId="15689"/>
    <cellStyle name="Comma0 3" xfId="15690"/>
    <cellStyle name="Comma0 3 2" xfId="30694"/>
    <cellStyle name="Comma0 4" xfId="15691"/>
    <cellStyle name="Currency 10" xfId="10527"/>
    <cellStyle name="Currency 10 2" xfId="10528"/>
    <cellStyle name="Currency 16" xfId="10529"/>
    <cellStyle name="Currency 16 2" xfId="10530"/>
    <cellStyle name="Currency 17" xfId="10531"/>
    <cellStyle name="Currency 17 2" xfId="10532"/>
    <cellStyle name="Currency 18" xfId="10533"/>
    <cellStyle name="Currency 18 2" xfId="10534"/>
    <cellStyle name="Currency 19" xfId="10535"/>
    <cellStyle name="Currency 19 2" xfId="10536"/>
    <cellStyle name="Currency 2" xfId="365"/>
    <cellStyle name="Currency 2 2" xfId="10537"/>
    <cellStyle name="Currency 2 2 2" xfId="10538"/>
    <cellStyle name="Currency 2 3" xfId="10539"/>
    <cellStyle name="Currency 2 3 2" xfId="10540"/>
    <cellStyle name="Currency 2 4" xfId="10541"/>
    <cellStyle name="Currency 26" xfId="10542"/>
    <cellStyle name="Currency 26 2" xfId="10543"/>
    <cellStyle name="Currency 27" xfId="10544"/>
    <cellStyle name="Currency 27 2" xfId="10545"/>
    <cellStyle name="Currency 28" xfId="10546"/>
    <cellStyle name="Currency 28 2" xfId="10547"/>
    <cellStyle name="Currency 29" xfId="10548"/>
    <cellStyle name="Currency 29 2" xfId="10549"/>
    <cellStyle name="Currency 3" xfId="366"/>
    <cellStyle name="Currency 3 10" xfId="10550"/>
    <cellStyle name="Currency 3 2" xfId="367"/>
    <cellStyle name="Currency 3 2 2" xfId="10551"/>
    <cellStyle name="Currency 3 2 2 2" xfId="10552"/>
    <cellStyle name="Currency 3 2 3" xfId="10553"/>
    <cellStyle name="Currency 3 2 3 2" xfId="10554"/>
    <cellStyle name="Currency 3 2 4" xfId="10555"/>
    <cellStyle name="Currency 3 3" xfId="10556"/>
    <cellStyle name="Currency 3 3 2" xfId="10557"/>
    <cellStyle name="Currency 3 4" xfId="10558"/>
    <cellStyle name="Currency 3 4 2" xfId="10559"/>
    <cellStyle name="Currency 3 5" xfId="10560"/>
    <cellStyle name="Currency 3 5 2" xfId="10561"/>
    <cellStyle name="Currency 3 6" xfId="10562"/>
    <cellStyle name="Currency 3 6 2" xfId="10563"/>
    <cellStyle name="Currency 3 7" xfId="10564"/>
    <cellStyle name="Currency 3 7 2" xfId="10565"/>
    <cellStyle name="Currency 3 8" xfId="10566"/>
    <cellStyle name="Currency 3 8 2" xfId="10567"/>
    <cellStyle name="Currency 3 9" xfId="10568"/>
    <cellStyle name="Currency 3 9 2" xfId="10569"/>
    <cellStyle name="Currency 30" xfId="10570"/>
    <cellStyle name="Currency 30 2" xfId="10571"/>
    <cellStyle name="Currency 31" xfId="10572"/>
    <cellStyle name="Currency 31 2" xfId="10573"/>
    <cellStyle name="Currency 6" xfId="10574"/>
    <cellStyle name="Currency 6 2" xfId="10575"/>
    <cellStyle name="Currency 7" xfId="10576"/>
    <cellStyle name="Currency 7 2" xfId="10577"/>
    <cellStyle name="Currency 8" xfId="10578"/>
    <cellStyle name="Currency 8 2" xfId="10579"/>
    <cellStyle name="Currency 9" xfId="10580"/>
    <cellStyle name="Currency 9 2" xfId="10581"/>
    <cellStyle name="Currency0" xfId="368"/>
    <cellStyle name="Currency0 2" xfId="1067"/>
    <cellStyle name="Currency0 2 2" xfId="15692"/>
    <cellStyle name="Currency0 3" xfId="15693"/>
    <cellStyle name="Currency0 3 2" xfId="30695"/>
    <cellStyle name="Currency0 4" xfId="15694"/>
    <cellStyle name="Date" xfId="369"/>
    <cellStyle name="Date 2" xfId="370"/>
    <cellStyle name="Date 2 2" xfId="10582"/>
    <cellStyle name="Date 3" xfId="371"/>
    <cellStyle name="Date 3 2" xfId="10583"/>
    <cellStyle name="Date 4" xfId="372"/>
    <cellStyle name="Date 4 2" xfId="10584"/>
    <cellStyle name="Date 5" xfId="1068"/>
    <cellStyle name="Date 5 2" xfId="15695"/>
    <cellStyle name="Date 6" xfId="15696"/>
    <cellStyle name="Date 6 2" xfId="30696"/>
    <cellStyle name="Date 7" xfId="15697"/>
    <cellStyle name="Euro" xfId="373"/>
    <cellStyle name="Euro 2" xfId="374"/>
    <cellStyle name="Euro 2 2" xfId="10585"/>
    <cellStyle name="Euro 3" xfId="10586"/>
    <cellStyle name="Excel Built-in Normal" xfId="1069"/>
    <cellStyle name="Explanatory Text" xfId="375" builtinId="53" customBuiltin="1"/>
    <cellStyle name="Explanatory Text 2" xfId="376"/>
    <cellStyle name="Explanatory Text 2 2" xfId="377"/>
    <cellStyle name="Explanatory Text 2 2 2" xfId="10587"/>
    <cellStyle name="Explanatory Text 2 3" xfId="10588"/>
    <cellStyle name="Explanatory Text 2 4" xfId="10589"/>
    <cellStyle name="Explanatory Text 2 4 2" xfId="10590"/>
    <cellStyle name="Explanatory Text 3" xfId="378"/>
    <cellStyle name="Explanatory Text 3 2" xfId="10591"/>
    <cellStyle name="Explanatory Text 4" xfId="10592"/>
    <cellStyle name="Fixed" xfId="379"/>
    <cellStyle name="Fixed 2" xfId="380"/>
    <cellStyle name="Fixed 2 2" xfId="10593"/>
    <cellStyle name="Fixed 3" xfId="381"/>
    <cellStyle name="Fixed 3 2" xfId="10594"/>
    <cellStyle name="Fixed 4" xfId="382"/>
    <cellStyle name="Fixed 4 2" xfId="10595"/>
    <cellStyle name="Fixed 5" xfId="10596"/>
    <cellStyle name="Fixed 5 2" xfId="15698"/>
    <cellStyle name="Fixed 6" xfId="15699"/>
    <cellStyle name="Fixed 7" xfId="15700"/>
    <cellStyle name="Good" xfId="383" builtinId="26" customBuiltin="1"/>
    <cellStyle name="Good 2" xfId="384"/>
    <cellStyle name="Good 2 2" xfId="385"/>
    <cellStyle name="Good 2 2 2" xfId="10597"/>
    <cellStyle name="Good 2 3" xfId="10598"/>
    <cellStyle name="Good 2 4" xfId="10599"/>
    <cellStyle name="Good 2 4 2" xfId="10600"/>
    <cellStyle name="Good 3" xfId="386"/>
    <cellStyle name="Good 3 2" xfId="10601"/>
    <cellStyle name="Good 4" xfId="387"/>
    <cellStyle name="Good 5" xfId="388"/>
    <cellStyle name="Good 6" xfId="15340"/>
    <cellStyle name="Good 7" xfId="20629"/>
    <cellStyle name="Good 8" xfId="20895"/>
    <cellStyle name="Good 9" xfId="31006"/>
    <cellStyle name="Heading 1" xfId="389" builtinId="16" customBuiltin="1"/>
    <cellStyle name="Heading 1 10" xfId="390"/>
    <cellStyle name="Heading 1 11" xfId="15341"/>
    <cellStyle name="Heading 1 12" xfId="20628"/>
    <cellStyle name="Heading 1 13" xfId="20896"/>
    <cellStyle name="Heading 1 14" xfId="31007"/>
    <cellStyle name="Heading 1 2" xfId="391"/>
    <cellStyle name="Heading 1 2 2" xfId="392"/>
    <cellStyle name="Heading 1 2 2 2" xfId="10602"/>
    <cellStyle name="Heading 1 2 3" xfId="393"/>
    <cellStyle name="Heading 1 2 3 2" xfId="1070"/>
    <cellStyle name="Heading 1 2 3 3" xfId="15701"/>
    <cellStyle name="Heading 1 2 4" xfId="394"/>
    <cellStyle name="Heading 1 2 4 2" xfId="1071"/>
    <cellStyle name="Heading 1 2 4 3" xfId="15702"/>
    <cellStyle name="Heading 1 2 5" xfId="395"/>
    <cellStyle name="Heading 1 2 5 2" xfId="1072"/>
    <cellStyle name="Heading 1 2 5 3" xfId="15704"/>
    <cellStyle name="Heading 1 2 5 4" xfId="15703"/>
    <cellStyle name="Heading 1 2 6" xfId="396"/>
    <cellStyle name="Heading 1 2 6 2" xfId="10603"/>
    <cellStyle name="Heading 1 2 6 2 2" xfId="15705"/>
    <cellStyle name="Heading 1 2 7" xfId="1073"/>
    <cellStyle name="Heading 1 2 8" xfId="10604"/>
    <cellStyle name="Heading 1 2 8 2" xfId="10605"/>
    <cellStyle name="Heading 1 2 8 3" xfId="15706"/>
    <cellStyle name="Heading 1 3" xfId="397"/>
    <cellStyle name="Heading 1 3 2" xfId="10606"/>
    <cellStyle name="Heading 1 4" xfId="398"/>
    <cellStyle name="Heading 1 4 2" xfId="10607"/>
    <cellStyle name="Heading 1 5" xfId="399"/>
    <cellStyle name="Heading 1 5 2" xfId="10608"/>
    <cellStyle name="Heading 1 6" xfId="400"/>
    <cellStyle name="Heading 1 6 2" xfId="10609"/>
    <cellStyle name="Heading 1 7" xfId="401"/>
    <cellStyle name="Heading 1 7 2" xfId="10610"/>
    <cellStyle name="Heading 1 8" xfId="402"/>
    <cellStyle name="Heading 1 8 2" xfId="10611"/>
    <cellStyle name="Heading 1 9" xfId="403"/>
    <cellStyle name="Heading 1 9 2" xfId="1074"/>
    <cellStyle name="Heading 1 9 3" xfId="1075"/>
    <cellStyle name="Heading 2" xfId="404" builtinId="17" customBuiltin="1"/>
    <cellStyle name="Heading 2 10" xfId="405"/>
    <cellStyle name="Heading 2 11" xfId="15342"/>
    <cellStyle name="Heading 2 12" xfId="20627"/>
    <cellStyle name="Heading 2 13" xfId="20897"/>
    <cellStyle name="Heading 2 14" xfId="31008"/>
    <cellStyle name="Heading 2 2" xfId="406"/>
    <cellStyle name="Heading 2 2 2" xfId="407"/>
    <cellStyle name="Heading 2 2 2 2" xfId="10612"/>
    <cellStyle name="Heading 2 2 3" xfId="408"/>
    <cellStyle name="Heading 2 2 3 2" xfId="10613"/>
    <cellStyle name="Heading 2 2 4" xfId="409"/>
    <cellStyle name="Heading 2 2 4 2" xfId="1076"/>
    <cellStyle name="Heading 2 2 4 3" xfId="15707"/>
    <cellStyle name="Heading 2 2 5" xfId="410"/>
    <cellStyle name="Heading 2 2 5 2" xfId="10614"/>
    <cellStyle name="Heading 2 2 5 2 2" xfId="15708"/>
    <cellStyle name="Heading 2 2 6" xfId="411"/>
    <cellStyle name="Heading 2 2 6 2" xfId="10615"/>
    <cellStyle name="Heading 2 2 6 2 2" xfId="15709"/>
    <cellStyle name="Heading 2 2 7" xfId="1077"/>
    <cellStyle name="Heading 2 2 8" xfId="10616"/>
    <cellStyle name="Heading 2 2 8 2" xfId="10617"/>
    <cellStyle name="Heading 2 2 8 3" xfId="15710"/>
    <cellStyle name="Heading 2 3" xfId="412"/>
    <cellStyle name="Heading 2 3 2" xfId="10618"/>
    <cellStyle name="Heading 2 4" xfId="413"/>
    <cellStyle name="Heading 2 4 2" xfId="10619"/>
    <cellStyle name="Heading 2 5" xfId="414"/>
    <cellStyle name="Heading 2 5 2" xfId="10620"/>
    <cellStyle name="Heading 2 6" xfId="415"/>
    <cellStyle name="Heading 2 6 2" xfId="10621"/>
    <cellStyle name="Heading 2 7" xfId="416"/>
    <cellStyle name="Heading 2 7 2" xfId="10622"/>
    <cellStyle name="Heading 2 8" xfId="417"/>
    <cellStyle name="Heading 2 8 2" xfId="10623"/>
    <cellStyle name="Heading 2 9" xfId="418"/>
    <cellStyle name="Heading 2 9 2" xfId="1078"/>
    <cellStyle name="Heading 2 9 3" xfId="1079"/>
    <cellStyle name="Heading 3" xfId="419" builtinId="18" customBuiltin="1"/>
    <cellStyle name="Heading 3 2" xfId="420"/>
    <cellStyle name="Heading 3 2 2" xfId="421"/>
    <cellStyle name="Heading 3 2 2 2" xfId="10624"/>
    <cellStyle name="Heading 3 2 3" xfId="10625"/>
    <cellStyle name="Heading 3 2 4" xfId="10626"/>
    <cellStyle name="Heading 3 2 4 2" xfId="10627"/>
    <cellStyle name="Heading 3 3" xfId="422"/>
    <cellStyle name="Heading 3 3 2" xfId="10628"/>
    <cellStyle name="Heading 3 4" xfId="423"/>
    <cellStyle name="Heading 3 4 2" xfId="10629"/>
    <cellStyle name="Heading 3 5" xfId="424"/>
    <cellStyle name="Heading 3 6" xfId="15343"/>
    <cellStyle name="Heading 3 7" xfId="20626"/>
    <cellStyle name="Heading 3 8" xfId="20898"/>
    <cellStyle name="Heading 3 9" xfId="31009"/>
    <cellStyle name="Heading 4" xfId="425" builtinId="19" customBuiltin="1"/>
    <cellStyle name="Heading 4 2" xfId="426"/>
    <cellStyle name="Heading 4 2 2" xfId="427"/>
    <cellStyle name="Heading 4 2 2 2" xfId="10630"/>
    <cellStyle name="Heading 4 2 3" xfId="10631"/>
    <cellStyle name="Heading 4 2 4" xfId="10632"/>
    <cellStyle name="Heading 4 2 4 2" xfId="10633"/>
    <cellStyle name="Heading 4 3" xfId="428"/>
    <cellStyle name="Heading 4 3 2" xfId="10634"/>
    <cellStyle name="Heading 4 4" xfId="429"/>
    <cellStyle name="Heading 4 4 2" xfId="10635"/>
    <cellStyle name="Heading 4 5" xfId="430"/>
    <cellStyle name="Heading 4 6" xfId="15344"/>
    <cellStyle name="Heading 4 7" xfId="20653"/>
    <cellStyle name="Heading 4 8" xfId="20899"/>
    <cellStyle name="Heading 4 9" xfId="31010"/>
    <cellStyle name="Heading1" xfId="431"/>
    <cellStyle name="Heading1 2" xfId="10636"/>
    <cellStyle name="Heading2" xfId="432"/>
    <cellStyle name="Heading2 2" xfId="10637"/>
    <cellStyle name="Hyperlink 2" xfId="433"/>
    <cellStyle name="Hyperlink 2 2" xfId="10638"/>
    <cellStyle name="Hyperlink 3" xfId="434"/>
    <cellStyle name="Hyperlink 3 2" xfId="435"/>
    <cellStyle name="Hyperlink 4" xfId="436"/>
    <cellStyle name="Hyperlink 5" xfId="437"/>
    <cellStyle name="Hyperlink 5 2" xfId="1080"/>
    <cellStyle name="Hyperlink 5 3" xfId="30697"/>
    <cellStyle name="Hyperlink 6" xfId="1081"/>
    <cellStyle name="Hyperlink 7" xfId="50518"/>
    <cellStyle name="Input" xfId="438" builtinId="20" customBuiltin="1"/>
    <cellStyle name="Input 2" xfId="439"/>
    <cellStyle name="Input 2 2" xfId="440"/>
    <cellStyle name="Input 2 2 2" xfId="10639"/>
    <cellStyle name="Input 2 3" xfId="10640"/>
    <cellStyle name="Input 2 4" xfId="10641"/>
    <cellStyle name="Input 2 4 2" xfId="10642"/>
    <cellStyle name="Input 3" xfId="441"/>
    <cellStyle name="Input 3 2" xfId="10643"/>
    <cellStyle name="Input 4" xfId="442"/>
    <cellStyle name="Input 5" xfId="443"/>
    <cellStyle name="Input 6" xfId="15345"/>
    <cellStyle name="Input 7" xfId="20625"/>
    <cellStyle name="Input 8" xfId="20900"/>
    <cellStyle name="Input 9" xfId="31011"/>
    <cellStyle name="Linked Cell" xfId="444" builtinId="24" customBuiltin="1"/>
    <cellStyle name="Linked Cell 2" xfId="445"/>
    <cellStyle name="Linked Cell 2 2" xfId="446"/>
    <cellStyle name="Linked Cell 2 2 2" xfId="10644"/>
    <cellStyle name="Linked Cell 2 3" xfId="10645"/>
    <cellStyle name="Linked Cell 2 4" xfId="10646"/>
    <cellStyle name="Linked Cell 2 4 2" xfId="10647"/>
    <cellStyle name="Linked Cell 3" xfId="447"/>
    <cellStyle name="Linked Cell 3 2" xfId="10648"/>
    <cellStyle name="Linked Cell 4" xfId="448"/>
    <cellStyle name="Linked Cell 4 2" xfId="10649"/>
    <cellStyle name="Linked Cell 5" xfId="449"/>
    <cellStyle name="Linked Cell 6" xfId="15346"/>
    <cellStyle name="Linked Cell 7" xfId="20624"/>
    <cellStyle name="Linked Cell 8" xfId="20901"/>
    <cellStyle name="Linked Cell 9" xfId="31012"/>
    <cellStyle name="Neutral" xfId="450" builtinId="28" customBuiltin="1"/>
    <cellStyle name="Neutral 2" xfId="451"/>
    <cellStyle name="Neutral 2 2" xfId="452"/>
    <cellStyle name="Neutral 2 2 2" xfId="10650"/>
    <cellStyle name="Neutral 2 3" xfId="10651"/>
    <cellStyle name="Neutral 2 4" xfId="10652"/>
    <cellStyle name="Neutral 2 4 2" xfId="10653"/>
    <cellStyle name="Neutral 3" xfId="453"/>
    <cellStyle name="Neutral 3 2" xfId="10654"/>
    <cellStyle name="Neutral 4" xfId="454"/>
    <cellStyle name="Neutral 5" xfId="455"/>
    <cellStyle name="Neutral 6" xfId="15347"/>
    <cellStyle name="Neutral 7" xfId="20623"/>
    <cellStyle name="Neutral 8" xfId="20902"/>
    <cellStyle name="Neutral 9" xfId="31013"/>
    <cellStyle name="Normal" xfId="0" builtinId="0"/>
    <cellStyle name="Normal 10" xfId="456"/>
    <cellStyle name="Normal 10 10" xfId="30698"/>
    <cellStyle name="Normal 10 10 2" xfId="50441"/>
    <cellStyle name="Normal 10 2" xfId="457"/>
    <cellStyle name="Normal 10 2 10" xfId="10655"/>
    <cellStyle name="Normal 10 2 10 2" xfId="10656"/>
    <cellStyle name="Normal 10 2 11" xfId="10657"/>
    <cellStyle name="Normal 10 2 11 2" xfId="10658"/>
    <cellStyle name="Normal 10 2 12" xfId="10659"/>
    <cellStyle name="Normal 10 2 13" xfId="10660"/>
    <cellStyle name="Normal 10 2 14" xfId="10661"/>
    <cellStyle name="Normal 10 2 15" xfId="30699"/>
    <cellStyle name="Normal 10 2 15 2" xfId="50442"/>
    <cellStyle name="Normal 10 2 2" xfId="458"/>
    <cellStyle name="Normal 10 2 2 10" xfId="10662"/>
    <cellStyle name="Normal 10 2 2 11" xfId="10663"/>
    <cellStyle name="Normal 10 2 2 12" xfId="15711"/>
    <cellStyle name="Normal 10 2 2 12 2" xfId="20558"/>
    <cellStyle name="Normal 10 2 2 12 2 2" xfId="30271"/>
    <cellStyle name="Normal 10 2 2 12 2 2 2" xfId="50024"/>
    <cellStyle name="Normal 10 2 2 12 2 3" xfId="40380"/>
    <cellStyle name="Normal 10 2 2 12 3" xfId="25459"/>
    <cellStyle name="Normal 10 2 2 12 3 2" xfId="45213"/>
    <cellStyle name="Normal 10 2 2 12 4" xfId="35569"/>
    <cellStyle name="Normal 10 2 2 13" xfId="30700"/>
    <cellStyle name="Normal 10 2 2 13 2" xfId="50443"/>
    <cellStyle name="Normal 10 2 2 2" xfId="459"/>
    <cellStyle name="Normal 10 2 2 2 10" xfId="15712"/>
    <cellStyle name="Normal 10 2 2 2 10 2" xfId="20559"/>
    <cellStyle name="Normal 10 2 2 2 10 2 2" xfId="30272"/>
    <cellStyle name="Normal 10 2 2 2 10 2 2 2" xfId="50025"/>
    <cellStyle name="Normal 10 2 2 2 10 2 3" xfId="40381"/>
    <cellStyle name="Normal 10 2 2 2 10 3" xfId="25460"/>
    <cellStyle name="Normal 10 2 2 2 10 3 2" xfId="45214"/>
    <cellStyle name="Normal 10 2 2 2 10 4" xfId="35570"/>
    <cellStyle name="Normal 10 2 2 2 11" xfId="30701"/>
    <cellStyle name="Normal 10 2 2 2 11 2" xfId="50444"/>
    <cellStyle name="Normal 10 2 2 2 2" xfId="460"/>
    <cellStyle name="Normal 10 2 2 2 2 2" xfId="10664"/>
    <cellStyle name="Normal 10 2 2 2 2 2 2" xfId="10665"/>
    <cellStyle name="Normal 10 2 2 2 2 2 2 2" xfId="10666"/>
    <cellStyle name="Normal 10 2 2 2 2 2 3" xfId="10667"/>
    <cellStyle name="Normal 10 2 2 2 2 3" xfId="10668"/>
    <cellStyle name="Normal 10 2 2 2 2 3 2" xfId="10669"/>
    <cellStyle name="Normal 10 2 2 2 2 4" xfId="10670"/>
    <cellStyle name="Normal 10 2 2 2 3" xfId="10671"/>
    <cellStyle name="Normal 10 2 2 2 3 2" xfId="10672"/>
    <cellStyle name="Normal 10 2 2 2 3 2 2" xfId="10673"/>
    <cellStyle name="Normal 10 2 2 2 3 2 2 2" xfId="10674"/>
    <cellStyle name="Normal 10 2 2 2 3 2 3" xfId="10675"/>
    <cellStyle name="Normal 10 2 2 2 3 3" xfId="10676"/>
    <cellStyle name="Normal 10 2 2 2 3 3 2" xfId="10677"/>
    <cellStyle name="Normal 10 2 2 2 3 4" xfId="10678"/>
    <cellStyle name="Normal 10 2 2 2 4" xfId="10679"/>
    <cellStyle name="Normal 10 2 2 2 4 2" xfId="10680"/>
    <cellStyle name="Normal 10 2 2 2 5" xfId="10681"/>
    <cellStyle name="Normal 10 2 2 2 5 2" xfId="10682"/>
    <cellStyle name="Normal 10 2 2 2 5 2 2" xfId="10683"/>
    <cellStyle name="Normal 10 2 2 2 5 3" xfId="10684"/>
    <cellStyle name="Normal 10 2 2 2 6" xfId="10685"/>
    <cellStyle name="Normal 10 2 2 2 6 2" xfId="10686"/>
    <cellStyle name="Normal 10 2 2 2 7" xfId="10687"/>
    <cellStyle name="Normal 10 2 2 2 8" xfId="10688"/>
    <cellStyle name="Normal 10 2 2 2 9" xfId="10689"/>
    <cellStyle name="Normal 10 2 2 3" xfId="461"/>
    <cellStyle name="Normal 10 2 2 3 2" xfId="10690"/>
    <cellStyle name="Normal 10 2 2 3 2 2" xfId="10691"/>
    <cellStyle name="Normal 10 2 2 3 2 2 2" xfId="10692"/>
    <cellStyle name="Normal 10 2 2 3 2 3" xfId="10693"/>
    <cellStyle name="Normal 10 2 2 3 3" xfId="10694"/>
    <cellStyle name="Normal 10 2 2 3 3 2" xfId="10695"/>
    <cellStyle name="Normal 10 2 2 3 4" xfId="10696"/>
    <cellStyle name="Normal 10 2 2 4" xfId="10697"/>
    <cellStyle name="Normal 10 2 2 4 2" xfId="10698"/>
    <cellStyle name="Normal 10 2 2 4 2 2" xfId="10699"/>
    <cellStyle name="Normal 10 2 2 4 2 2 2" xfId="10700"/>
    <cellStyle name="Normal 10 2 2 4 2 3" xfId="10701"/>
    <cellStyle name="Normal 10 2 2 4 3" xfId="10702"/>
    <cellStyle name="Normal 10 2 2 4 3 2" xfId="10703"/>
    <cellStyle name="Normal 10 2 2 4 4" xfId="10704"/>
    <cellStyle name="Normal 10 2 2 5" xfId="10705"/>
    <cellStyle name="Normal 10 2 2 5 2" xfId="10706"/>
    <cellStyle name="Normal 10 2 2 6" xfId="10707"/>
    <cellStyle name="Normal 10 2 2 6 2" xfId="10708"/>
    <cellStyle name="Normal 10 2 2 6 2 2" xfId="10709"/>
    <cellStyle name="Normal 10 2 2 6 3" xfId="10710"/>
    <cellStyle name="Normal 10 2 2 7" xfId="10711"/>
    <cellStyle name="Normal 10 2 2 7 2" xfId="10712"/>
    <cellStyle name="Normal 10 2 2 8" xfId="10713"/>
    <cellStyle name="Normal 10 2 2 8 2" xfId="10714"/>
    <cellStyle name="Normal 10 2 2 9" xfId="10715"/>
    <cellStyle name="Normal 10 2 3" xfId="462"/>
    <cellStyle name="Normal 10 2 3 2" xfId="10716"/>
    <cellStyle name="Normal 10 2 4" xfId="463"/>
    <cellStyle name="Normal 10 2 4 10" xfId="16000"/>
    <cellStyle name="Normal 10 2 4 10 2" xfId="25716"/>
    <cellStyle name="Normal 10 2 4 10 2 2" xfId="45470"/>
    <cellStyle name="Normal 10 2 4 10 3" xfId="35826"/>
    <cellStyle name="Normal 10 2 4 11" xfId="20903"/>
    <cellStyle name="Normal 10 2 4 11 2" xfId="40661"/>
    <cellStyle name="Normal 10 2 4 12" xfId="30702"/>
    <cellStyle name="Normal 10 2 4 12 2" xfId="50445"/>
    <cellStyle name="Normal 10 2 4 13" xfId="31014"/>
    <cellStyle name="Normal 10 2 4 14" xfId="50537"/>
    <cellStyle name="Normal 10 2 4 2" xfId="1082"/>
    <cellStyle name="Normal 10 2 4 2 2" xfId="10717"/>
    <cellStyle name="Normal 10 2 4 2 2 2" xfId="10718"/>
    <cellStyle name="Normal 10 2 4 2 2 2 2" xfId="10719"/>
    <cellStyle name="Normal 10 2 4 2 2 3" xfId="10720"/>
    <cellStyle name="Normal 10 2 4 2 3" xfId="10721"/>
    <cellStyle name="Normal 10 2 4 2 3 2" xfId="10722"/>
    <cellStyle name="Normal 10 2 4 2 4" xfId="10723"/>
    <cellStyle name="Normal 10 2 4 2 5" xfId="16412"/>
    <cellStyle name="Normal 10 2 4 2 5 2" xfId="26128"/>
    <cellStyle name="Normal 10 2 4 2 5 2 2" xfId="45882"/>
    <cellStyle name="Normal 10 2 4 2 5 3" xfId="36238"/>
    <cellStyle name="Normal 10 2 4 2 6" xfId="21318"/>
    <cellStyle name="Normal 10 2 4 2 6 2" xfId="41073"/>
    <cellStyle name="Normal 10 2 4 2 7" xfId="31429"/>
    <cellStyle name="Normal 10 2 4 3" xfId="1083"/>
    <cellStyle name="Normal 10 2 4 3 2" xfId="10724"/>
    <cellStyle name="Normal 10 2 4 3 2 2" xfId="10725"/>
    <cellStyle name="Normal 10 2 4 3 2 2 2" xfId="10726"/>
    <cellStyle name="Normal 10 2 4 3 2 3" xfId="10727"/>
    <cellStyle name="Normal 10 2 4 3 3" xfId="10728"/>
    <cellStyle name="Normal 10 2 4 3 3 2" xfId="10729"/>
    <cellStyle name="Normal 10 2 4 3 4" xfId="10730"/>
    <cellStyle name="Normal 10 2 4 3 5" xfId="16413"/>
    <cellStyle name="Normal 10 2 4 3 5 2" xfId="26129"/>
    <cellStyle name="Normal 10 2 4 3 5 2 2" xfId="45883"/>
    <cellStyle name="Normal 10 2 4 3 5 3" xfId="36239"/>
    <cellStyle name="Normal 10 2 4 3 6" xfId="21319"/>
    <cellStyle name="Normal 10 2 4 3 6 2" xfId="41074"/>
    <cellStyle name="Normal 10 2 4 3 7" xfId="31430"/>
    <cellStyle name="Normal 10 2 4 4" xfId="10731"/>
    <cellStyle name="Normal 10 2 4 4 2" xfId="10732"/>
    <cellStyle name="Normal 10 2 4 4 2 2" xfId="10733"/>
    <cellStyle name="Normal 10 2 4 4 3" xfId="10734"/>
    <cellStyle name="Normal 10 2 4 5" xfId="10735"/>
    <cellStyle name="Normal 10 2 4 5 2" xfId="10736"/>
    <cellStyle name="Normal 10 2 4 6" xfId="10737"/>
    <cellStyle name="Normal 10 2 4 7" xfId="10738"/>
    <cellStyle name="Normal 10 2 4 8" xfId="10739"/>
    <cellStyle name="Normal 10 2 4 9" xfId="15713"/>
    <cellStyle name="Normal 10 2 4 9 2" xfId="20560"/>
    <cellStyle name="Normal 10 2 4 9 2 2" xfId="30273"/>
    <cellStyle name="Normal 10 2 4 9 2 2 2" xfId="50026"/>
    <cellStyle name="Normal 10 2 4 9 2 3" xfId="40382"/>
    <cellStyle name="Normal 10 2 4 9 3" xfId="25461"/>
    <cellStyle name="Normal 10 2 4 9 3 2" xfId="45215"/>
    <cellStyle name="Normal 10 2 4 9 4" xfId="35571"/>
    <cellStyle name="Normal 10 2 5" xfId="464"/>
    <cellStyle name="Normal 10 2 5 2" xfId="465"/>
    <cellStyle name="Normal 10 2 5 2 2" xfId="10740"/>
    <cellStyle name="Normal 10 2 5 3" xfId="10741"/>
    <cellStyle name="Normal 10 2 5 3 2" xfId="10742"/>
    <cellStyle name="Normal 10 2 5 3 2 2" xfId="10743"/>
    <cellStyle name="Normal 10 2 5 3 3" xfId="10744"/>
    <cellStyle name="Normal 10 2 5 4" xfId="10745"/>
    <cellStyle name="Normal 10 2 5 4 2" xfId="10746"/>
    <cellStyle name="Normal 10 2 5 5" xfId="10747"/>
    <cellStyle name="Normal 10 2 5 6" xfId="15714"/>
    <cellStyle name="Normal 10 2 5 6 2" xfId="20561"/>
    <cellStyle name="Normal 10 2 5 6 2 2" xfId="30274"/>
    <cellStyle name="Normal 10 2 5 6 2 2 2" xfId="50027"/>
    <cellStyle name="Normal 10 2 5 6 2 3" xfId="40383"/>
    <cellStyle name="Normal 10 2 5 6 3" xfId="25462"/>
    <cellStyle name="Normal 10 2 5 6 3 2" xfId="45216"/>
    <cellStyle name="Normal 10 2 5 6 4" xfId="35572"/>
    <cellStyle name="Normal 10 2 5 7" xfId="30703"/>
    <cellStyle name="Normal 10 2 5 7 2" xfId="50446"/>
    <cellStyle name="Normal 10 2 6" xfId="466"/>
    <cellStyle name="Normal 10 2 6 2" xfId="10748"/>
    <cellStyle name="Normal 10 2 6 2 2" xfId="10749"/>
    <cellStyle name="Normal 10 2 6 2 2 2" xfId="10750"/>
    <cellStyle name="Normal 10 2 6 2 3" xfId="10751"/>
    <cellStyle name="Normal 10 2 6 3" xfId="10752"/>
    <cellStyle name="Normal 10 2 6 3 2" xfId="10753"/>
    <cellStyle name="Normal 10 2 6 4" xfId="10754"/>
    <cellStyle name="Normal 10 2 7" xfId="10755"/>
    <cellStyle name="Normal 10 2 7 2" xfId="10756"/>
    <cellStyle name="Normal 10 2 7 2 2" xfId="10757"/>
    <cellStyle name="Normal 10 2 7 2 2 2" xfId="10758"/>
    <cellStyle name="Normal 10 2 7 2 3" xfId="10759"/>
    <cellStyle name="Normal 10 2 7 3" xfId="10760"/>
    <cellStyle name="Normal 10 2 7 3 2" xfId="10761"/>
    <cellStyle name="Normal 10 2 7 4" xfId="10762"/>
    <cellStyle name="Normal 10 2 8" xfId="10763"/>
    <cellStyle name="Normal 10 2 8 2" xfId="10764"/>
    <cellStyle name="Normal 10 2 9" xfId="10765"/>
    <cellStyle name="Normal 10 2 9 2" xfId="10766"/>
    <cellStyle name="Normal 10 2 9 2 2" xfId="10767"/>
    <cellStyle name="Normal 10 2 9 3" xfId="10768"/>
    <cellStyle name="Normal 10 3" xfId="467"/>
    <cellStyle name="Normal 10 3 10" xfId="10769"/>
    <cellStyle name="Normal 10 3 11" xfId="10770"/>
    <cellStyle name="Normal 10 3 2" xfId="10771"/>
    <cellStyle name="Normal 10 3 2 2" xfId="10772"/>
    <cellStyle name="Normal 10 3 2 2 2" xfId="10773"/>
    <cellStyle name="Normal 10 3 2 2 2 2" xfId="10774"/>
    <cellStyle name="Normal 10 3 2 2 2 2 2" xfId="10775"/>
    <cellStyle name="Normal 10 3 2 2 2 3" xfId="10776"/>
    <cellStyle name="Normal 10 3 2 2 3" xfId="10777"/>
    <cellStyle name="Normal 10 3 2 2 3 2" xfId="10778"/>
    <cellStyle name="Normal 10 3 2 2 4" xfId="10779"/>
    <cellStyle name="Normal 10 3 2 3" xfId="10780"/>
    <cellStyle name="Normal 10 3 2 3 2" xfId="10781"/>
    <cellStyle name="Normal 10 3 2 3 2 2" xfId="10782"/>
    <cellStyle name="Normal 10 3 2 3 3" xfId="10783"/>
    <cellStyle name="Normal 10 3 2 4" xfId="10784"/>
    <cellStyle name="Normal 10 3 2 4 2" xfId="10785"/>
    <cellStyle name="Normal 10 3 2 5" xfId="10786"/>
    <cellStyle name="Normal 10 3 2 6" xfId="10787"/>
    <cellStyle name="Normal 10 3 2 7" xfId="10788"/>
    <cellStyle name="Normal 10 3 3" xfId="10789"/>
    <cellStyle name="Normal 10 3 3 2" xfId="10790"/>
    <cellStyle name="Normal 10 3 3 2 2" xfId="10791"/>
    <cellStyle name="Normal 10 3 3 2 2 2" xfId="10792"/>
    <cellStyle name="Normal 10 3 3 2 3" xfId="10793"/>
    <cellStyle name="Normal 10 3 3 3" xfId="10794"/>
    <cellStyle name="Normal 10 3 3 3 2" xfId="10795"/>
    <cellStyle name="Normal 10 3 3 4" xfId="10796"/>
    <cellStyle name="Normal 10 3 4" xfId="10797"/>
    <cellStyle name="Normal 10 3 4 2" xfId="10798"/>
    <cellStyle name="Normal 10 3 4 2 2" xfId="10799"/>
    <cellStyle name="Normal 10 3 4 2 2 2" xfId="10800"/>
    <cellStyle name="Normal 10 3 4 2 3" xfId="10801"/>
    <cellStyle name="Normal 10 3 4 3" xfId="10802"/>
    <cellStyle name="Normal 10 3 4 3 2" xfId="10803"/>
    <cellStyle name="Normal 10 3 4 4" xfId="10804"/>
    <cellStyle name="Normal 10 3 5" xfId="10805"/>
    <cellStyle name="Normal 10 3 5 2" xfId="10806"/>
    <cellStyle name="Normal 10 3 6" xfId="10807"/>
    <cellStyle name="Normal 10 3 6 2" xfId="10808"/>
    <cellStyle name="Normal 10 3 6 2 2" xfId="10809"/>
    <cellStyle name="Normal 10 3 6 3" xfId="10810"/>
    <cellStyle name="Normal 10 3 7" xfId="10811"/>
    <cellStyle name="Normal 10 3 7 2" xfId="10812"/>
    <cellStyle name="Normal 10 3 8" xfId="10813"/>
    <cellStyle name="Normal 10 3 8 2" xfId="10814"/>
    <cellStyle name="Normal 10 3 9" xfId="10815"/>
    <cellStyle name="Normal 10 4" xfId="468"/>
    <cellStyle name="Normal 10 4 2" xfId="469"/>
    <cellStyle name="Normal 10 4 2 2" xfId="470"/>
    <cellStyle name="Normal 10 4 2 3" xfId="15716"/>
    <cellStyle name="Normal 10 4 2 3 2" xfId="20563"/>
    <cellStyle name="Normal 10 4 2 3 2 2" xfId="30276"/>
    <cellStyle name="Normal 10 4 2 3 2 2 2" xfId="50029"/>
    <cellStyle name="Normal 10 4 2 3 2 3" xfId="40385"/>
    <cellStyle name="Normal 10 4 2 3 3" xfId="25464"/>
    <cellStyle name="Normal 10 4 2 3 3 2" xfId="45218"/>
    <cellStyle name="Normal 10 4 2 3 4" xfId="35574"/>
    <cellStyle name="Normal 10 4 2 4" xfId="30705"/>
    <cellStyle name="Normal 10 4 2 4 2" xfId="50448"/>
    <cellStyle name="Normal 10 4 3" xfId="471"/>
    <cellStyle name="Normal 10 4 3 2" xfId="10816"/>
    <cellStyle name="Normal 10 4 3 3" xfId="30706"/>
    <cellStyle name="Normal 10 4 3 3 2" xfId="50449"/>
    <cellStyle name="Normal 10 4 4" xfId="1084"/>
    <cellStyle name="Normal 10 4 4 2" xfId="10817"/>
    <cellStyle name="Normal 10 4 4 3" xfId="15717"/>
    <cellStyle name="Normal 10 4 4 3 2" xfId="20564"/>
    <cellStyle name="Normal 10 4 4 3 2 2" xfId="30277"/>
    <cellStyle name="Normal 10 4 4 3 2 2 2" xfId="50030"/>
    <cellStyle name="Normal 10 4 4 3 2 3" xfId="40386"/>
    <cellStyle name="Normal 10 4 4 3 3" xfId="25465"/>
    <cellStyle name="Normal 10 4 4 3 3 2" xfId="45219"/>
    <cellStyle name="Normal 10 4 4 3 4" xfId="35575"/>
    <cellStyle name="Normal 10 4 5" xfId="1085"/>
    <cellStyle name="Normal 10 4 5 2" xfId="16414"/>
    <cellStyle name="Normal 10 4 5 2 2" xfId="26130"/>
    <cellStyle name="Normal 10 4 5 2 2 2" xfId="45884"/>
    <cellStyle name="Normal 10 4 5 2 3" xfId="36240"/>
    <cellStyle name="Normal 10 4 5 3" xfId="21320"/>
    <cellStyle name="Normal 10 4 5 3 2" xfId="41075"/>
    <cellStyle name="Normal 10 4 5 4" xfId="30707"/>
    <cellStyle name="Normal 10 4 5 4 2" xfId="50450"/>
    <cellStyle name="Normal 10 4 5 5" xfId="31431"/>
    <cellStyle name="Normal 10 4 6" xfId="15715"/>
    <cellStyle name="Normal 10 4 6 2" xfId="20562"/>
    <cellStyle name="Normal 10 4 6 2 2" xfId="30275"/>
    <cellStyle name="Normal 10 4 6 2 2 2" xfId="50028"/>
    <cellStyle name="Normal 10 4 6 2 3" xfId="40384"/>
    <cellStyle name="Normal 10 4 6 3" xfId="25463"/>
    <cellStyle name="Normal 10 4 6 3 2" xfId="45217"/>
    <cellStyle name="Normal 10 4 6 4" xfId="35573"/>
    <cellStyle name="Normal 10 4 7" xfId="30704"/>
    <cellStyle name="Normal 10 4 7 2" xfId="50447"/>
    <cellStyle name="Normal 10 5" xfId="472"/>
    <cellStyle name="Normal 10 5 2" xfId="10818"/>
    <cellStyle name="Normal 10 6" xfId="10819"/>
    <cellStyle name="Normal 10 6 2" xfId="10820"/>
    <cellStyle name="Normal 10 7" xfId="10821"/>
    <cellStyle name="Normal 10 7 2" xfId="10822"/>
    <cellStyle name="Normal 10 8" xfId="10823"/>
    <cellStyle name="Normal 10 8 2" xfId="10824"/>
    <cellStyle name="Normal 10 9" xfId="10825"/>
    <cellStyle name="Normal 10 9 10" xfId="10826"/>
    <cellStyle name="Normal 10 9 2" xfId="10827"/>
    <cellStyle name="Normal 10 9 2 2" xfId="10828"/>
    <cellStyle name="Normal 10 9 2 2 2" xfId="10829"/>
    <cellStyle name="Normal 10 9 2 2 2 2" xfId="10830"/>
    <cellStyle name="Normal 10 9 2 2 2 2 2" xfId="10831"/>
    <cellStyle name="Normal 10 9 2 2 2 3" xfId="10832"/>
    <cellStyle name="Normal 10 9 2 2 3" xfId="10833"/>
    <cellStyle name="Normal 10 9 2 2 3 2" xfId="10834"/>
    <cellStyle name="Normal 10 9 2 2 4" xfId="10835"/>
    <cellStyle name="Normal 10 9 2 3" xfId="10836"/>
    <cellStyle name="Normal 10 9 2 3 2" xfId="10837"/>
    <cellStyle name="Normal 10 9 2 3 2 2" xfId="10838"/>
    <cellStyle name="Normal 10 9 2 3 3" xfId="10839"/>
    <cellStyle name="Normal 10 9 2 4" xfId="10840"/>
    <cellStyle name="Normal 10 9 2 4 2" xfId="10841"/>
    <cellStyle name="Normal 10 9 2 5" xfId="10842"/>
    <cellStyle name="Normal 10 9 2 6" xfId="10843"/>
    <cellStyle name="Normal 10 9 2 7" xfId="10844"/>
    <cellStyle name="Normal 10 9 3" xfId="10845"/>
    <cellStyle name="Normal 10 9 3 2" xfId="10846"/>
    <cellStyle name="Normal 10 9 3 2 2" xfId="10847"/>
    <cellStyle name="Normal 10 9 3 2 2 2" xfId="10848"/>
    <cellStyle name="Normal 10 9 3 2 3" xfId="10849"/>
    <cellStyle name="Normal 10 9 3 3" xfId="10850"/>
    <cellStyle name="Normal 10 9 3 3 2" xfId="10851"/>
    <cellStyle name="Normal 10 9 3 4" xfId="10852"/>
    <cellStyle name="Normal 10 9 4" xfId="10853"/>
    <cellStyle name="Normal 10 9 4 2" xfId="10854"/>
    <cellStyle name="Normal 10 9 4 2 2" xfId="10855"/>
    <cellStyle name="Normal 10 9 4 2 2 2" xfId="10856"/>
    <cellStyle name="Normal 10 9 4 2 3" xfId="10857"/>
    <cellStyle name="Normal 10 9 4 3" xfId="10858"/>
    <cellStyle name="Normal 10 9 4 3 2" xfId="10859"/>
    <cellStyle name="Normal 10 9 4 4" xfId="10860"/>
    <cellStyle name="Normal 10 9 5" xfId="10861"/>
    <cellStyle name="Normal 10 9 5 2" xfId="10862"/>
    <cellStyle name="Normal 10 9 5 2 2" xfId="10863"/>
    <cellStyle name="Normal 10 9 5 3" xfId="10864"/>
    <cellStyle name="Normal 10 9 6" xfId="10865"/>
    <cellStyle name="Normal 10 9 6 2" xfId="10866"/>
    <cellStyle name="Normal 10 9 7" xfId="10867"/>
    <cellStyle name="Normal 10 9 7 2" xfId="10868"/>
    <cellStyle name="Normal 10 9 8" xfId="10869"/>
    <cellStyle name="Normal 10 9 9" xfId="10870"/>
    <cellStyle name="Normal 100" xfId="20661"/>
    <cellStyle name="Normal 100 2" xfId="30338"/>
    <cellStyle name="Normal 100 2 2" xfId="50087"/>
    <cellStyle name="Normal 100 3" xfId="40443"/>
    <cellStyle name="Normal 101" xfId="20678"/>
    <cellStyle name="Normal 102" xfId="10871"/>
    <cellStyle name="Normal 102 2" xfId="10872"/>
    <cellStyle name="Normal 103" xfId="10873"/>
    <cellStyle name="Normal 103 2" xfId="10874"/>
    <cellStyle name="Normal 104" xfId="10875"/>
    <cellStyle name="Normal 104 2" xfId="10876"/>
    <cellStyle name="Normal 105" xfId="10877"/>
    <cellStyle name="Normal 105 2" xfId="10878"/>
    <cellStyle name="Normal 106" xfId="10879"/>
    <cellStyle name="Normal 106 2" xfId="10880"/>
    <cellStyle name="Normal 107" xfId="10881"/>
    <cellStyle name="Normal 107 2" xfId="10882"/>
    <cellStyle name="Normal 108" xfId="10883"/>
    <cellStyle name="Normal 108 2" xfId="10884"/>
    <cellStyle name="Normal 109" xfId="10885"/>
    <cellStyle name="Normal 109 2" xfId="10886"/>
    <cellStyle name="Normal 11" xfId="473"/>
    <cellStyle name="Normal 11 10" xfId="10887"/>
    <cellStyle name="Normal 11 10 2" xfId="10888"/>
    <cellStyle name="Normal 11 10 2 2" xfId="10889"/>
    <cellStyle name="Normal 11 10 2 2 2" xfId="10890"/>
    <cellStyle name="Normal 11 10 2 3" xfId="10891"/>
    <cellStyle name="Normal 11 10 3" xfId="10892"/>
    <cellStyle name="Normal 11 10 3 2" xfId="10893"/>
    <cellStyle name="Normal 11 10 4" xfId="10894"/>
    <cellStyle name="Normal 11 11" xfId="10895"/>
    <cellStyle name="Normal 11 11 2" xfId="10896"/>
    <cellStyle name="Normal 11 12" xfId="10897"/>
    <cellStyle name="Normal 11 12 2" xfId="10898"/>
    <cellStyle name="Normal 11 12 2 2" xfId="10899"/>
    <cellStyle name="Normal 11 12 3" xfId="10900"/>
    <cellStyle name="Normal 11 13" xfId="10901"/>
    <cellStyle name="Normal 11 13 2" xfId="10902"/>
    <cellStyle name="Normal 11 14" xfId="10903"/>
    <cellStyle name="Normal 11 14 2" xfId="10904"/>
    <cellStyle name="Normal 11 15" xfId="10905"/>
    <cellStyle name="Normal 11 16" xfId="10906"/>
    <cellStyle name="Normal 11 2" xfId="474"/>
    <cellStyle name="Normal 11 2 10" xfId="10907"/>
    <cellStyle name="Normal 11 2 11" xfId="10908"/>
    <cellStyle name="Normal 11 2 12" xfId="10909"/>
    <cellStyle name="Normal 11 2 2" xfId="10910"/>
    <cellStyle name="Normal 11 2 2 10" xfId="10911"/>
    <cellStyle name="Normal 11 2 2 2" xfId="10912"/>
    <cellStyle name="Normal 11 2 2 2 2" xfId="10913"/>
    <cellStyle name="Normal 11 2 2 2 2 2" xfId="10914"/>
    <cellStyle name="Normal 11 2 2 2 2 2 2" xfId="10915"/>
    <cellStyle name="Normal 11 2 2 2 2 2 2 2" xfId="10916"/>
    <cellStyle name="Normal 11 2 2 2 2 2 3" xfId="10917"/>
    <cellStyle name="Normal 11 2 2 2 2 3" xfId="10918"/>
    <cellStyle name="Normal 11 2 2 2 2 3 2" xfId="10919"/>
    <cellStyle name="Normal 11 2 2 2 2 4" xfId="10920"/>
    <cellStyle name="Normal 11 2 2 2 3" xfId="10921"/>
    <cellStyle name="Normal 11 2 2 2 3 2" xfId="10922"/>
    <cellStyle name="Normal 11 2 2 2 3 2 2" xfId="10923"/>
    <cellStyle name="Normal 11 2 2 2 3 3" xfId="10924"/>
    <cellStyle name="Normal 11 2 2 2 4" xfId="10925"/>
    <cellStyle name="Normal 11 2 2 2 4 2" xfId="10926"/>
    <cellStyle name="Normal 11 2 2 2 5" xfId="10927"/>
    <cellStyle name="Normal 11 2 2 2 6" xfId="10928"/>
    <cellStyle name="Normal 11 2 2 2 7" xfId="10929"/>
    <cellStyle name="Normal 11 2 2 3" xfId="10930"/>
    <cellStyle name="Normal 11 2 2 3 2" xfId="10931"/>
    <cellStyle name="Normal 11 2 2 3 2 2" xfId="10932"/>
    <cellStyle name="Normal 11 2 2 3 2 2 2" xfId="10933"/>
    <cellStyle name="Normal 11 2 2 3 2 3" xfId="10934"/>
    <cellStyle name="Normal 11 2 2 3 3" xfId="10935"/>
    <cellStyle name="Normal 11 2 2 3 3 2" xfId="10936"/>
    <cellStyle name="Normal 11 2 2 3 4" xfId="10937"/>
    <cellStyle name="Normal 11 2 2 4" xfId="10938"/>
    <cellStyle name="Normal 11 2 2 4 2" xfId="10939"/>
    <cellStyle name="Normal 11 2 2 4 2 2" xfId="10940"/>
    <cellStyle name="Normal 11 2 2 4 2 2 2" xfId="10941"/>
    <cellStyle name="Normal 11 2 2 4 2 3" xfId="10942"/>
    <cellStyle name="Normal 11 2 2 4 3" xfId="10943"/>
    <cellStyle name="Normal 11 2 2 4 3 2" xfId="10944"/>
    <cellStyle name="Normal 11 2 2 4 4" xfId="10945"/>
    <cellStyle name="Normal 11 2 2 5" xfId="10946"/>
    <cellStyle name="Normal 11 2 2 5 2" xfId="10947"/>
    <cellStyle name="Normal 11 2 2 5 2 2" xfId="10948"/>
    <cellStyle name="Normal 11 2 2 5 3" xfId="10949"/>
    <cellStyle name="Normal 11 2 2 6" xfId="10950"/>
    <cellStyle name="Normal 11 2 2 6 2" xfId="10951"/>
    <cellStyle name="Normal 11 2 2 7" xfId="10952"/>
    <cellStyle name="Normal 11 2 2 7 2" xfId="10953"/>
    <cellStyle name="Normal 11 2 2 8" xfId="10954"/>
    <cellStyle name="Normal 11 2 2 9" xfId="10955"/>
    <cellStyle name="Normal 11 2 3" xfId="10956"/>
    <cellStyle name="Normal 11 2 3 2" xfId="10957"/>
    <cellStyle name="Normal 11 2 3 2 2" xfId="10958"/>
    <cellStyle name="Normal 11 2 3 2 2 2" xfId="10959"/>
    <cellStyle name="Normal 11 2 3 2 2 2 2" xfId="10960"/>
    <cellStyle name="Normal 11 2 3 2 2 3" xfId="10961"/>
    <cellStyle name="Normal 11 2 3 2 3" xfId="10962"/>
    <cellStyle name="Normal 11 2 3 2 3 2" xfId="10963"/>
    <cellStyle name="Normal 11 2 3 2 4" xfId="10964"/>
    <cellStyle name="Normal 11 2 3 3" xfId="10965"/>
    <cellStyle name="Normal 11 2 3 3 2" xfId="10966"/>
    <cellStyle name="Normal 11 2 3 3 2 2" xfId="10967"/>
    <cellStyle name="Normal 11 2 3 3 3" xfId="10968"/>
    <cellStyle name="Normal 11 2 3 4" xfId="10969"/>
    <cellStyle name="Normal 11 2 3 4 2" xfId="10970"/>
    <cellStyle name="Normal 11 2 3 5" xfId="10971"/>
    <cellStyle name="Normal 11 2 3 6" xfId="10972"/>
    <cellStyle name="Normal 11 2 3 7" xfId="10973"/>
    <cellStyle name="Normal 11 2 4" xfId="10974"/>
    <cellStyle name="Normal 11 2 4 2" xfId="10975"/>
    <cellStyle name="Normal 11 2 4 2 2" xfId="10976"/>
    <cellStyle name="Normal 11 2 4 2 2 2" xfId="10977"/>
    <cellStyle name="Normal 11 2 4 2 3" xfId="10978"/>
    <cellStyle name="Normal 11 2 4 3" xfId="10979"/>
    <cellStyle name="Normal 11 2 4 3 2" xfId="10980"/>
    <cellStyle name="Normal 11 2 4 4" xfId="10981"/>
    <cellStyle name="Normal 11 2 5" xfId="10982"/>
    <cellStyle name="Normal 11 2 5 2" xfId="10983"/>
    <cellStyle name="Normal 11 2 5 2 2" xfId="10984"/>
    <cellStyle name="Normal 11 2 5 2 2 2" xfId="10985"/>
    <cellStyle name="Normal 11 2 5 2 3" xfId="10986"/>
    <cellStyle name="Normal 11 2 5 3" xfId="10987"/>
    <cellStyle name="Normal 11 2 5 3 2" xfId="10988"/>
    <cellStyle name="Normal 11 2 5 4" xfId="10989"/>
    <cellStyle name="Normal 11 2 6" xfId="10990"/>
    <cellStyle name="Normal 11 2 6 2" xfId="10991"/>
    <cellStyle name="Normal 11 2 7" xfId="10992"/>
    <cellStyle name="Normal 11 2 7 2" xfId="10993"/>
    <cellStyle name="Normal 11 2 7 2 2" xfId="10994"/>
    <cellStyle name="Normal 11 2 7 3" xfId="10995"/>
    <cellStyle name="Normal 11 2 8" xfId="10996"/>
    <cellStyle name="Normal 11 2 8 2" xfId="10997"/>
    <cellStyle name="Normal 11 2 9" xfId="10998"/>
    <cellStyle name="Normal 11 2 9 2" xfId="10999"/>
    <cellStyle name="Normal 11 3" xfId="11000"/>
    <cellStyle name="Normal 11 3 10" xfId="11001"/>
    <cellStyle name="Normal 11 3 2" xfId="11002"/>
    <cellStyle name="Normal 11 3 2 2" xfId="11003"/>
    <cellStyle name="Normal 11 3 2 2 2" xfId="11004"/>
    <cellStyle name="Normal 11 3 2 2 2 2" xfId="11005"/>
    <cellStyle name="Normal 11 3 2 2 2 2 2" xfId="11006"/>
    <cellStyle name="Normal 11 3 2 2 2 3" xfId="11007"/>
    <cellStyle name="Normal 11 3 2 2 3" xfId="11008"/>
    <cellStyle name="Normal 11 3 2 2 3 2" xfId="11009"/>
    <cellStyle name="Normal 11 3 2 2 4" xfId="11010"/>
    <cellStyle name="Normal 11 3 2 3" xfId="11011"/>
    <cellStyle name="Normal 11 3 2 3 2" xfId="11012"/>
    <cellStyle name="Normal 11 3 2 3 2 2" xfId="11013"/>
    <cellStyle name="Normal 11 3 2 3 3" xfId="11014"/>
    <cellStyle name="Normal 11 3 2 4" xfId="11015"/>
    <cellStyle name="Normal 11 3 2 4 2" xfId="11016"/>
    <cellStyle name="Normal 11 3 2 5" xfId="11017"/>
    <cellStyle name="Normal 11 3 2 6" xfId="11018"/>
    <cellStyle name="Normal 11 3 2 7" xfId="11019"/>
    <cellStyle name="Normal 11 3 3" xfId="11020"/>
    <cellStyle name="Normal 11 3 3 2" xfId="11021"/>
    <cellStyle name="Normal 11 3 3 2 2" xfId="11022"/>
    <cellStyle name="Normal 11 3 3 2 2 2" xfId="11023"/>
    <cellStyle name="Normal 11 3 3 2 3" xfId="11024"/>
    <cellStyle name="Normal 11 3 3 3" xfId="11025"/>
    <cellStyle name="Normal 11 3 3 3 2" xfId="11026"/>
    <cellStyle name="Normal 11 3 3 4" xfId="11027"/>
    <cellStyle name="Normal 11 3 4" xfId="11028"/>
    <cellStyle name="Normal 11 3 4 2" xfId="11029"/>
    <cellStyle name="Normal 11 3 4 2 2" xfId="11030"/>
    <cellStyle name="Normal 11 3 4 2 2 2" xfId="11031"/>
    <cellStyle name="Normal 11 3 4 2 3" xfId="11032"/>
    <cellStyle name="Normal 11 3 4 3" xfId="11033"/>
    <cellStyle name="Normal 11 3 4 3 2" xfId="11034"/>
    <cellStyle name="Normal 11 3 4 4" xfId="11035"/>
    <cellStyle name="Normal 11 3 5" xfId="11036"/>
    <cellStyle name="Normal 11 3 5 2" xfId="11037"/>
    <cellStyle name="Normal 11 3 5 2 2" xfId="11038"/>
    <cellStyle name="Normal 11 3 5 3" xfId="11039"/>
    <cellStyle name="Normal 11 3 6" xfId="11040"/>
    <cellStyle name="Normal 11 3 6 2" xfId="11041"/>
    <cellStyle name="Normal 11 3 7" xfId="11042"/>
    <cellStyle name="Normal 11 3 7 2" xfId="11043"/>
    <cellStyle name="Normal 11 3 8" xfId="11044"/>
    <cellStyle name="Normal 11 3 9" xfId="11045"/>
    <cellStyle name="Normal 11 4" xfId="11046"/>
    <cellStyle name="Normal 11 4 2" xfId="11047"/>
    <cellStyle name="Normal 11 5" xfId="11048"/>
    <cellStyle name="Normal 11 5 2" xfId="11049"/>
    <cellStyle name="Normal 11 6" xfId="11050"/>
    <cellStyle name="Normal 11 6 2" xfId="11051"/>
    <cellStyle name="Normal 11 7" xfId="11052"/>
    <cellStyle name="Normal 11 7 2" xfId="11053"/>
    <cellStyle name="Normal 11 8" xfId="11054"/>
    <cellStyle name="Normal 11 8 2" xfId="11055"/>
    <cellStyle name="Normal 11 8 2 2" xfId="11056"/>
    <cellStyle name="Normal 11 8 2 2 2" xfId="11057"/>
    <cellStyle name="Normal 11 8 2 2 2 2" xfId="11058"/>
    <cellStyle name="Normal 11 8 2 2 3" xfId="11059"/>
    <cellStyle name="Normal 11 8 2 3" xfId="11060"/>
    <cellStyle name="Normal 11 8 2 3 2" xfId="11061"/>
    <cellStyle name="Normal 11 8 2 4" xfId="11062"/>
    <cellStyle name="Normal 11 8 3" xfId="11063"/>
    <cellStyle name="Normal 11 8 3 2" xfId="11064"/>
    <cellStyle name="Normal 11 8 3 2 2" xfId="11065"/>
    <cellStyle name="Normal 11 8 3 3" xfId="11066"/>
    <cellStyle name="Normal 11 8 4" xfId="11067"/>
    <cellStyle name="Normal 11 8 4 2" xfId="11068"/>
    <cellStyle name="Normal 11 8 5" xfId="11069"/>
    <cellStyle name="Normal 11 8 6" xfId="11070"/>
    <cellStyle name="Normal 11 8 7" xfId="11071"/>
    <cellStyle name="Normal 11 9" xfId="11072"/>
    <cellStyle name="Normal 11 9 2" xfId="11073"/>
    <cellStyle name="Normal 11 9 2 2" xfId="11074"/>
    <cellStyle name="Normal 11 9 2 2 2" xfId="11075"/>
    <cellStyle name="Normal 11 9 2 2 2 2" xfId="11076"/>
    <cellStyle name="Normal 11 9 2 2 3" xfId="11077"/>
    <cellStyle name="Normal 11 9 2 3" xfId="11078"/>
    <cellStyle name="Normal 11 9 2 3 2" xfId="11079"/>
    <cellStyle name="Normal 11 9 2 4" xfId="11080"/>
    <cellStyle name="Normal 11 9 3" xfId="11081"/>
    <cellStyle name="Normal 11 9 3 2" xfId="11082"/>
    <cellStyle name="Normal 11 9 3 2 2" xfId="11083"/>
    <cellStyle name="Normal 11 9 3 3" xfId="11084"/>
    <cellStyle name="Normal 11 9 4" xfId="11085"/>
    <cellStyle name="Normal 11 9 4 2" xfId="11086"/>
    <cellStyle name="Normal 11 9 5" xfId="11087"/>
    <cellStyle name="Normal 11 9 6" xfId="11088"/>
    <cellStyle name="Normal 11 9 7" xfId="11089"/>
    <cellStyle name="Normal 110" xfId="11090"/>
    <cellStyle name="Normal 110 2" xfId="11091"/>
    <cellStyle name="Normal 111" xfId="11092"/>
    <cellStyle name="Normal 111 2" xfId="11093"/>
    <cellStyle name="Normal 112" xfId="11094"/>
    <cellStyle name="Normal 112 2" xfId="11095"/>
    <cellStyle name="Normal 113" xfId="11096"/>
    <cellStyle name="Normal 113 2" xfId="11097"/>
    <cellStyle name="Normal 114" xfId="11098"/>
    <cellStyle name="Normal 114 2" xfId="11099"/>
    <cellStyle name="Normal 115" xfId="11100"/>
    <cellStyle name="Normal 115 2" xfId="11101"/>
    <cellStyle name="Normal 116" xfId="11102"/>
    <cellStyle name="Normal 116 2" xfId="11103"/>
    <cellStyle name="Normal 117" xfId="11104"/>
    <cellStyle name="Normal 117 2" xfId="11105"/>
    <cellStyle name="Normal 118" xfId="11106"/>
    <cellStyle name="Normal 118 2" xfId="11107"/>
    <cellStyle name="Normal 119" xfId="11108"/>
    <cellStyle name="Normal 119 2" xfId="11109"/>
    <cellStyle name="Normal 12" xfId="475"/>
    <cellStyle name="Normal 12 10" xfId="11110"/>
    <cellStyle name="Normal 12 10 2" xfId="11111"/>
    <cellStyle name="Normal 12 10 2 2" xfId="11112"/>
    <cellStyle name="Normal 12 10 2 2 2" xfId="11113"/>
    <cellStyle name="Normal 12 10 2 3" xfId="11114"/>
    <cellStyle name="Normal 12 10 3" xfId="11115"/>
    <cellStyle name="Normal 12 10 3 2" xfId="11116"/>
    <cellStyle name="Normal 12 10 4" xfId="11117"/>
    <cellStyle name="Normal 12 11" xfId="11118"/>
    <cellStyle name="Normal 12 11 2" xfId="11119"/>
    <cellStyle name="Normal 12 12" xfId="11120"/>
    <cellStyle name="Normal 12 12 2" xfId="11121"/>
    <cellStyle name="Normal 12 12 2 2" xfId="11122"/>
    <cellStyle name="Normal 12 12 3" xfId="11123"/>
    <cellStyle name="Normal 12 13" xfId="11124"/>
    <cellStyle name="Normal 12 13 2" xfId="11125"/>
    <cellStyle name="Normal 12 14" xfId="11126"/>
    <cellStyle name="Normal 12 14 2" xfId="11127"/>
    <cellStyle name="Normal 12 15" xfId="11128"/>
    <cellStyle name="Normal 12 2" xfId="476"/>
    <cellStyle name="Normal 12 2 10" xfId="11129"/>
    <cellStyle name="Normal 12 2 11" xfId="11130"/>
    <cellStyle name="Normal 12 2 12" xfId="11131"/>
    <cellStyle name="Normal 12 2 2" xfId="11132"/>
    <cellStyle name="Normal 12 2 2 10" xfId="11133"/>
    <cellStyle name="Normal 12 2 2 2" xfId="11134"/>
    <cellStyle name="Normal 12 2 2 2 2" xfId="11135"/>
    <cellStyle name="Normal 12 2 2 2 2 2" xfId="11136"/>
    <cellStyle name="Normal 12 2 2 2 2 2 2" xfId="11137"/>
    <cellStyle name="Normal 12 2 2 2 2 2 2 2" xfId="11138"/>
    <cellStyle name="Normal 12 2 2 2 2 2 3" xfId="11139"/>
    <cellStyle name="Normal 12 2 2 2 2 3" xfId="11140"/>
    <cellStyle name="Normal 12 2 2 2 2 3 2" xfId="11141"/>
    <cellStyle name="Normal 12 2 2 2 2 4" xfId="11142"/>
    <cellStyle name="Normal 12 2 2 2 3" xfId="11143"/>
    <cellStyle name="Normal 12 2 2 2 3 2" xfId="11144"/>
    <cellStyle name="Normal 12 2 2 2 3 2 2" xfId="11145"/>
    <cellStyle name="Normal 12 2 2 2 3 3" xfId="11146"/>
    <cellStyle name="Normal 12 2 2 2 4" xfId="11147"/>
    <cellStyle name="Normal 12 2 2 2 4 2" xfId="11148"/>
    <cellStyle name="Normal 12 2 2 2 5" xfId="11149"/>
    <cellStyle name="Normal 12 2 2 2 6" xfId="11150"/>
    <cellStyle name="Normal 12 2 2 2 7" xfId="11151"/>
    <cellStyle name="Normal 12 2 2 3" xfId="11152"/>
    <cellStyle name="Normal 12 2 2 3 2" xfId="11153"/>
    <cellStyle name="Normal 12 2 2 3 2 2" xfId="11154"/>
    <cellStyle name="Normal 12 2 2 3 2 2 2" xfId="11155"/>
    <cellStyle name="Normal 12 2 2 3 2 3" xfId="11156"/>
    <cellStyle name="Normal 12 2 2 3 3" xfId="11157"/>
    <cellStyle name="Normal 12 2 2 3 3 2" xfId="11158"/>
    <cellStyle name="Normal 12 2 2 3 4" xfId="11159"/>
    <cellStyle name="Normal 12 2 2 4" xfId="11160"/>
    <cellStyle name="Normal 12 2 2 4 2" xfId="11161"/>
    <cellStyle name="Normal 12 2 2 4 2 2" xfId="11162"/>
    <cellStyle name="Normal 12 2 2 4 2 2 2" xfId="11163"/>
    <cellStyle name="Normal 12 2 2 4 2 3" xfId="11164"/>
    <cellStyle name="Normal 12 2 2 4 3" xfId="11165"/>
    <cellStyle name="Normal 12 2 2 4 3 2" xfId="11166"/>
    <cellStyle name="Normal 12 2 2 4 4" xfId="11167"/>
    <cellStyle name="Normal 12 2 2 5" xfId="11168"/>
    <cellStyle name="Normal 12 2 2 5 2" xfId="11169"/>
    <cellStyle name="Normal 12 2 2 5 2 2" xfId="11170"/>
    <cellStyle name="Normal 12 2 2 5 3" xfId="11171"/>
    <cellStyle name="Normal 12 2 2 6" xfId="11172"/>
    <cellStyle name="Normal 12 2 2 6 2" xfId="11173"/>
    <cellStyle name="Normal 12 2 2 7" xfId="11174"/>
    <cellStyle name="Normal 12 2 2 7 2" xfId="11175"/>
    <cellStyle name="Normal 12 2 2 8" xfId="11176"/>
    <cellStyle name="Normal 12 2 2 9" xfId="11177"/>
    <cellStyle name="Normal 12 2 3" xfId="11178"/>
    <cellStyle name="Normal 12 2 3 2" xfId="11179"/>
    <cellStyle name="Normal 12 2 3 2 2" xfId="11180"/>
    <cellStyle name="Normal 12 2 3 2 2 2" xfId="11181"/>
    <cellStyle name="Normal 12 2 3 2 2 2 2" xfId="11182"/>
    <cellStyle name="Normal 12 2 3 2 2 3" xfId="11183"/>
    <cellStyle name="Normal 12 2 3 2 3" xfId="11184"/>
    <cellStyle name="Normal 12 2 3 2 3 2" xfId="11185"/>
    <cellStyle name="Normal 12 2 3 2 4" xfId="11186"/>
    <cellStyle name="Normal 12 2 3 3" xfId="11187"/>
    <cellStyle name="Normal 12 2 3 3 2" xfId="11188"/>
    <cellStyle name="Normal 12 2 3 3 2 2" xfId="11189"/>
    <cellStyle name="Normal 12 2 3 3 3" xfId="11190"/>
    <cellStyle name="Normal 12 2 3 4" xfId="11191"/>
    <cellStyle name="Normal 12 2 3 4 2" xfId="11192"/>
    <cellStyle name="Normal 12 2 3 5" xfId="11193"/>
    <cellStyle name="Normal 12 2 3 6" xfId="11194"/>
    <cellStyle name="Normal 12 2 3 7" xfId="11195"/>
    <cellStyle name="Normal 12 2 4" xfId="11196"/>
    <cellStyle name="Normal 12 2 4 2" xfId="11197"/>
    <cellStyle name="Normal 12 2 4 2 2" xfId="11198"/>
    <cellStyle name="Normal 12 2 4 2 2 2" xfId="11199"/>
    <cellStyle name="Normal 12 2 4 2 3" xfId="11200"/>
    <cellStyle name="Normal 12 2 4 3" xfId="11201"/>
    <cellStyle name="Normal 12 2 4 3 2" xfId="11202"/>
    <cellStyle name="Normal 12 2 4 4" xfId="11203"/>
    <cellStyle name="Normal 12 2 5" xfId="11204"/>
    <cellStyle name="Normal 12 2 5 2" xfId="11205"/>
    <cellStyle name="Normal 12 2 5 2 2" xfId="11206"/>
    <cellStyle name="Normal 12 2 5 2 2 2" xfId="11207"/>
    <cellStyle name="Normal 12 2 5 2 3" xfId="11208"/>
    <cellStyle name="Normal 12 2 5 3" xfId="11209"/>
    <cellStyle name="Normal 12 2 5 3 2" xfId="11210"/>
    <cellStyle name="Normal 12 2 5 4" xfId="11211"/>
    <cellStyle name="Normal 12 2 6" xfId="11212"/>
    <cellStyle name="Normal 12 2 6 2" xfId="11213"/>
    <cellStyle name="Normal 12 2 7" xfId="11214"/>
    <cellStyle name="Normal 12 2 7 2" xfId="11215"/>
    <cellStyle name="Normal 12 2 7 2 2" xfId="11216"/>
    <cellStyle name="Normal 12 2 7 3" xfId="11217"/>
    <cellStyle name="Normal 12 2 8" xfId="11218"/>
    <cellStyle name="Normal 12 2 8 2" xfId="11219"/>
    <cellStyle name="Normal 12 2 9" xfId="11220"/>
    <cellStyle name="Normal 12 2 9 2" xfId="11221"/>
    <cellStyle name="Normal 12 3" xfId="477"/>
    <cellStyle name="Normal 12 3 10" xfId="11222"/>
    <cellStyle name="Normal 12 3 11" xfId="11223"/>
    <cellStyle name="Normal 12 3 2" xfId="11224"/>
    <cellStyle name="Normal 12 3 2 2" xfId="11225"/>
    <cellStyle name="Normal 12 3 2 2 2" xfId="11226"/>
    <cellStyle name="Normal 12 3 2 2 2 2" xfId="11227"/>
    <cellStyle name="Normal 12 3 2 2 2 2 2" xfId="11228"/>
    <cellStyle name="Normal 12 3 2 2 2 3" xfId="11229"/>
    <cellStyle name="Normal 12 3 2 2 3" xfId="11230"/>
    <cellStyle name="Normal 12 3 2 2 3 2" xfId="11231"/>
    <cellStyle name="Normal 12 3 2 2 4" xfId="11232"/>
    <cellStyle name="Normal 12 3 2 3" xfId="11233"/>
    <cellStyle name="Normal 12 3 2 3 2" xfId="11234"/>
    <cellStyle name="Normal 12 3 2 3 2 2" xfId="11235"/>
    <cellStyle name="Normal 12 3 2 3 3" xfId="11236"/>
    <cellStyle name="Normal 12 3 2 4" xfId="11237"/>
    <cellStyle name="Normal 12 3 2 4 2" xfId="11238"/>
    <cellStyle name="Normal 12 3 2 5" xfId="11239"/>
    <cellStyle name="Normal 12 3 2 6" xfId="11240"/>
    <cellStyle name="Normal 12 3 2 7" xfId="11241"/>
    <cellStyle name="Normal 12 3 3" xfId="11242"/>
    <cellStyle name="Normal 12 3 3 2" xfId="11243"/>
    <cellStyle name="Normal 12 3 3 2 2" xfId="11244"/>
    <cellStyle name="Normal 12 3 3 2 2 2" xfId="11245"/>
    <cellStyle name="Normal 12 3 3 2 3" xfId="11246"/>
    <cellStyle name="Normal 12 3 3 3" xfId="11247"/>
    <cellStyle name="Normal 12 3 3 3 2" xfId="11248"/>
    <cellStyle name="Normal 12 3 3 4" xfId="11249"/>
    <cellStyle name="Normal 12 3 4" xfId="11250"/>
    <cellStyle name="Normal 12 3 4 2" xfId="11251"/>
    <cellStyle name="Normal 12 3 4 2 2" xfId="11252"/>
    <cellStyle name="Normal 12 3 4 2 2 2" xfId="11253"/>
    <cellStyle name="Normal 12 3 4 2 3" xfId="11254"/>
    <cellStyle name="Normal 12 3 4 3" xfId="11255"/>
    <cellStyle name="Normal 12 3 4 3 2" xfId="11256"/>
    <cellStyle name="Normal 12 3 4 4" xfId="11257"/>
    <cellStyle name="Normal 12 3 5" xfId="11258"/>
    <cellStyle name="Normal 12 3 5 2" xfId="11259"/>
    <cellStyle name="Normal 12 3 6" xfId="11260"/>
    <cellStyle name="Normal 12 3 6 2" xfId="11261"/>
    <cellStyle name="Normal 12 3 6 2 2" xfId="11262"/>
    <cellStyle name="Normal 12 3 6 3" xfId="11263"/>
    <cellStyle name="Normal 12 3 7" xfId="11264"/>
    <cellStyle name="Normal 12 3 7 2" xfId="11265"/>
    <cellStyle name="Normal 12 3 8" xfId="11266"/>
    <cellStyle name="Normal 12 3 8 2" xfId="11267"/>
    <cellStyle name="Normal 12 3 9" xfId="11268"/>
    <cellStyle name="Normal 12 4" xfId="478"/>
    <cellStyle name="Normal 12 4 2" xfId="1086"/>
    <cellStyle name="Normal 12 4 2 2" xfId="11269"/>
    <cellStyle name="Normal 12 4 2 3" xfId="15718"/>
    <cellStyle name="Normal 12 4 3" xfId="1087"/>
    <cellStyle name="Normal 12 4 3 2" xfId="11270"/>
    <cellStyle name="Normal 12 4 4" xfId="11271"/>
    <cellStyle name="Normal 12 5" xfId="479"/>
    <cellStyle name="Normal 12 5 2" xfId="11272"/>
    <cellStyle name="Normal 12 5 2 2" xfId="11273"/>
    <cellStyle name="Normal 12 5 2 3" xfId="15719"/>
    <cellStyle name="Normal 12 5 3" xfId="11274"/>
    <cellStyle name="Normal 12 5 3 2" xfId="11275"/>
    <cellStyle name="Normal 12 5 4" xfId="11276"/>
    <cellStyle name="Normal 12 6" xfId="11277"/>
    <cellStyle name="Normal 12 6 2" xfId="11278"/>
    <cellStyle name="Normal 12 7" xfId="11279"/>
    <cellStyle name="Normal 12 7 2" xfId="11280"/>
    <cellStyle name="Normal 12 8" xfId="11281"/>
    <cellStyle name="Normal 12 8 2" xfId="11282"/>
    <cellStyle name="Normal 12 8 2 2" xfId="11283"/>
    <cellStyle name="Normal 12 8 2 2 2" xfId="11284"/>
    <cellStyle name="Normal 12 8 2 2 2 2" xfId="11285"/>
    <cellStyle name="Normal 12 8 2 2 3" xfId="11286"/>
    <cellStyle name="Normal 12 8 2 3" xfId="11287"/>
    <cellStyle name="Normal 12 8 2 3 2" xfId="11288"/>
    <cellStyle name="Normal 12 8 2 4" xfId="11289"/>
    <cellStyle name="Normal 12 8 3" xfId="11290"/>
    <cellStyle name="Normal 12 8 3 2" xfId="11291"/>
    <cellStyle name="Normal 12 8 3 2 2" xfId="11292"/>
    <cellStyle name="Normal 12 8 3 3" xfId="11293"/>
    <cellStyle name="Normal 12 8 4" xfId="11294"/>
    <cellStyle name="Normal 12 8 4 2" xfId="11295"/>
    <cellStyle name="Normal 12 8 5" xfId="11296"/>
    <cellStyle name="Normal 12 8 6" xfId="11297"/>
    <cellStyle name="Normal 12 8 7" xfId="11298"/>
    <cellStyle name="Normal 12 9" xfId="11299"/>
    <cellStyle name="Normal 12 9 2" xfId="11300"/>
    <cellStyle name="Normal 12 9 2 2" xfId="11301"/>
    <cellStyle name="Normal 12 9 2 2 2" xfId="11302"/>
    <cellStyle name="Normal 12 9 2 2 2 2" xfId="11303"/>
    <cellStyle name="Normal 12 9 2 2 3" xfId="11304"/>
    <cellStyle name="Normal 12 9 2 3" xfId="11305"/>
    <cellStyle name="Normal 12 9 2 3 2" xfId="11306"/>
    <cellStyle name="Normal 12 9 2 4" xfId="11307"/>
    <cellStyle name="Normal 12 9 3" xfId="11308"/>
    <cellStyle name="Normal 12 9 3 2" xfId="11309"/>
    <cellStyle name="Normal 12 9 3 2 2" xfId="11310"/>
    <cellStyle name="Normal 12 9 3 3" xfId="11311"/>
    <cellStyle name="Normal 12 9 4" xfId="11312"/>
    <cellStyle name="Normal 12 9 4 2" xfId="11313"/>
    <cellStyle name="Normal 12 9 5" xfId="11314"/>
    <cellStyle name="Normal 12 9 6" xfId="11315"/>
    <cellStyle name="Normal 12 9 7" xfId="11316"/>
    <cellStyle name="Normal 120" xfId="11317"/>
    <cellStyle name="Normal 120 2" xfId="11318"/>
    <cellStyle name="Normal 121" xfId="20682"/>
    <cellStyle name="Normal 122" xfId="11319"/>
    <cellStyle name="Normal 122 2" xfId="11320"/>
    <cellStyle name="Normal 123" xfId="11321"/>
    <cellStyle name="Normal 123 2" xfId="11322"/>
    <cellStyle name="Normal 124" xfId="11323"/>
    <cellStyle name="Normal 124 2" xfId="11324"/>
    <cellStyle name="Normal 125" xfId="11325"/>
    <cellStyle name="Normal 125 2" xfId="11326"/>
    <cellStyle name="Normal 126" xfId="11327"/>
    <cellStyle name="Normal 126 2" xfId="11328"/>
    <cellStyle name="Normal 127" xfId="11329"/>
    <cellStyle name="Normal 127 2" xfId="11330"/>
    <cellStyle name="Normal 128" xfId="11331"/>
    <cellStyle name="Normal 128 2" xfId="11332"/>
    <cellStyle name="Normal 129" xfId="11333"/>
    <cellStyle name="Normal 129 2" xfId="11334"/>
    <cellStyle name="Normal 13" xfId="480"/>
    <cellStyle name="Normal 13 10" xfId="11335"/>
    <cellStyle name="Normal 13 10 2" xfId="11336"/>
    <cellStyle name="Normal 13 10 2 2" xfId="11337"/>
    <cellStyle name="Normal 13 10 3" xfId="11338"/>
    <cellStyle name="Normal 13 10 3 2" xfId="11339"/>
    <cellStyle name="Normal 13 10 3 2 2" xfId="11340"/>
    <cellStyle name="Normal 13 10 3 3" xfId="11341"/>
    <cellStyle name="Normal 13 10 4" xfId="11342"/>
    <cellStyle name="Normal 13 10 4 2" xfId="11343"/>
    <cellStyle name="Normal 13 10 5" xfId="11344"/>
    <cellStyle name="Normal 13 11" xfId="11345"/>
    <cellStyle name="Normal 13 11 2" xfId="11346"/>
    <cellStyle name="Normal 13 12" xfId="11347"/>
    <cellStyle name="Normal 13 12 2" xfId="11348"/>
    <cellStyle name="Normal 13 12 2 2" xfId="11349"/>
    <cellStyle name="Normal 13 12 3" xfId="11350"/>
    <cellStyle name="Normal 13 13" xfId="11351"/>
    <cellStyle name="Normal 13 13 2" xfId="11352"/>
    <cellStyle name="Normal 13 14" xfId="11353"/>
    <cellStyle name="Normal 13 14 2" xfId="11354"/>
    <cellStyle name="Normal 13 15" xfId="11355"/>
    <cellStyle name="Normal 13 2" xfId="481"/>
    <cellStyle name="Normal 13 2 10" xfId="11356"/>
    <cellStyle name="Normal 13 2 11" xfId="11357"/>
    <cellStyle name="Normal 13 2 12" xfId="11358"/>
    <cellStyle name="Normal 13 2 2" xfId="11359"/>
    <cellStyle name="Normal 13 2 2 10" xfId="11360"/>
    <cellStyle name="Normal 13 2 2 2" xfId="11361"/>
    <cellStyle name="Normal 13 2 2 2 2" xfId="11362"/>
    <cellStyle name="Normal 13 2 2 2 2 2" xfId="11363"/>
    <cellStyle name="Normal 13 2 2 2 2 2 2" xfId="11364"/>
    <cellStyle name="Normal 13 2 2 2 2 2 2 2" xfId="11365"/>
    <cellStyle name="Normal 13 2 2 2 2 2 3" xfId="11366"/>
    <cellStyle name="Normal 13 2 2 2 2 3" xfId="11367"/>
    <cellStyle name="Normal 13 2 2 2 2 3 2" xfId="11368"/>
    <cellStyle name="Normal 13 2 2 2 2 4" xfId="11369"/>
    <cellStyle name="Normal 13 2 2 2 3" xfId="11370"/>
    <cellStyle name="Normal 13 2 2 2 3 2" xfId="11371"/>
    <cellStyle name="Normal 13 2 2 2 3 2 2" xfId="11372"/>
    <cellStyle name="Normal 13 2 2 2 3 3" xfId="11373"/>
    <cellStyle name="Normal 13 2 2 2 4" xfId="11374"/>
    <cellStyle name="Normal 13 2 2 2 4 2" xfId="11375"/>
    <cellStyle name="Normal 13 2 2 2 5" xfId="11376"/>
    <cellStyle name="Normal 13 2 2 2 6" xfId="11377"/>
    <cellStyle name="Normal 13 2 2 2 7" xfId="11378"/>
    <cellStyle name="Normal 13 2 2 3" xfId="11379"/>
    <cellStyle name="Normal 13 2 2 3 2" xfId="11380"/>
    <cellStyle name="Normal 13 2 2 3 2 2" xfId="11381"/>
    <cellStyle name="Normal 13 2 2 3 2 2 2" xfId="11382"/>
    <cellStyle name="Normal 13 2 2 3 2 3" xfId="11383"/>
    <cellStyle name="Normal 13 2 2 3 3" xfId="11384"/>
    <cellStyle name="Normal 13 2 2 3 3 2" xfId="11385"/>
    <cellStyle name="Normal 13 2 2 3 4" xfId="11386"/>
    <cellStyle name="Normal 13 2 2 4" xfId="11387"/>
    <cellStyle name="Normal 13 2 2 4 2" xfId="11388"/>
    <cellStyle name="Normal 13 2 2 4 2 2" xfId="11389"/>
    <cellStyle name="Normal 13 2 2 4 2 2 2" xfId="11390"/>
    <cellStyle name="Normal 13 2 2 4 2 3" xfId="11391"/>
    <cellStyle name="Normal 13 2 2 4 3" xfId="11392"/>
    <cellStyle name="Normal 13 2 2 4 3 2" xfId="11393"/>
    <cellStyle name="Normal 13 2 2 4 4" xfId="11394"/>
    <cellStyle name="Normal 13 2 2 5" xfId="11395"/>
    <cellStyle name="Normal 13 2 2 5 2" xfId="11396"/>
    <cellStyle name="Normal 13 2 2 5 2 2" xfId="11397"/>
    <cellStyle name="Normal 13 2 2 5 3" xfId="11398"/>
    <cellStyle name="Normal 13 2 2 6" xfId="11399"/>
    <cellStyle name="Normal 13 2 2 6 2" xfId="11400"/>
    <cellStyle name="Normal 13 2 2 7" xfId="11401"/>
    <cellStyle name="Normal 13 2 2 7 2" xfId="11402"/>
    <cellStyle name="Normal 13 2 2 8" xfId="11403"/>
    <cellStyle name="Normal 13 2 2 9" xfId="11404"/>
    <cellStyle name="Normal 13 2 3" xfId="11405"/>
    <cellStyle name="Normal 13 2 3 2" xfId="11406"/>
    <cellStyle name="Normal 13 2 3 2 2" xfId="11407"/>
    <cellStyle name="Normal 13 2 3 2 2 2" xfId="11408"/>
    <cellStyle name="Normal 13 2 3 2 2 2 2" xfId="11409"/>
    <cellStyle name="Normal 13 2 3 2 2 3" xfId="11410"/>
    <cellStyle name="Normal 13 2 3 2 3" xfId="11411"/>
    <cellStyle name="Normal 13 2 3 2 3 2" xfId="11412"/>
    <cellStyle name="Normal 13 2 3 2 4" xfId="11413"/>
    <cellStyle name="Normal 13 2 3 3" xfId="11414"/>
    <cellStyle name="Normal 13 2 3 3 2" xfId="11415"/>
    <cellStyle name="Normal 13 2 3 3 2 2" xfId="11416"/>
    <cellStyle name="Normal 13 2 3 3 3" xfId="11417"/>
    <cellStyle name="Normal 13 2 3 4" xfId="11418"/>
    <cellStyle name="Normal 13 2 3 4 2" xfId="11419"/>
    <cellStyle name="Normal 13 2 3 5" xfId="11420"/>
    <cellStyle name="Normal 13 2 3 6" xfId="11421"/>
    <cellStyle name="Normal 13 2 3 7" xfId="11422"/>
    <cellStyle name="Normal 13 2 4" xfId="11423"/>
    <cellStyle name="Normal 13 2 4 2" xfId="11424"/>
    <cellStyle name="Normal 13 2 4 2 2" xfId="11425"/>
    <cellStyle name="Normal 13 2 4 2 2 2" xfId="11426"/>
    <cellStyle name="Normal 13 2 4 2 3" xfId="11427"/>
    <cellStyle name="Normal 13 2 4 3" xfId="11428"/>
    <cellStyle name="Normal 13 2 4 3 2" xfId="11429"/>
    <cellStyle name="Normal 13 2 4 4" xfId="11430"/>
    <cellStyle name="Normal 13 2 5" xfId="11431"/>
    <cellStyle name="Normal 13 2 5 2" xfId="11432"/>
    <cellStyle name="Normal 13 2 5 2 2" xfId="11433"/>
    <cellStyle name="Normal 13 2 5 2 2 2" xfId="11434"/>
    <cellStyle name="Normal 13 2 5 2 3" xfId="11435"/>
    <cellStyle name="Normal 13 2 5 3" xfId="11436"/>
    <cellStyle name="Normal 13 2 5 3 2" xfId="11437"/>
    <cellStyle name="Normal 13 2 5 4" xfId="11438"/>
    <cellStyle name="Normal 13 2 6" xfId="11439"/>
    <cellStyle name="Normal 13 2 6 2" xfId="11440"/>
    <cellStyle name="Normal 13 2 7" xfId="11441"/>
    <cellStyle name="Normal 13 2 7 2" xfId="11442"/>
    <cellStyle name="Normal 13 2 7 2 2" xfId="11443"/>
    <cellStyle name="Normal 13 2 7 3" xfId="11444"/>
    <cellStyle name="Normal 13 2 8" xfId="11445"/>
    <cellStyle name="Normal 13 2 8 2" xfId="11446"/>
    <cellStyle name="Normal 13 2 9" xfId="11447"/>
    <cellStyle name="Normal 13 2 9 2" xfId="11448"/>
    <cellStyle name="Normal 13 3" xfId="11449"/>
    <cellStyle name="Normal 13 3 10" xfId="11450"/>
    <cellStyle name="Normal 13 3 2" xfId="11451"/>
    <cellStyle name="Normal 13 3 2 2" xfId="11452"/>
    <cellStyle name="Normal 13 3 2 2 2" xfId="11453"/>
    <cellStyle name="Normal 13 3 2 2 2 2" xfId="11454"/>
    <cellStyle name="Normal 13 3 2 2 2 2 2" xfId="11455"/>
    <cellStyle name="Normal 13 3 2 2 2 3" xfId="11456"/>
    <cellStyle name="Normal 13 3 2 2 3" xfId="11457"/>
    <cellStyle name="Normal 13 3 2 2 3 2" xfId="11458"/>
    <cellStyle name="Normal 13 3 2 2 4" xfId="11459"/>
    <cellStyle name="Normal 13 3 2 3" xfId="11460"/>
    <cellStyle name="Normal 13 3 2 3 2" xfId="11461"/>
    <cellStyle name="Normal 13 3 2 3 2 2" xfId="11462"/>
    <cellStyle name="Normal 13 3 2 3 3" xfId="11463"/>
    <cellStyle name="Normal 13 3 2 4" xfId="11464"/>
    <cellStyle name="Normal 13 3 2 4 2" xfId="11465"/>
    <cellStyle name="Normal 13 3 2 5" xfId="11466"/>
    <cellStyle name="Normal 13 3 2 6" xfId="11467"/>
    <cellStyle name="Normal 13 3 2 7" xfId="11468"/>
    <cellStyle name="Normal 13 3 3" xfId="11469"/>
    <cellStyle name="Normal 13 3 3 2" xfId="11470"/>
    <cellStyle name="Normal 13 3 3 2 2" xfId="11471"/>
    <cellStyle name="Normal 13 3 3 2 2 2" xfId="11472"/>
    <cellStyle name="Normal 13 3 3 2 3" xfId="11473"/>
    <cellStyle name="Normal 13 3 3 3" xfId="11474"/>
    <cellStyle name="Normal 13 3 3 3 2" xfId="11475"/>
    <cellStyle name="Normal 13 3 3 4" xfId="11476"/>
    <cellStyle name="Normal 13 3 4" xfId="11477"/>
    <cellStyle name="Normal 13 3 4 2" xfId="11478"/>
    <cellStyle name="Normal 13 3 4 2 2" xfId="11479"/>
    <cellStyle name="Normal 13 3 4 2 2 2" xfId="11480"/>
    <cellStyle name="Normal 13 3 4 2 3" xfId="11481"/>
    <cellStyle name="Normal 13 3 4 3" xfId="11482"/>
    <cellStyle name="Normal 13 3 4 3 2" xfId="11483"/>
    <cellStyle name="Normal 13 3 4 4" xfId="11484"/>
    <cellStyle name="Normal 13 3 5" xfId="11485"/>
    <cellStyle name="Normal 13 3 5 2" xfId="11486"/>
    <cellStyle name="Normal 13 3 5 2 2" xfId="11487"/>
    <cellStyle name="Normal 13 3 5 3" xfId="11488"/>
    <cellStyle name="Normal 13 3 6" xfId="11489"/>
    <cellStyle name="Normal 13 3 6 2" xfId="11490"/>
    <cellStyle name="Normal 13 3 7" xfId="11491"/>
    <cellStyle name="Normal 13 3 7 2" xfId="11492"/>
    <cellStyle name="Normal 13 3 8" xfId="11493"/>
    <cellStyle name="Normal 13 3 9" xfId="11494"/>
    <cellStyle name="Normal 13 4" xfId="11495"/>
    <cellStyle name="Normal 13 4 2" xfId="11496"/>
    <cellStyle name="Normal 13 5" xfId="11497"/>
    <cellStyle name="Normal 13 5 2" xfId="11498"/>
    <cellStyle name="Normal 13 6" xfId="11499"/>
    <cellStyle name="Normal 13 6 2" xfId="11500"/>
    <cellStyle name="Normal 13 7" xfId="11501"/>
    <cellStyle name="Normal 13 7 2" xfId="11502"/>
    <cellStyle name="Normal 13 8" xfId="11503"/>
    <cellStyle name="Normal 13 8 2" xfId="11504"/>
    <cellStyle name="Normal 13 8 2 2" xfId="11505"/>
    <cellStyle name="Normal 13 8 2 2 2" xfId="11506"/>
    <cellStyle name="Normal 13 8 2 2 2 2" xfId="11507"/>
    <cellStyle name="Normal 13 8 2 2 3" xfId="11508"/>
    <cellStyle name="Normal 13 8 2 3" xfId="11509"/>
    <cellStyle name="Normal 13 8 2 3 2" xfId="11510"/>
    <cellStyle name="Normal 13 8 2 4" xfId="11511"/>
    <cellStyle name="Normal 13 8 3" xfId="11512"/>
    <cellStyle name="Normal 13 8 3 2" xfId="11513"/>
    <cellStyle name="Normal 13 8 3 2 2" xfId="11514"/>
    <cellStyle name="Normal 13 8 3 3" xfId="11515"/>
    <cellStyle name="Normal 13 8 4" xfId="11516"/>
    <cellStyle name="Normal 13 8 4 2" xfId="11517"/>
    <cellStyle name="Normal 13 8 5" xfId="11518"/>
    <cellStyle name="Normal 13 8 6" xfId="11519"/>
    <cellStyle name="Normal 13 8 7" xfId="11520"/>
    <cellStyle name="Normal 13 9" xfId="11521"/>
    <cellStyle name="Normal 13 9 2" xfId="11522"/>
    <cellStyle name="Normal 13 9 2 2" xfId="11523"/>
    <cellStyle name="Normal 13 9 2 2 2" xfId="11524"/>
    <cellStyle name="Normal 13 9 2 2 2 2" xfId="11525"/>
    <cellStyle name="Normal 13 9 2 2 3" xfId="11526"/>
    <cellStyle name="Normal 13 9 2 3" xfId="11527"/>
    <cellStyle name="Normal 13 9 2 3 2" xfId="11528"/>
    <cellStyle name="Normal 13 9 2 4" xfId="11529"/>
    <cellStyle name="Normal 13 9 3" xfId="11530"/>
    <cellStyle name="Normal 13 9 3 2" xfId="11531"/>
    <cellStyle name="Normal 13 9 3 2 2" xfId="11532"/>
    <cellStyle name="Normal 13 9 3 3" xfId="11533"/>
    <cellStyle name="Normal 13 9 4" xfId="11534"/>
    <cellStyle name="Normal 13 9 4 2" xfId="11535"/>
    <cellStyle name="Normal 13 9 5" xfId="11536"/>
    <cellStyle name="Normal 13 9 6" xfId="11537"/>
    <cellStyle name="Normal 13 9 7" xfId="11538"/>
    <cellStyle name="Normal 130" xfId="11539"/>
    <cellStyle name="Normal 130 2" xfId="11540"/>
    <cellStyle name="Normal 131" xfId="11541"/>
    <cellStyle name="Normal 131 2" xfId="11542"/>
    <cellStyle name="Normal 132" xfId="20679"/>
    <cellStyle name="Normal 132 2" xfId="40460"/>
    <cellStyle name="Normal 133" xfId="20671"/>
    <cellStyle name="Normal 133 2" xfId="30348"/>
    <cellStyle name="Normal 133 2 2" xfId="50097"/>
    <cellStyle name="Normal 133 3" xfId="40453"/>
    <cellStyle name="Normal 133 4" xfId="50539"/>
    <cellStyle name="Normal 134" xfId="30355"/>
    <cellStyle name="Normal 134 2" xfId="50104"/>
    <cellStyle name="Normal 135" xfId="30765"/>
    <cellStyle name="Normal 135 2" xfId="50504"/>
    <cellStyle name="Normal 136" xfId="30793"/>
    <cellStyle name="Normal 137" xfId="30779"/>
    <cellStyle name="Normal 138" xfId="50519"/>
    <cellStyle name="Normal 139" xfId="50520"/>
    <cellStyle name="Normal 14" xfId="482"/>
    <cellStyle name="Normal 14 10" xfId="11543"/>
    <cellStyle name="Normal 14 10 2" xfId="11544"/>
    <cellStyle name="Normal 14 2" xfId="483"/>
    <cellStyle name="Normal 14 2 2" xfId="11545"/>
    <cellStyle name="Normal 14 2 2 2" xfId="11546"/>
    <cellStyle name="Normal 14 2 3" xfId="11547"/>
    <cellStyle name="Normal 14 2 3 2" xfId="11548"/>
    <cellStyle name="Normal 14 2 4" xfId="11549"/>
    <cellStyle name="Normal 14 3" xfId="11550"/>
    <cellStyle name="Normal 14 3 2" xfId="11551"/>
    <cellStyle name="Normal 14 4" xfId="11552"/>
    <cellStyle name="Normal 14 4 2" xfId="11553"/>
    <cellStyle name="Normal 14 5" xfId="11554"/>
    <cellStyle name="Normal 14 5 2" xfId="11555"/>
    <cellStyle name="Normal 14 6" xfId="11556"/>
    <cellStyle name="Normal 14 6 2" xfId="11557"/>
    <cellStyle name="Normal 14 7" xfId="11558"/>
    <cellStyle name="Normal 14 7 2" xfId="11559"/>
    <cellStyle name="Normal 14 8" xfId="11560"/>
    <cellStyle name="Normal 14 8 2" xfId="11561"/>
    <cellStyle name="Normal 14 9" xfId="11562"/>
    <cellStyle name="Normal 140" xfId="50534"/>
    <cellStyle name="Normal 141" xfId="50535"/>
    <cellStyle name="Normal 142" xfId="50541"/>
    <cellStyle name="Normal 15" xfId="484"/>
    <cellStyle name="Normal 15 10" xfId="11563"/>
    <cellStyle name="Normal 15 10 2" xfId="11564"/>
    <cellStyle name="Normal 15 10 2 2" xfId="11565"/>
    <cellStyle name="Normal 15 10 3" xfId="11566"/>
    <cellStyle name="Normal 15 10 3 2" xfId="11567"/>
    <cellStyle name="Normal 15 10 3 2 2" xfId="11568"/>
    <cellStyle name="Normal 15 10 3 3" xfId="11569"/>
    <cellStyle name="Normal 15 10 4" xfId="11570"/>
    <cellStyle name="Normal 15 10 4 2" xfId="11571"/>
    <cellStyle name="Normal 15 10 5" xfId="11572"/>
    <cellStyle name="Normal 15 11" xfId="11573"/>
    <cellStyle name="Normal 15 11 2" xfId="11574"/>
    <cellStyle name="Normal 15 12" xfId="11575"/>
    <cellStyle name="Normal 15 12 2" xfId="11576"/>
    <cellStyle name="Normal 15 12 2 2" xfId="11577"/>
    <cellStyle name="Normal 15 12 3" xfId="11578"/>
    <cellStyle name="Normal 15 13" xfId="11579"/>
    <cellStyle name="Normal 15 13 2" xfId="11580"/>
    <cellStyle name="Normal 15 14" xfId="11581"/>
    <cellStyle name="Normal 15 14 2" xfId="11582"/>
    <cellStyle name="Normal 15 15" xfId="11583"/>
    <cellStyle name="Normal 15 2" xfId="485"/>
    <cellStyle name="Normal 15 2 10" xfId="11584"/>
    <cellStyle name="Normal 15 2 11" xfId="11585"/>
    <cellStyle name="Normal 15 2 2" xfId="11586"/>
    <cellStyle name="Normal 15 2 2 2" xfId="11587"/>
    <cellStyle name="Normal 15 2 2 2 2" xfId="11588"/>
    <cellStyle name="Normal 15 2 2 2 2 2" xfId="11589"/>
    <cellStyle name="Normal 15 2 2 2 2 2 2" xfId="11590"/>
    <cellStyle name="Normal 15 2 2 2 2 3" xfId="11591"/>
    <cellStyle name="Normal 15 2 2 2 3" xfId="11592"/>
    <cellStyle name="Normal 15 2 2 2 3 2" xfId="11593"/>
    <cellStyle name="Normal 15 2 2 2 4" xfId="11594"/>
    <cellStyle name="Normal 15 2 2 3" xfId="11595"/>
    <cellStyle name="Normal 15 2 2 3 2" xfId="11596"/>
    <cellStyle name="Normal 15 2 2 3 2 2" xfId="11597"/>
    <cellStyle name="Normal 15 2 2 3 3" xfId="11598"/>
    <cellStyle name="Normal 15 2 2 4" xfId="11599"/>
    <cellStyle name="Normal 15 2 2 4 2" xfId="11600"/>
    <cellStyle name="Normal 15 2 2 5" xfId="11601"/>
    <cellStyle name="Normal 15 2 2 6" xfId="11602"/>
    <cellStyle name="Normal 15 2 2 7" xfId="11603"/>
    <cellStyle name="Normal 15 2 3" xfId="11604"/>
    <cellStyle name="Normal 15 2 3 2" xfId="11605"/>
    <cellStyle name="Normal 15 2 3 2 2" xfId="11606"/>
    <cellStyle name="Normal 15 2 3 2 2 2" xfId="11607"/>
    <cellStyle name="Normal 15 2 3 2 3" xfId="11608"/>
    <cellStyle name="Normal 15 2 3 3" xfId="11609"/>
    <cellStyle name="Normal 15 2 3 3 2" xfId="11610"/>
    <cellStyle name="Normal 15 2 3 4" xfId="11611"/>
    <cellStyle name="Normal 15 2 4" xfId="11612"/>
    <cellStyle name="Normal 15 2 4 2" xfId="11613"/>
    <cellStyle name="Normal 15 2 4 2 2" xfId="11614"/>
    <cellStyle name="Normal 15 2 4 2 2 2" xfId="11615"/>
    <cellStyle name="Normal 15 2 4 2 3" xfId="11616"/>
    <cellStyle name="Normal 15 2 4 3" xfId="11617"/>
    <cellStyle name="Normal 15 2 4 3 2" xfId="11618"/>
    <cellStyle name="Normal 15 2 4 4" xfId="11619"/>
    <cellStyle name="Normal 15 2 5" xfId="11620"/>
    <cellStyle name="Normal 15 2 5 2" xfId="11621"/>
    <cellStyle name="Normal 15 2 6" xfId="11622"/>
    <cellStyle name="Normal 15 2 6 2" xfId="11623"/>
    <cellStyle name="Normal 15 2 6 2 2" xfId="11624"/>
    <cellStyle name="Normal 15 2 6 3" xfId="11625"/>
    <cellStyle name="Normal 15 2 7" xfId="11626"/>
    <cellStyle name="Normal 15 2 7 2" xfId="11627"/>
    <cellStyle name="Normal 15 2 8" xfId="11628"/>
    <cellStyle name="Normal 15 2 8 2" xfId="11629"/>
    <cellStyle name="Normal 15 2 9" xfId="11630"/>
    <cellStyle name="Normal 15 3" xfId="11631"/>
    <cellStyle name="Normal 15 3 2" xfId="11632"/>
    <cellStyle name="Normal 15 4" xfId="11633"/>
    <cellStyle name="Normal 15 4 2" xfId="11634"/>
    <cellStyle name="Normal 15 5" xfId="11635"/>
    <cellStyle name="Normal 15 5 2" xfId="11636"/>
    <cellStyle name="Normal 15 6" xfId="11637"/>
    <cellStyle name="Normal 15 6 2" xfId="11638"/>
    <cellStyle name="Normal 15 7" xfId="11639"/>
    <cellStyle name="Normal 15 7 2" xfId="11640"/>
    <cellStyle name="Normal 15 8" xfId="11641"/>
    <cellStyle name="Normal 15 8 2" xfId="11642"/>
    <cellStyle name="Normal 15 8 2 2" xfId="11643"/>
    <cellStyle name="Normal 15 8 2 2 2" xfId="11644"/>
    <cellStyle name="Normal 15 8 2 2 2 2" xfId="11645"/>
    <cellStyle name="Normal 15 8 2 2 3" xfId="11646"/>
    <cellStyle name="Normal 15 8 2 3" xfId="11647"/>
    <cellStyle name="Normal 15 8 2 3 2" xfId="11648"/>
    <cellStyle name="Normal 15 8 2 4" xfId="11649"/>
    <cellStyle name="Normal 15 8 3" xfId="11650"/>
    <cellStyle name="Normal 15 8 3 2" xfId="11651"/>
    <cellStyle name="Normal 15 8 3 2 2" xfId="11652"/>
    <cellStyle name="Normal 15 8 3 3" xfId="11653"/>
    <cellStyle name="Normal 15 8 4" xfId="11654"/>
    <cellStyle name="Normal 15 8 4 2" xfId="11655"/>
    <cellStyle name="Normal 15 8 5" xfId="11656"/>
    <cellStyle name="Normal 15 8 6" xfId="11657"/>
    <cellStyle name="Normal 15 8 7" xfId="11658"/>
    <cellStyle name="Normal 15 9" xfId="11659"/>
    <cellStyle name="Normal 15 9 2" xfId="11660"/>
    <cellStyle name="Normal 15 9 2 2" xfId="11661"/>
    <cellStyle name="Normal 15 9 2 2 2" xfId="11662"/>
    <cellStyle name="Normal 15 9 2 2 2 2" xfId="11663"/>
    <cellStyle name="Normal 15 9 2 2 3" xfId="11664"/>
    <cellStyle name="Normal 15 9 2 3" xfId="11665"/>
    <cellStyle name="Normal 15 9 2 3 2" xfId="11666"/>
    <cellStyle name="Normal 15 9 2 4" xfId="11667"/>
    <cellStyle name="Normal 15 9 3" xfId="11668"/>
    <cellStyle name="Normal 15 9 3 2" xfId="11669"/>
    <cellStyle name="Normal 15 9 3 2 2" xfId="11670"/>
    <cellStyle name="Normal 15 9 3 3" xfId="11671"/>
    <cellStyle name="Normal 15 9 4" xfId="11672"/>
    <cellStyle name="Normal 15 9 4 2" xfId="11673"/>
    <cellStyle name="Normal 15 9 5" xfId="11674"/>
    <cellStyle name="Normal 15 9 6" xfId="11675"/>
    <cellStyle name="Normal 15 9 7" xfId="11676"/>
    <cellStyle name="Normal 16" xfId="486"/>
    <cellStyle name="Normal 16 2" xfId="11677"/>
    <cellStyle name="Normal 16 2 2" xfId="11678"/>
    <cellStyle name="Normal 16 3" xfId="11679"/>
    <cellStyle name="Normal 16 3 2" xfId="11680"/>
    <cellStyle name="Normal 16 4" xfId="11681"/>
    <cellStyle name="Normal 16 4 2" xfId="11682"/>
    <cellStyle name="Normal 16 5" xfId="11683"/>
    <cellStyle name="Normal 16 5 2" xfId="11684"/>
    <cellStyle name="Normal 16 6" xfId="11685"/>
    <cellStyle name="Normal 16 6 2" xfId="11686"/>
    <cellStyle name="Normal 16 7" xfId="11687"/>
    <cellStyle name="Normal 16 7 2" xfId="11688"/>
    <cellStyle name="Normal 16 8" xfId="11689"/>
    <cellStyle name="Normal 17" xfId="487"/>
    <cellStyle name="Normal 17 10" xfId="11690"/>
    <cellStyle name="Normal 17 10 2" xfId="11691"/>
    <cellStyle name="Normal 17 10 2 2" xfId="11692"/>
    <cellStyle name="Normal 17 10 2 2 2" xfId="11693"/>
    <cellStyle name="Normal 17 10 2 3" xfId="11694"/>
    <cellStyle name="Normal 17 10 3" xfId="11695"/>
    <cellStyle name="Normal 17 10 3 2" xfId="11696"/>
    <cellStyle name="Normal 17 10 4" xfId="11697"/>
    <cellStyle name="Normal 17 11" xfId="11698"/>
    <cellStyle name="Normal 17 11 2" xfId="11699"/>
    <cellStyle name="Normal 17 12" xfId="11700"/>
    <cellStyle name="Normal 17 12 2" xfId="11701"/>
    <cellStyle name="Normal 17 12 2 2" xfId="11702"/>
    <cellStyle name="Normal 17 12 3" xfId="11703"/>
    <cellStyle name="Normal 17 13" xfId="11704"/>
    <cellStyle name="Normal 17 13 2" xfId="11705"/>
    <cellStyle name="Normal 17 14" xfId="11706"/>
    <cellStyle name="Normal 17 14 2" xfId="11707"/>
    <cellStyle name="Normal 17 15" xfId="11708"/>
    <cellStyle name="Normal 17 16" xfId="11709"/>
    <cellStyle name="Normal 17 17" xfId="11710"/>
    <cellStyle name="Normal 17 18" xfId="15720"/>
    <cellStyle name="Normal 17 18 2" xfId="20565"/>
    <cellStyle name="Normal 17 18 2 2" xfId="30278"/>
    <cellStyle name="Normal 17 18 2 2 2" xfId="50031"/>
    <cellStyle name="Normal 17 18 2 3" xfId="40387"/>
    <cellStyle name="Normal 17 18 3" xfId="25466"/>
    <cellStyle name="Normal 17 18 3 2" xfId="45220"/>
    <cellStyle name="Normal 17 18 4" xfId="35576"/>
    <cellStyle name="Normal 17 19" xfId="30708"/>
    <cellStyle name="Normal 17 19 2" xfId="50451"/>
    <cellStyle name="Normal 17 2" xfId="488"/>
    <cellStyle name="Normal 17 2 2" xfId="489"/>
    <cellStyle name="Normal 17 2 2 2" xfId="11711"/>
    <cellStyle name="Normal 17 2 3" xfId="490"/>
    <cellStyle name="Normal 17 2 3 2" xfId="1088"/>
    <cellStyle name="Normal 17 2 3 2 2" xfId="11712"/>
    <cellStyle name="Normal 17 2 3 2 2 2" xfId="11713"/>
    <cellStyle name="Normal 17 2 3 2 3" xfId="11714"/>
    <cellStyle name="Normal 17 2 3 2 4" xfId="16415"/>
    <cellStyle name="Normal 17 2 3 2 4 2" xfId="26131"/>
    <cellStyle name="Normal 17 2 3 2 4 2 2" xfId="45885"/>
    <cellStyle name="Normal 17 2 3 2 4 3" xfId="36241"/>
    <cellStyle name="Normal 17 2 3 2 5" xfId="21321"/>
    <cellStyle name="Normal 17 2 3 2 5 2" xfId="41076"/>
    <cellStyle name="Normal 17 2 3 2 6" xfId="31432"/>
    <cellStyle name="Normal 17 2 3 3" xfId="1089"/>
    <cellStyle name="Normal 17 2 3 3 2" xfId="11715"/>
    <cellStyle name="Normal 17 2 3 3 3" xfId="16416"/>
    <cellStyle name="Normal 17 2 3 3 3 2" xfId="26132"/>
    <cellStyle name="Normal 17 2 3 3 3 2 2" xfId="45886"/>
    <cellStyle name="Normal 17 2 3 3 3 3" xfId="36242"/>
    <cellStyle name="Normal 17 2 3 3 4" xfId="21322"/>
    <cellStyle name="Normal 17 2 3 3 4 2" xfId="41077"/>
    <cellStyle name="Normal 17 2 3 3 5" xfId="31433"/>
    <cellStyle name="Normal 17 2 3 4" xfId="11716"/>
    <cellStyle name="Normal 17 2 3 5" xfId="15722"/>
    <cellStyle name="Normal 17 2 3 5 2" xfId="20567"/>
    <cellStyle name="Normal 17 2 3 5 2 2" xfId="30280"/>
    <cellStyle name="Normal 17 2 3 5 2 2 2" xfId="50033"/>
    <cellStyle name="Normal 17 2 3 5 2 3" xfId="40389"/>
    <cellStyle name="Normal 17 2 3 5 3" xfId="25468"/>
    <cellStyle name="Normal 17 2 3 5 3 2" xfId="45222"/>
    <cellStyle name="Normal 17 2 3 5 4" xfId="35578"/>
    <cellStyle name="Normal 17 2 3 6" xfId="16001"/>
    <cellStyle name="Normal 17 2 3 6 2" xfId="25717"/>
    <cellStyle name="Normal 17 2 3 6 2 2" xfId="45471"/>
    <cellStyle name="Normal 17 2 3 6 3" xfId="35827"/>
    <cellStyle name="Normal 17 2 3 7" xfId="20904"/>
    <cellStyle name="Normal 17 2 3 7 2" xfId="40662"/>
    <cellStyle name="Normal 17 2 3 8" xfId="30710"/>
    <cellStyle name="Normal 17 2 3 8 2" xfId="50453"/>
    <cellStyle name="Normal 17 2 3 9" xfId="31015"/>
    <cellStyle name="Normal 17 2 4" xfId="11717"/>
    <cellStyle name="Normal 17 2 4 2" xfId="11718"/>
    <cellStyle name="Normal 17 2 5" xfId="11719"/>
    <cellStyle name="Normal 17 2 5 2" xfId="11720"/>
    <cellStyle name="Normal 17 2 6" xfId="15721"/>
    <cellStyle name="Normal 17 2 6 2" xfId="20566"/>
    <cellStyle name="Normal 17 2 6 2 2" xfId="30279"/>
    <cellStyle name="Normal 17 2 6 2 2 2" xfId="50032"/>
    <cellStyle name="Normal 17 2 6 2 3" xfId="40388"/>
    <cellStyle name="Normal 17 2 6 3" xfId="25467"/>
    <cellStyle name="Normal 17 2 6 3 2" xfId="45221"/>
    <cellStyle name="Normal 17 2 6 4" xfId="35577"/>
    <cellStyle name="Normal 17 2 7" xfId="30709"/>
    <cellStyle name="Normal 17 2 7 2" xfId="50452"/>
    <cellStyle name="Normal 17 3" xfId="491"/>
    <cellStyle name="Normal 17 3 2" xfId="11721"/>
    <cellStyle name="Normal 17 3 2 2" xfId="11722"/>
    <cellStyle name="Normal 17 3 3" xfId="11723"/>
    <cellStyle name="Normal 17 3 3 2" xfId="11724"/>
    <cellStyle name="Normal 17 3 4" xfId="11725"/>
    <cellStyle name="Normal 17 4" xfId="492"/>
    <cellStyle name="Normal 17 4 2" xfId="1090"/>
    <cellStyle name="Normal 17 4 2 2" xfId="11726"/>
    <cellStyle name="Normal 17 4 2 3" xfId="15723"/>
    <cellStyle name="Normal 17 4 2 3 2" xfId="20568"/>
    <cellStyle name="Normal 17 4 2 3 2 2" xfId="30281"/>
    <cellStyle name="Normal 17 4 2 3 2 2 2" xfId="50034"/>
    <cellStyle name="Normal 17 4 2 3 2 3" xfId="40390"/>
    <cellStyle name="Normal 17 4 2 3 3" xfId="25469"/>
    <cellStyle name="Normal 17 4 2 3 3 2" xfId="45223"/>
    <cellStyle name="Normal 17 4 2 3 4" xfId="35579"/>
    <cellStyle name="Normal 17 4 3" xfId="1091"/>
    <cellStyle name="Normal 17 4 3 2" xfId="11727"/>
    <cellStyle name="Normal 17 4 3 3" xfId="16417"/>
    <cellStyle name="Normal 17 4 3 3 2" xfId="26133"/>
    <cellStyle name="Normal 17 4 3 3 2 2" xfId="45887"/>
    <cellStyle name="Normal 17 4 3 3 3" xfId="36243"/>
    <cellStyle name="Normal 17 4 3 4" xfId="21323"/>
    <cellStyle name="Normal 17 4 3 4 2" xfId="41078"/>
    <cellStyle name="Normal 17 4 3 5" xfId="30711"/>
    <cellStyle name="Normal 17 4 3 5 2" xfId="50454"/>
    <cellStyle name="Normal 17 4 3 6" xfId="31434"/>
    <cellStyle name="Normal 17 4 4" xfId="11728"/>
    <cellStyle name="Normal 17 5" xfId="493"/>
    <cellStyle name="Normal 17 5 2" xfId="1092"/>
    <cellStyle name="Normal 17 5 2 2" xfId="11729"/>
    <cellStyle name="Normal 17 5 2 3" xfId="16418"/>
    <cellStyle name="Normal 17 5 2 3 2" xfId="26134"/>
    <cellStyle name="Normal 17 5 2 3 2 2" xfId="45888"/>
    <cellStyle name="Normal 17 5 2 3 3" xfId="36244"/>
    <cellStyle name="Normal 17 5 2 4" xfId="21324"/>
    <cellStyle name="Normal 17 5 2 4 2" xfId="41079"/>
    <cellStyle name="Normal 17 5 2 5" xfId="31435"/>
    <cellStyle name="Normal 17 5 3" xfId="1093"/>
    <cellStyle name="Normal 17 5 3 2" xfId="11730"/>
    <cellStyle name="Normal 17 5 3 2 2" xfId="11731"/>
    <cellStyle name="Normal 17 5 3 2 2 2" xfId="11732"/>
    <cellStyle name="Normal 17 5 3 2 3" xfId="11733"/>
    <cellStyle name="Normal 17 5 3 3" xfId="11734"/>
    <cellStyle name="Normal 17 5 3 3 2" xfId="11735"/>
    <cellStyle name="Normal 17 5 3 4" xfId="11736"/>
    <cellStyle name="Normal 17 5 3 5" xfId="16419"/>
    <cellStyle name="Normal 17 5 3 5 2" xfId="26135"/>
    <cellStyle name="Normal 17 5 3 5 2 2" xfId="45889"/>
    <cellStyle name="Normal 17 5 3 5 3" xfId="36245"/>
    <cellStyle name="Normal 17 5 3 6" xfId="21325"/>
    <cellStyle name="Normal 17 5 3 6 2" xfId="41080"/>
    <cellStyle name="Normal 17 5 3 7" xfId="31436"/>
    <cellStyle name="Normal 17 5 4" xfId="15724"/>
    <cellStyle name="Normal 17 5 4 2" xfId="20569"/>
    <cellStyle name="Normal 17 5 4 2 2" xfId="30282"/>
    <cellStyle name="Normal 17 5 4 2 2 2" xfId="50035"/>
    <cellStyle name="Normal 17 5 4 2 3" xfId="40391"/>
    <cellStyle name="Normal 17 5 4 3" xfId="25470"/>
    <cellStyle name="Normal 17 5 4 3 2" xfId="45224"/>
    <cellStyle name="Normal 17 5 4 4" xfId="35580"/>
    <cellStyle name="Normal 17 5 5" xfId="16002"/>
    <cellStyle name="Normal 17 5 5 2" xfId="25718"/>
    <cellStyle name="Normal 17 5 5 2 2" xfId="45472"/>
    <cellStyle name="Normal 17 5 5 3" xfId="35828"/>
    <cellStyle name="Normal 17 5 6" xfId="20905"/>
    <cellStyle name="Normal 17 5 6 2" xfId="40663"/>
    <cellStyle name="Normal 17 5 7" xfId="30712"/>
    <cellStyle name="Normal 17 5 7 2" xfId="50455"/>
    <cellStyle name="Normal 17 5 8" xfId="31016"/>
    <cellStyle name="Normal 17 6" xfId="11737"/>
    <cellStyle name="Normal 17 6 2" xfId="11738"/>
    <cellStyle name="Normal 17 7" xfId="11739"/>
    <cellStyle name="Normal 17 7 2" xfId="11740"/>
    <cellStyle name="Normal 17 8" xfId="11741"/>
    <cellStyle name="Normal 17 8 2" xfId="11742"/>
    <cellStyle name="Normal 17 8 2 2" xfId="11743"/>
    <cellStyle name="Normal 17 8 2 2 2" xfId="11744"/>
    <cellStyle name="Normal 17 8 2 2 2 2" xfId="11745"/>
    <cellStyle name="Normal 17 8 2 2 3" xfId="11746"/>
    <cellStyle name="Normal 17 8 2 3" xfId="11747"/>
    <cellStyle name="Normal 17 8 2 3 2" xfId="11748"/>
    <cellStyle name="Normal 17 8 2 4" xfId="11749"/>
    <cellStyle name="Normal 17 8 3" xfId="11750"/>
    <cellStyle name="Normal 17 8 3 2" xfId="11751"/>
    <cellStyle name="Normal 17 8 3 2 2" xfId="11752"/>
    <cellStyle name="Normal 17 8 3 3" xfId="11753"/>
    <cellStyle name="Normal 17 8 4" xfId="11754"/>
    <cellStyle name="Normal 17 8 4 2" xfId="11755"/>
    <cellStyle name="Normal 17 8 5" xfId="11756"/>
    <cellStyle name="Normal 17 8 6" xfId="11757"/>
    <cellStyle name="Normal 17 8 7" xfId="11758"/>
    <cellStyle name="Normal 17 9" xfId="11759"/>
    <cellStyle name="Normal 17 9 2" xfId="11760"/>
    <cellStyle name="Normal 17 9 2 2" xfId="11761"/>
    <cellStyle name="Normal 17 9 2 2 2" xfId="11762"/>
    <cellStyle name="Normal 17 9 2 3" xfId="11763"/>
    <cellStyle name="Normal 17 9 3" xfId="11764"/>
    <cellStyle name="Normal 17 9 3 2" xfId="11765"/>
    <cellStyle name="Normal 17 9 4" xfId="11766"/>
    <cellStyle name="Normal 18" xfId="494"/>
    <cellStyle name="Normal 18 10" xfId="11767"/>
    <cellStyle name="Normal 18 10 2" xfId="11768"/>
    <cellStyle name="Normal 18 10 2 2" xfId="11769"/>
    <cellStyle name="Normal 18 10 2 2 2" xfId="11770"/>
    <cellStyle name="Normal 18 10 2 3" xfId="11771"/>
    <cellStyle name="Normal 18 10 3" xfId="11772"/>
    <cellStyle name="Normal 18 10 3 2" xfId="11773"/>
    <cellStyle name="Normal 18 10 4" xfId="11774"/>
    <cellStyle name="Normal 18 11" xfId="11775"/>
    <cellStyle name="Normal 18 11 2" xfId="11776"/>
    <cellStyle name="Normal 18 11 2 2" xfId="11777"/>
    <cellStyle name="Normal 18 11 2 2 2" xfId="11778"/>
    <cellStyle name="Normal 18 11 2 3" xfId="11779"/>
    <cellStyle name="Normal 18 11 3" xfId="11780"/>
    <cellStyle name="Normal 18 11 3 2" xfId="11781"/>
    <cellStyle name="Normal 18 11 4" xfId="11782"/>
    <cellStyle name="Normal 18 12" xfId="11783"/>
    <cellStyle name="Normal 18 12 2" xfId="11784"/>
    <cellStyle name="Normal 18 13" xfId="11785"/>
    <cellStyle name="Normal 18 13 2" xfId="11786"/>
    <cellStyle name="Normal 18 13 2 2" xfId="11787"/>
    <cellStyle name="Normal 18 13 3" xfId="11788"/>
    <cellStyle name="Normal 18 14" xfId="11789"/>
    <cellStyle name="Normal 18 14 2" xfId="11790"/>
    <cellStyle name="Normal 18 15" xfId="11791"/>
    <cellStyle name="Normal 18 15 2" xfId="11792"/>
    <cellStyle name="Normal 18 16" xfId="11793"/>
    <cellStyle name="Normal 18 17" xfId="11794"/>
    <cellStyle name="Normal 18 18" xfId="11795"/>
    <cellStyle name="Normal 18 19" xfId="30713"/>
    <cellStyle name="Normal 18 19 2" xfId="50456"/>
    <cellStyle name="Normal 18 2" xfId="495"/>
    <cellStyle name="Normal 18 2 2" xfId="11796"/>
    <cellStyle name="Normal 18 2 2 2" xfId="11797"/>
    <cellStyle name="Normal 18 2 3" xfId="11798"/>
    <cellStyle name="Normal 18 2 3 2" xfId="11799"/>
    <cellStyle name="Normal 18 2 4" xfId="11800"/>
    <cellStyle name="Normal 18 3" xfId="496"/>
    <cellStyle name="Normal 18 3 2" xfId="11801"/>
    <cellStyle name="Normal 18 3 2 2" xfId="11802"/>
    <cellStyle name="Normal 18 3 3" xfId="11803"/>
    <cellStyle name="Normal 18 3 3 2" xfId="11804"/>
    <cellStyle name="Normal 18 3 4" xfId="11805"/>
    <cellStyle name="Normal 18 4" xfId="497"/>
    <cellStyle name="Normal 18 4 2" xfId="11806"/>
    <cellStyle name="Normal 18 4 2 2" xfId="11807"/>
    <cellStyle name="Normal 18 4 3" xfId="11808"/>
    <cellStyle name="Normal 18 4 3 2" xfId="11809"/>
    <cellStyle name="Normal 18 4 4" xfId="11810"/>
    <cellStyle name="Normal 18 5" xfId="498"/>
    <cellStyle name="Normal 18 5 2" xfId="1094"/>
    <cellStyle name="Normal 18 5 2 2" xfId="11811"/>
    <cellStyle name="Normal 18 5 2 3" xfId="16420"/>
    <cellStyle name="Normal 18 5 2 3 2" xfId="26136"/>
    <cellStyle name="Normal 18 5 2 3 2 2" xfId="45890"/>
    <cellStyle name="Normal 18 5 2 3 3" xfId="36246"/>
    <cellStyle name="Normal 18 5 2 4" xfId="21326"/>
    <cellStyle name="Normal 18 5 2 4 2" xfId="41081"/>
    <cellStyle name="Normal 18 5 2 5" xfId="31437"/>
    <cellStyle name="Normal 18 5 3" xfId="1095"/>
    <cellStyle name="Normal 18 5 3 2" xfId="11812"/>
    <cellStyle name="Normal 18 5 3 2 2" xfId="11813"/>
    <cellStyle name="Normal 18 5 3 2 2 2" xfId="11814"/>
    <cellStyle name="Normal 18 5 3 2 3" xfId="11815"/>
    <cellStyle name="Normal 18 5 3 3" xfId="11816"/>
    <cellStyle name="Normal 18 5 3 3 2" xfId="11817"/>
    <cellStyle name="Normal 18 5 3 4" xfId="11818"/>
    <cellStyle name="Normal 18 5 3 5" xfId="16421"/>
    <cellStyle name="Normal 18 5 3 5 2" xfId="26137"/>
    <cellStyle name="Normal 18 5 3 5 2 2" xfId="45891"/>
    <cellStyle name="Normal 18 5 3 5 3" xfId="36247"/>
    <cellStyle name="Normal 18 5 3 6" xfId="21327"/>
    <cellStyle name="Normal 18 5 3 6 2" xfId="41082"/>
    <cellStyle name="Normal 18 5 3 7" xfId="31438"/>
    <cellStyle name="Normal 18 5 4" xfId="15725"/>
    <cellStyle name="Normal 18 5 4 2" xfId="20570"/>
    <cellStyle name="Normal 18 5 4 2 2" xfId="30283"/>
    <cellStyle name="Normal 18 5 4 2 2 2" xfId="50036"/>
    <cellStyle name="Normal 18 5 4 2 3" xfId="40392"/>
    <cellStyle name="Normal 18 5 4 3" xfId="25471"/>
    <cellStyle name="Normal 18 5 4 3 2" xfId="45225"/>
    <cellStyle name="Normal 18 5 4 4" xfId="35581"/>
    <cellStyle name="Normal 18 5 5" xfId="16003"/>
    <cellStyle name="Normal 18 5 5 2" xfId="25719"/>
    <cellStyle name="Normal 18 5 5 2 2" xfId="45473"/>
    <cellStyle name="Normal 18 5 5 3" xfId="35829"/>
    <cellStyle name="Normal 18 5 6" xfId="20906"/>
    <cellStyle name="Normal 18 5 6 2" xfId="40664"/>
    <cellStyle name="Normal 18 5 7" xfId="30714"/>
    <cellStyle name="Normal 18 5 7 2" xfId="50457"/>
    <cellStyle name="Normal 18 5 8" xfId="31017"/>
    <cellStyle name="Normal 18 6" xfId="1096"/>
    <cellStyle name="Normal 18 6 2" xfId="11819"/>
    <cellStyle name="Normal 18 6 3" xfId="16422"/>
    <cellStyle name="Normal 18 6 3 2" xfId="26138"/>
    <cellStyle name="Normal 18 6 3 2 2" xfId="45892"/>
    <cellStyle name="Normal 18 6 3 3" xfId="36248"/>
    <cellStyle name="Normal 18 6 4" xfId="21328"/>
    <cellStyle name="Normal 18 6 4 2" xfId="41083"/>
    <cellStyle name="Normal 18 6 5" xfId="30715"/>
    <cellStyle name="Normal 18 6 5 2" xfId="50458"/>
    <cellStyle name="Normal 18 6 6" xfId="31439"/>
    <cellStyle name="Normal 18 7" xfId="11820"/>
    <cellStyle name="Normal 18 7 2" xfId="11821"/>
    <cellStyle name="Normal 18 8" xfId="11822"/>
    <cellStyle name="Normal 18 8 10" xfId="11823"/>
    <cellStyle name="Normal 18 8 2" xfId="11824"/>
    <cellStyle name="Normal 18 8 2 2" xfId="11825"/>
    <cellStyle name="Normal 18 8 2 2 2" xfId="11826"/>
    <cellStyle name="Normal 18 8 2 2 2 2" xfId="11827"/>
    <cellStyle name="Normal 18 8 2 2 2 2 2" xfId="11828"/>
    <cellStyle name="Normal 18 8 2 2 2 3" xfId="11829"/>
    <cellStyle name="Normal 18 8 2 2 3" xfId="11830"/>
    <cellStyle name="Normal 18 8 2 2 3 2" xfId="11831"/>
    <cellStyle name="Normal 18 8 2 2 4" xfId="11832"/>
    <cellStyle name="Normal 18 8 2 3" xfId="11833"/>
    <cellStyle name="Normal 18 8 2 3 2" xfId="11834"/>
    <cellStyle name="Normal 18 8 2 3 2 2" xfId="11835"/>
    <cellStyle name="Normal 18 8 2 3 3" xfId="11836"/>
    <cellStyle name="Normal 18 8 2 4" xfId="11837"/>
    <cellStyle name="Normal 18 8 2 4 2" xfId="11838"/>
    <cellStyle name="Normal 18 8 2 5" xfId="11839"/>
    <cellStyle name="Normal 18 8 2 6" xfId="11840"/>
    <cellStyle name="Normal 18 8 2 7" xfId="11841"/>
    <cellStyle name="Normal 18 8 3" xfId="11842"/>
    <cellStyle name="Normal 18 8 3 2" xfId="11843"/>
    <cellStyle name="Normal 18 8 3 2 2" xfId="11844"/>
    <cellStyle name="Normal 18 8 3 2 2 2" xfId="11845"/>
    <cellStyle name="Normal 18 8 3 2 3" xfId="11846"/>
    <cellStyle name="Normal 18 8 3 3" xfId="11847"/>
    <cellStyle name="Normal 18 8 3 3 2" xfId="11848"/>
    <cellStyle name="Normal 18 8 3 4" xfId="11849"/>
    <cellStyle name="Normal 18 8 4" xfId="11850"/>
    <cellStyle name="Normal 18 8 4 2" xfId="11851"/>
    <cellStyle name="Normal 18 8 4 2 2" xfId="11852"/>
    <cellStyle name="Normal 18 8 4 2 2 2" xfId="11853"/>
    <cellStyle name="Normal 18 8 4 2 3" xfId="11854"/>
    <cellStyle name="Normal 18 8 4 3" xfId="11855"/>
    <cellStyle name="Normal 18 8 4 3 2" xfId="11856"/>
    <cellStyle name="Normal 18 8 4 4" xfId="11857"/>
    <cellStyle name="Normal 18 8 5" xfId="11858"/>
    <cellStyle name="Normal 18 8 5 2" xfId="11859"/>
    <cellStyle name="Normal 18 8 5 2 2" xfId="11860"/>
    <cellStyle name="Normal 18 8 5 3" xfId="11861"/>
    <cellStyle name="Normal 18 8 6" xfId="11862"/>
    <cellStyle name="Normal 18 8 6 2" xfId="11863"/>
    <cellStyle name="Normal 18 8 7" xfId="11864"/>
    <cellStyle name="Normal 18 8 7 2" xfId="11865"/>
    <cellStyle name="Normal 18 8 8" xfId="11866"/>
    <cellStyle name="Normal 18 8 9" xfId="11867"/>
    <cellStyle name="Normal 18 9" xfId="11868"/>
    <cellStyle name="Normal 18 9 2" xfId="11869"/>
    <cellStyle name="Normal 18 9 2 2" xfId="11870"/>
    <cellStyle name="Normal 18 9 2 2 2" xfId="11871"/>
    <cellStyle name="Normal 18 9 2 2 2 2" xfId="11872"/>
    <cellStyle name="Normal 18 9 2 2 3" xfId="11873"/>
    <cellStyle name="Normal 18 9 2 3" xfId="11874"/>
    <cellStyle name="Normal 18 9 2 3 2" xfId="11875"/>
    <cellStyle name="Normal 18 9 2 4" xfId="11876"/>
    <cellStyle name="Normal 18 9 3" xfId="11877"/>
    <cellStyle name="Normal 18 9 3 2" xfId="11878"/>
    <cellStyle name="Normal 18 9 3 2 2" xfId="11879"/>
    <cellStyle name="Normal 18 9 3 3" xfId="11880"/>
    <cellStyle name="Normal 18 9 4" xfId="11881"/>
    <cellStyle name="Normal 18 9 4 2" xfId="11882"/>
    <cellStyle name="Normal 18 9 5" xfId="11883"/>
    <cellStyle name="Normal 18 9 6" xfId="11884"/>
    <cellStyle name="Normal 18 9 7" xfId="11885"/>
    <cellStyle name="Normal 19" xfId="499"/>
    <cellStyle name="Normal 19 2" xfId="500"/>
    <cellStyle name="Normal 19 2 2" xfId="11886"/>
    <cellStyle name="Normal 19 2 2 2" xfId="11887"/>
    <cellStyle name="Normal 19 2 3" xfId="11888"/>
    <cellStyle name="Normal 19 2 3 2" xfId="11889"/>
    <cellStyle name="Normal 19 2 4" xfId="11890"/>
    <cellStyle name="Normal 19 3" xfId="501"/>
    <cellStyle name="Normal 19 3 2" xfId="11891"/>
    <cellStyle name="Normal 19 3 2 2" xfId="11892"/>
    <cellStyle name="Normal 19 3 3" xfId="11893"/>
    <cellStyle name="Normal 19 3 3 2" xfId="11894"/>
    <cellStyle name="Normal 19 3 4" xfId="11895"/>
    <cellStyle name="Normal 19 4" xfId="502"/>
    <cellStyle name="Normal 19 4 2" xfId="11896"/>
    <cellStyle name="Normal 19 4 2 2" xfId="11897"/>
    <cellStyle name="Normal 19 4 3" xfId="11898"/>
    <cellStyle name="Normal 19 4 3 2" xfId="11899"/>
    <cellStyle name="Normal 19 4 4" xfId="11900"/>
    <cellStyle name="Normal 19 5" xfId="1097"/>
    <cellStyle name="Normal 19 5 2" xfId="11901"/>
    <cellStyle name="Normal 19 6" xfId="11902"/>
    <cellStyle name="Normal 19 6 2" xfId="11903"/>
    <cellStyle name="Normal 19 7" xfId="11904"/>
    <cellStyle name="Normal 19 7 2" xfId="11905"/>
    <cellStyle name="Normal 19 8" xfId="11906"/>
    <cellStyle name="Normal 2" xfId="671"/>
    <cellStyle name="Normal 2 10" xfId="20615"/>
    <cellStyle name="Normal 2 2" xfId="503"/>
    <cellStyle name="Normal 2 2 2" xfId="504"/>
    <cellStyle name="Normal 2 2 2 2" xfId="11907"/>
    <cellStyle name="Normal 2 2 2 2 2" xfId="11908"/>
    <cellStyle name="Normal 2 2 2 3" xfId="11909"/>
    <cellStyle name="Normal 2 2 2 3 2" xfId="11910"/>
    <cellStyle name="Normal 2 2 2 4" xfId="11911"/>
    <cellStyle name="Normal 2 2 3" xfId="11912"/>
    <cellStyle name="Normal 2 2 3 2" xfId="11913"/>
    <cellStyle name="Normal 2 2 4" xfId="11914"/>
    <cellStyle name="Normal 2 2 4 2" xfId="11915"/>
    <cellStyle name="Normal 2 2 4 2 2" xfId="11916"/>
    <cellStyle name="Normal 2 2 4 2 2 2" xfId="11917"/>
    <cellStyle name="Normal 2 2 4 2 3" xfId="11918"/>
    <cellStyle name="Normal 2 2 4 3" xfId="11919"/>
    <cellStyle name="Normal 2 2 4 3 2" xfId="11920"/>
    <cellStyle name="Normal 2 2 4 4" xfId="11921"/>
    <cellStyle name="Normal 2 2 4 5" xfId="15726"/>
    <cellStyle name="Normal 2 2 5" xfId="15727"/>
    <cellStyle name="Normal 2 3" xfId="505"/>
    <cellStyle name="Normal 2 3 10" xfId="31018"/>
    <cellStyle name="Normal 2 3 2" xfId="506"/>
    <cellStyle name="Normal 2 3 2 10" xfId="31019"/>
    <cellStyle name="Normal 2 3 2 2" xfId="507"/>
    <cellStyle name="Normal 2 3 2 2 2" xfId="1098"/>
    <cellStyle name="Normal 2 3 2 2 2 2" xfId="11922"/>
    <cellStyle name="Normal 2 3 2 2 2 2 2" xfId="11923"/>
    <cellStyle name="Normal 2 3 2 2 2 3" xfId="11924"/>
    <cellStyle name="Normal 2 3 2 2 2 4" xfId="16423"/>
    <cellStyle name="Normal 2 3 2 2 2 4 2" xfId="26139"/>
    <cellStyle name="Normal 2 3 2 2 2 4 2 2" xfId="45893"/>
    <cellStyle name="Normal 2 3 2 2 2 4 3" xfId="36249"/>
    <cellStyle name="Normal 2 3 2 2 2 5" xfId="21329"/>
    <cellStyle name="Normal 2 3 2 2 2 5 2" xfId="41084"/>
    <cellStyle name="Normal 2 3 2 2 2 6" xfId="31440"/>
    <cellStyle name="Normal 2 3 2 2 3" xfId="1099"/>
    <cellStyle name="Normal 2 3 2 2 3 2" xfId="11925"/>
    <cellStyle name="Normal 2 3 2 2 3 3" xfId="16424"/>
    <cellStyle name="Normal 2 3 2 2 3 3 2" xfId="26140"/>
    <cellStyle name="Normal 2 3 2 2 3 3 2 2" xfId="45894"/>
    <cellStyle name="Normal 2 3 2 2 3 3 3" xfId="36250"/>
    <cellStyle name="Normal 2 3 2 2 3 4" xfId="21330"/>
    <cellStyle name="Normal 2 3 2 2 3 4 2" xfId="41085"/>
    <cellStyle name="Normal 2 3 2 2 3 5" xfId="31441"/>
    <cellStyle name="Normal 2 3 2 2 4" xfId="11926"/>
    <cellStyle name="Normal 2 3 2 2 5" xfId="15730"/>
    <cellStyle name="Normal 2 3 2 2 5 2" xfId="20573"/>
    <cellStyle name="Normal 2 3 2 2 5 2 2" xfId="30286"/>
    <cellStyle name="Normal 2 3 2 2 5 2 2 2" xfId="50039"/>
    <cellStyle name="Normal 2 3 2 2 5 2 3" xfId="40395"/>
    <cellStyle name="Normal 2 3 2 2 5 3" xfId="25474"/>
    <cellStyle name="Normal 2 3 2 2 5 3 2" xfId="45228"/>
    <cellStyle name="Normal 2 3 2 2 5 4" xfId="35584"/>
    <cellStyle name="Normal 2 3 2 2 6" xfId="16006"/>
    <cellStyle name="Normal 2 3 2 2 6 2" xfId="25722"/>
    <cellStyle name="Normal 2 3 2 2 6 2 2" xfId="45476"/>
    <cellStyle name="Normal 2 3 2 2 6 3" xfId="35832"/>
    <cellStyle name="Normal 2 3 2 2 7" xfId="20909"/>
    <cellStyle name="Normal 2 3 2 2 7 2" xfId="40667"/>
    <cellStyle name="Normal 2 3 2 2 8" xfId="30718"/>
    <cellStyle name="Normal 2 3 2 2 8 2" xfId="50461"/>
    <cellStyle name="Normal 2 3 2 2 9" xfId="31020"/>
    <cellStyle name="Normal 2 3 2 3" xfId="1100"/>
    <cellStyle name="Normal 2 3 2 3 2" xfId="11927"/>
    <cellStyle name="Normal 2 3 2 3 2 2" xfId="11928"/>
    <cellStyle name="Normal 2 3 2 3 3" xfId="11929"/>
    <cellStyle name="Normal 2 3 2 3 4" xfId="16425"/>
    <cellStyle name="Normal 2 3 2 3 4 2" xfId="26141"/>
    <cellStyle name="Normal 2 3 2 3 4 2 2" xfId="45895"/>
    <cellStyle name="Normal 2 3 2 3 4 3" xfId="36251"/>
    <cellStyle name="Normal 2 3 2 3 5" xfId="21331"/>
    <cellStyle name="Normal 2 3 2 3 5 2" xfId="41086"/>
    <cellStyle name="Normal 2 3 2 3 6" xfId="31442"/>
    <cellStyle name="Normal 2 3 2 4" xfId="1101"/>
    <cellStyle name="Normal 2 3 2 4 2" xfId="11930"/>
    <cellStyle name="Normal 2 3 2 4 3" xfId="16426"/>
    <cellStyle name="Normal 2 3 2 4 3 2" xfId="26142"/>
    <cellStyle name="Normal 2 3 2 4 3 2 2" xfId="45896"/>
    <cellStyle name="Normal 2 3 2 4 3 3" xfId="36252"/>
    <cellStyle name="Normal 2 3 2 4 4" xfId="21332"/>
    <cellStyle name="Normal 2 3 2 4 4 2" xfId="41087"/>
    <cellStyle name="Normal 2 3 2 4 5" xfId="31443"/>
    <cellStyle name="Normal 2 3 2 5" xfId="11931"/>
    <cellStyle name="Normal 2 3 2 6" xfId="15729"/>
    <cellStyle name="Normal 2 3 2 6 2" xfId="20572"/>
    <cellStyle name="Normal 2 3 2 6 2 2" xfId="30285"/>
    <cellStyle name="Normal 2 3 2 6 2 2 2" xfId="50038"/>
    <cellStyle name="Normal 2 3 2 6 2 3" xfId="40394"/>
    <cellStyle name="Normal 2 3 2 6 3" xfId="25473"/>
    <cellStyle name="Normal 2 3 2 6 3 2" xfId="45227"/>
    <cellStyle name="Normal 2 3 2 6 4" xfId="35583"/>
    <cellStyle name="Normal 2 3 2 7" xfId="16005"/>
    <cellStyle name="Normal 2 3 2 7 2" xfId="25721"/>
    <cellStyle name="Normal 2 3 2 7 2 2" xfId="45475"/>
    <cellStyle name="Normal 2 3 2 7 3" xfId="35831"/>
    <cellStyle name="Normal 2 3 2 8" xfId="20908"/>
    <cellStyle name="Normal 2 3 2 8 2" xfId="40666"/>
    <cellStyle name="Normal 2 3 2 9" xfId="30717"/>
    <cellStyle name="Normal 2 3 2 9 2" xfId="50460"/>
    <cellStyle name="Normal 2 3 3" xfId="508"/>
    <cellStyle name="Normal 2 3 3 2" xfId="1102"/>
    <cellStyle name="Normal 2 3 3 2 2" xfId="11932"/>
    <cellStyle name="Normal 2 3 3 2 2 2" xfId="11933"/>
    <cellStyle name="Normal 2 3 3 2 3" xfId="11934"/>
    <cellStyle name="Normal 2 3 3 2 4" xfId="16427"/>
    <cellStyle name="Normal 2 3 3 2 4 2" xfId="26143"/>
    <cellStyle name="Normal 2 3 3 2 4 2 2" xfId="45897"/>
    <cellStyle name="Normal 2 3 3 2 4 3" xfId="36253"/>
    <cellStyle name="Normal 2 3 3 2 5" xfId="21333"/>
    <cellStyle name="Normal 2 3 3 2 5 2" xfId="41088"/>
    <cellStyle name="Normal 2 3 3 2 6" xfId="31444"/>
    <cellStyle name="Normal 2 3 3 3" xfId="1103"/>
    <cellStyle name="Normal 2 3 3 3 2" xfId="11935"/>
    <cellStyle name="Normal 2 3 3 3 3" xfId="16428"/>
    <cellStyle name="Normal 2 3 3 3 3 2" xfId="26144"/>
    <cellStyle name="Normal 2 3 3 3 3 2 2" xfId="45898"/>
    <cellStyle name="Normal 2 3 3 3 3 3" xfId="36254"/>
    <cellStyle name="Normal 2 3 3 3 4" xfId="21334"/>
    <cellStyle name="Normal 2 3 3 3 4 2" xfId="41089"/>
    <cellStyle name="Normal 2 3 3 3 5" xfId="31445"/>
    <cellStyle name="Normal 2 3 3 4" xfId="11936"/>
    <cellStyle name="Normal 2 3 3 5" xfId="15731"/>
    <cellStyle name="Normal 2 3 3 5 2" xfId="20574"/>
    <cellStyle name="Normal 2 3 3 5 2 2" xfId="30287"/>
    <cellStyle name="Normal 2 3 3 5 2 2 2" xfId="50040"/>
    <cellStyle name="Normal 2 3 3 5 2 3" xfId="40396"/>
    <cellStyle name="Normal 2 3 3 5 3" xfId="25475"/>
    <cellStyle name="Normal 2 3 3 5 3 2" xfId="45229"/>
    <cellStyle name="Normal 2 3 3 5 4" xfId="35585"/>
    <cellStyle name="Normal 2 3 3 6" xfId="16007"/>
    <cellStyle name="Normal 2 3 3 6 2" xfId="25723"/>
    <cellStyle name="Normal 2 3 3 6 2 2" xfId="45477"/>
    <cellStyle name="Normal 2 3 3 6 3" xfId="35833"/>
    <cellStyle name="Normal 2 3 3 7" xfId="20910"/>
    <cellStyle name="Normal 2 3 3 7 2" xfId="40668"/>
    <cellStyle name="Normal 2 3 3 8" xfId="30719"/>
    <cellStyle name="Normal 2 3 3 8 2" xfId="50462"/>
    <cellStyle name="Normal 2 3 3 9" xfId="31021"/>
    <cellStyle name="Normal 2 3 4" xfId="1104"/>
    <cellStyle name="Normal 2 3 4 2" xfId="11937"/>
    <cellStyle name="Normal 2 3 4 3" xfId="16429"/>
    <cellStyle name="Normal 2 3 4 3 2" xfId="26145"/>
    <cellStyle name="Normal 2 3 4 3 2 2" xfId="45899"/>
    <cellStyle name="Normal 2 3 4 3 3" xfId="36255"/>
    <cellStyle name="Normal 2 3 4 4" xfId="21335"/>
    <cellStyle name="Normal 2 3 4 4 2" xfId="41090"/>
    <cellStyle name="Normal 2 3 4 5" xfId="31446"/>
    <cellStyle name="Normal 2 3 5" xfId="1105"/>
    <cellStyle name="Normal 2 3 5 2" xfId="11938"/>
    <cellStyle name="Normal 2 3 5 2 2" xfId="11939"/>
    <cellStyle name="Normal 2 3 5 2 2 2" xfId="11940"/>
    <cellStyle name="Normal 2 3 5 2 3" xfId="11941"/>
    <cellStyle name="Normal 2 3 5 3" xfId="11942"/>
    <cellStyle name="Normal 2 3 5 3 2" xfId="11943"/>
    <cellStyle name="Normal 2 3 5 4" xfId="11944"/>
    <cellStyle name="Normal 2 3 5 5" xfId="16430"/>
    <cellStyle name="Normal 2 3 5 5 2" xfId="26146"/>
    <cellStyle name="Normal 2 3 5 5 2 2" xfId="45900"/>
    <cellStyle name="Normal 2 3 5 5 3" xfId="36256"/>
    <cellStyle name="Normal 2 3 5 6" xfId="21336"/>
    <cellStyle name="Normal 2 3 5 6 2" xfId="41091"/>
    <cellStyle name="Normal 2 3 5 7" xfId="31447"/>
    <cellStyle name="Normal 2 3 6" xfId="15728"/>
    <cellStyle name="Normal 2 3 6 2" xfId="20571"/>
    <cellStyle name="Normal 2 3 6 2 2" xfId="30284"/>
    <cellStyle name="Normal 2 3 6 2 2 2" xfId="50037"/>
    <cellStyle name="Normal 2 3 6 2 3" xfId="40393"/>
    <cellStyle name="Normal 2 3 6 3" xfId="25472"/>
    <cellStyle name="Normal 2 3 6 3 2" xfId="45226"/>
    <cellStyle name="Normal 2 3 6 4" xfId="35582"/>
    <cellStyle name="Normal 2 3 7" xfId="16004"/>
    <cellStyle name="Normal 2 3 7 2" xfId="25720"/>
    <cellStyle name="Normal 2 3 7 2 2" xfId="45474"/>
    <cellStyle name="Normal 2 3 7 3" xfId="35830"/>
    <cellStyle name="Normal 2 3 8" xfId="20907"/>
    <cellStyle name="Normal 2 3 8 2" xfId="40665"/>
    <cellStyle name="Normal 2 3 9" xfId="30716"/>
    <cellStyle name="Normal 2 3 9 2" xfId="50459"/>
    <cellStyle name="Normal 2 4" xfId="509"/>
    <cellStyle name="Normal 2 4 2" xfId="11945"/>
    <cellStyle name="Normal 2 5" xfId="510"/>
    <cellStyle name="Normal 2 5 2" xfId="511"/>
    <cellStyle name="Normal 2 5 2 2" xfId="1106"/>
    <cellStyle name="Normal 2 5 2 2 2" xfId="11946"/>
    <cellStyle name="Normal 2 5 2 2 2 2" xfId="11947"/>
    <cellStyle name="Normal 2 5 2 2 3" xfId="11948"/>
    <cellStyle name="Normal 2 5 2 2 4" xfId="16431"/>
    <cellStyle name="Normal 2 5 2 2 4 2" xfId="26147"/>
    <cellStyle name="Normal 2 5 2 2 4 2 2" xfId="45901"/>
    <cellStyle name="Normal 2 5 2 2 4 3" xfId="36257"/>
    <cellStyle name="Normal 2 5 2 2 5" xfId="21337"/>
    <cellStyle name="Normal 2 5 2 2 5 2" xfId="41092"/>
    <cellStyle name="Normal 2 5 2 2 6" xfId="31448"/>
    <cellStyle name="Normal 2 5 2 3" xfId="1107"/>
    <cellStyle name="Normal 2 5 2 3 2" xfId="11949"/>
    <cellStyle name="Normal 2 5 2 3 3" xfId="16432"/>
    <cellStyle name="Normal 2 5 2 3 3 2" xfId="26148"/>
    <cellStyle name="Normal 2 5 2 3 3 2 2" xfId="45902"/>
    <cellStyle name="Normal 2 5 2 3 3 3" xfId="36258"/>
    <cellStyle name="Normal 2 5 2 3 4" xfId="21338"/>
    <cellStyle name="Normal 2 5 2 3 4 2" xfId="41093"/>
    <cellStyle name="Normal 2 5 2 3 5" xfId="31449"/>
    <cellStyle name="Normal 2 5 2 4" xfId="11950"/>
    <cellStyle name="Normal 2 5 2 5" xfId="15733"/>
    <cellStyle name="Normal 2 5 2 5 2" xfId="20576"/>
    <cellStyle name="Normal 2 5 2 5 2 2" xfId="30289"/>
    <cellStyle name="Normal 2 5 2 5 2 2 2" xfId="50042"/>
    <cellStyle name="Normal 2 5 2 5 2 3" xfId="40398"/>
    <cellStyle name="Normal 2 5 2 5 3" xfId="25477"/>
    <cellStyle name="Normal 2 5 2 5 3 2" xfId="45231"/>
    <cellStyle name="Normal 2 5 2 5 4" xfId="35587"/>
    <cellStyle name="Normal 2 5 2 6" xfId="16009"/>
    <cellStyle name="Normal 2 5 2 6 2" xfId="25725"/>
    <cellStyle name="Normal 2 5 2 6 2 2" xfId="45479"/>
    <cellStyle name="Normal 2 5 2 6 3" xfId="35835"/>
    <cellStyle name="Normal 2 5 2 7" xfId="20912"/>
    <cellStyle name="Normal 2 5 2 7 2" xfId="40670"/>
    <cellStyle name="Normal 2 5 2 8" xfId="30721"/>
    <cellStyle name="Normal 2 5 2 8 2" xfId="50464"/>
    <cellStyle name="Normal 2 5 2 9" xfId="31023"/>
    <cellStyle name="Normal 2 5 3" xfId="1108"/>
    <cellStyle name="Normal 2 5 3 2" xfId="11951"/>
    <cellStyle name="Normal 2 5 3 3" xfId="16433"/>
    <cellStyle name="Normal 2 5 3 3 2" xfId="26149"/>
    <cellStyle name="Normal 2 5 3 3 2 2" xfId="45903"/>
    <cellStyle name="Normal 2 5 3 3 3" xfId="36259"/>
    <cellStyle name="Normal 2 5 3 4" xfId="21339"/>
    <cellStyle name="Normal 2 5 3 4 2" xfId="41094"/>
    <cellStyle name="Normal 2 5 3 5" xfId="31450"/>
    <cellStyle name="Normal 2 5 4" xfId="1109"/>
    <cellStyle name="Normal 2 5 4 2" xfId="11952"/>
    <cellStyle name="Normal 2 5 4 2 2" xfId="11953"/>
    <cellStyle name="Normal 2 5 4 2 2 2" xfId="11954"/>
    <cellStyle name="Normal 2 5 4 2 3" xfId="11955"/>
    <cellStyle name="Normal 2 5 4 3" xfId="11956"/>
    <cellStyle name="Normal 2 5 4 3 2" xfId="11957"/>
    <cellStyle name="Normal 2 5 4 4" xfId="11958"/>
    <cellStyle name="Normal 2 5 4 5" xfId="16434"/>
    <cellStyle name="Normal 2 5 4 5 2" xfId="26150"/>
    <cellStyle name="Normal 2 5 4 5 2 2" xfId="45904"/>
    <cellStyle name="Normal 2 5 4 5 3" xfId="36260"/>
    <cellStyle name="Normal 2 5 4 6" xfId="21340"/>
    <cellStyle name="Normal 2 5 4 6 2" xfId="41095"/>
    <cellStyle name="Normal 2 5 4 7" xfId="31451"/>
    <cellStyle name="Normal 2 5 5" xfId="15732"/>
    <cellStyle name="Normal 2 5 5 2" xfId="20575"/>
    <cellStyle name="Normal 2 5 5 2 2" xfId="30288"/>
    <cellStyle name="Normal 2 5 5 2 2 2" xfId="50041"/>
    <cellStyle name="Normal 2 5 5 2 3" xfId="40397"/>
    <cellStyle name="Normal 2 5 5 3" xfId="25476"/>
    <cellStyle name="Normal 2 5 5 3 2" xfId="45230"/>
    <cellStyle name="Normal 2 5 5 4" xfId="35586"/>
    <cellStyle name="Normal 2 5 6" xfId="16008"/>
    <cellStyle name="Normal 2 5 6 2" xfId="25724"/>
    <cellStyle name="Normal 2 5 6 2 2" xfId="45478"/>
    <cellStyle name="Normal 2 5 6 3" xfId="35834"/>
    <cellStyle name="Normal 2 5 7" xfId="20911"/>
    <cellStyle name="Normal 2 5 7 2" xfId="40669"/>
    <cellStyle name="Normal 2 5 8" xfId="30720"/>
    <cellStyle name="Normal 2 5 8 2" xfId="50463"/>
    <cellStyle name="Normal 2 5 9" xfId="31022"/>
    <cellStyle name="Normal 2 6" xfId="512"/>
    <cellStyle name="Normal 2 6 10" xfId="20913"/>
    <cellStyle name="Normal 2 6 10 2" xfId="40671"/>
    <cellStyle name="Normal 2 6 11" xfId="30722"/>
    <cellStyle name="Normal 2 6 11 2" xfId="50465"/>
    <cellStyle name="Normal 2 6 12" xfId="31024"/>
    <cellStyle name="Normal 2 6 2" xfId="1110"/>
    <cellStyle name="Normal 2 6 2 2" xfId="11959"/>
    <cellStyle name="Normal 2 6 2 3" xfId="16435"/>
    <cellStyle name="Normal 2 6 2 3 2" xfId="26151"/>
    <cellStyle name="Normal 2 6 2 3 2 2" xfId="45905"/>
    <cellStyle name="Normal 2 6 2 3 3" xfId="36261"/>
    <cellStyle name="Normal 2 6 2 4" xfId="21341"/>
    <cellStyle name="Normal 2 6 2 4 2" xfId="41096"/>
    <cellStyle name="Normal 2 6 2 5" xfId="31452"/>
    <cellStyle name="Normal 2 6 3" xfId="1111"/>
    <cellStyle name="Normal 2 6 3 2" xfId="11960"/>
    <cellStyle name="Normal 2 6 3 2 2" xfId="11961"/>
    <cellStyle name="Normal 2 6 3 2 2 2" xfId="11962"/>
    <cellStyle name="Normal 2 6 3 2 3" xfId="11963"/>
    <cellStyle name="Normal 2 6 3 3" xfId="11964"/>
    <cellStyle name="Normal 2 6 3 3 2" xfId="11965"/>
    <cellStyle name="Normal 2 6 3 4" xfId="11966"/>
    <cellStyle name="Normal 2 6 3 5" xfId="16436"/>
    <cellStyle name="Normal 2 6 3 5 2" xfId="26152"/>
    <cellStyle name="Normal 2 6 3 5 2 2" xfId="45906"/>
    <cellStyle name="Normal 2 6 3 5 3" xfId="36262"/>
    <cellStyle name="Normal 2 6 3 6" xfId="21342"/>
    <cellStyle name="Normal 2 6 3 6 2" xfId="41097"/>
    <cellStyle name="Normal 2 6 3 7" xfId="31453"/>
    <cellStyle name="Normal 2 6 4" xfId="11967"/>
    <cellStyle name="Normal 2 6 4 2" xfId="11968"/>
    <cellStyle name="Normal 2 6 4 2 2" xfId="11969"/>
    <cellStyle name="Normal 2 6 4 2 2 2" xfId="11970"/>
    <cellStyle name="Normal 2 6 4 2 3" xfId="11971"/>
    <cellStyle name="Normal 2 6 4 3" xfId="11972"/>
    <cellStyle name="Normal 2 6 4 3 2" xfId="11973"/>
    <cellStyle name="Normal 2 6 4 4" xfId="11974"/>
    <cellStyle name="Normal 2 6 5" xfId="11975"/>
    <cellStyle name="Normal 2 6 5 2" xfId="11976"/>
    <cellStyle name="Normal 2 6 5 2 2" xfId="11977"/>
    <cellStyle name="Normal 2 6 5 2 2 2" xfId="11978"/>
    <cellStyle name="Normal 2 6 5 2 3" xfId="11979"/>
    <cellStyle name="Normal 2 6 5 3" xfId="11980"/>
    <cellStyle name="Normal 2 6 5 3 2" xfId="11981"/>
    <cellStyle name="Normal 2 6 5 4" xfId="11982"/>
    <cellStyle name="Normal 2 6 6" xfId="11983"/>
    <cellStyle name="Normal 2 6 7" xfId="11984"/>
    <cellStyle name="Normal 2 6 8" xfId="15734"/>
    <cellStyle name="Normal 2 6 8 2" xfId="20577"/>
    <cellStyle name="Normal 2 6 8 2 2" xfId="30290"/>
    <cellStyle name="Normal 2 6 8 2 2 2" xfId="50043"/>
    <cellStyle name="Normal 2 6 8 2 3" xfId="40399"/>
    <cellStyle name="Normal 2 6 8 3" xfId="25478"/>
    <cellStyle name="Normal 2 6 8 3 2" xfId="45232"/>
    <cellStyle name="Normal 2 6 8 4" xfId="35588"/>
    <cellStyle name="Normal 2 6 9" xfId="16010"/>
    <cellStyle name="Normal 2 6 9 2" xfId="25726"/>
    <cellStyle name="Normal 2 6 9 2 2" xfId="45480"/>
    <cellStyle name="Normal 2 6 9 3" xfId="35836"/>
    <cellStyle name="Normal 2 7" xfId="513"/>
    <cellStyle name="Normal 2 7 2" xfId="11985"/>
    <cellStyle name="Normal 2 8" xfId="11986"/>
    <cellStyle name="Normal 2 8 2" xfId="11987"/>
    <cellStyle name="Normal 2 9" xfId="11988"/>
    <cellStyle name="Normal 2 9 10" xfId="11989"/>
    <cellStyle name="Normal 2 9 2" xfId="11990"/>
    <cellStyle name="Normal 2 9 2 2" xfId="11991"/>
    <cellStyle name="Normal 2 9 2 2 2" xfId="11992"/>
    <cellStyle name="Normal 2 9 2 2 2 2" xfId="11993"/>
    <cellStyle name="Normal 2 9 2 2 2 2 2" xfId="11994"/>
    <cellStyle name="Normal 2 9 2 2 2 3" xfId="11995"/>
    <cellStyle name="Normal 2 9 2 2 3" xfId="11996"/>
    <cellStyle name="Normal 2 9 2 2 3 2" xfId="11997"/>
    <cellStyle name="Normal 2 9 2 2 4" xfId="11998"/>
    <cellStyle name="Normal 2 9 2 3" xfId="11999"/>
    <cellStyle name="Normal 2 9 2 3 2" xfId="12000"/>
    <cellStyle name="Normal 2 9 2 3 2 2" xfId="12001"/>
    <cellStyle name="Normal 2 9 2 3 3" xfId="12002"/>
    <cellStyle name="Normal 2 9 2 4" xfId="12003"/>
    <cellStyle name="Normal 2 9 2 4 2" xfId="12004"/>
    <cellStyle name="Normal 2 9 2 5" xfId="12005"/>
    <cellStyle name="Normal 2 9 2 6" xfId="12006"/>
    <cellStyle name="Normal 2 9 2 7" xfId="12007"/>
    <cellStyle name="Normal 2 9 3" xfId="12008"/>
    <cellStyle name="Normal 2 9 3 2" xfId="12009"/>
    <cellStyle name="Normal 2 9 3 2 2" xfId="12010"/>
    <cellStyle name="Normal 2 9 3 2 2 2" xfId="12011"/>
    <cellStyle name="Normal 2 9 3 2 3" xfId="12012"/>
    <cellStyle name="Normal 2 9 3 3" xfId="12013"/>
    <cellStyle name="Normal 2 9 3 3 2" xfId="12014"/>
    <cellStyle name="Normal 2 9 3 4" xfId="12015"/>
    <cellStyle name="Normal 2 9 4" xfId="12016"/>
    <cellStyle name="Normal 2 9 4 2" xfId="12017"/>
    <cellStyle name="Normal 2 9 4 2 2" xfId="12018"/>
    <cellStyle name="Normal 2 9 4 2 2 2" xfId="12019"/>
    <cellStyle name="Normal 2 9 4 2 3" xfId="12020"/>
    <cellStyle name="Normal 2 9 4 3" xfId="12021"/>
    <cellStyle name="Normal 2 9 4 3 2" xfId="12022"/>
    <cellStyle name="Normal 2 9 4 4" xfId="12023"/>
    <cellStyle name="Normal 2 9 5" xfId="12024"/>
    <cellStyle name="Normal 2 9 5 2" xfId="12025"/>
    <cellStyle name="Normal 2 9 5 2 2" xfId="12026"/>
    <cellStyle name="Normal 2 9 5 3" xfId="12027"/>
    <cellStyle name="Normal 2 9 6" xfId="12028"/>
    <cellStyle name="Normal 2 9 6 2" xfId="12029"/>
    <cellStyle name="Normal 2 9 7" xfId="12030"/>
    <cellStyle name="Normal 2 9 7 2" xfId="12031"/>
    <cellStyle name="Normal 2 9 8" xfId="12032"/>
    <cellStyle name="Normal 2 9 9" xfId="12033"/>
    <cellStyle name="Normal 2_Table 22-23" xfId="1112"/>
    <cellStyle name="Normal 20" xfId="514"/>
    <cellStyle name="Normal 20 2" xfId="515"/>
    <cellStyle name="Normal 20 2 2" xfId="12034"/>
    <cellStyle name="Normal 20 2 2 2" xfId="12035"/>
    <cellStyle name="Normal 20 2 3" xfId="12036"/>
    <cellStyle name="Normal 20 2 3 2" xfId="12037"/>
    <cellStyle name="Normal 20 2 4" xfId="12038"/>
    <cellStyle name="Normal 20 3" xfId="516"/>
    <cellStyle name="Normal 20 3 2" xfId="1113"/>
    <cellStyle name="Normal 20 3 2 2" xfId="12039"/>
    <cellStyle name="Normal 20 3 2 3" xfId="16437"/>
    <cellStyle name="Normal 20 3 2 3 2" xfId="26153"/>
    <cellStyle name="Normal 20 3 2 3 2 2" xfId="45907"/>
    <cellStyle name="Normal 20 3 2 3 3" xfId="36263"/>
    <cellStyle name="Normal 20 3 2 4" xfId="21343"/>
    <cellStyle name="Normal 20 3 2 4 2" xfId="41098"/>
    <cellStyle name="Normal 20 3 2 5" xfId="31454"/>
    <cellStyle name="Normal 20 3 3" xfId="1114"/>
    <cellStyle name="Normal 20 3 3 2" xfId="12040"/>
    <cellStyle name="Normal 20 3 3 2 2" xfId="12041"/>
    <cellStyle name="Normal 20 3 3 2 2 2" xfId="12042"/>
    <cellStyle name="Normal 20 3 3 2 3" xfId="12043"/>
    <cellStyle name="Normal 20 3 3 3" xfId="12044"/>
    <cellStyle name="Normal 20 3 3 3 2" xfId="12045"/>
    <cellStyle name="Normal 20 3 3 4" xfId="12046"/>
    <cellStyle name="Normal 20 3 3 5" xfId="16438"/>
    <cellStyle name="Normal 20 3 3 5 2" xfId="26154"/>
    <cellStyle name="Normal 20 3 3 5 2 2" xfId="45908"/>
    <cellStyle name="Normal 20 3 3 5 3" xfId="36264"/>
    <cellStyle name="Normal 20 3 3 6" xfId="21344"/>
    <cellStyle name="Normal 20 3 3 6 2" xfId="41099"/>
    <cellStyle name="Normal 20 3 3 7" xfId="31455"/>
    <cellStyle name="Normal 20 3 4" xfId="15735"/>
    <cellStyle name="Normal 20 3 4 2" xfId="20578"/>
    <cellStyle name="Normal 20 3 4 2 2" xfId="30291"/>
    <cellStyle name="Normal 20 3 4 2 2 2" xfId="50044"/>
    <cellStyle name="Normal 20 3 4 2 3" xfId="40400"/>
    <cellStyle name="Normal 20 3 4 3" xfId="25479"/>
    <cellStyle name="Normal 20 3 4 3 2" xfId="45233"/>
    <cellStyle name="Normal 20 3 4 4" xfId="35589"/>
    <cellStyle name="Normal 20 3 5" xfId="16011"/>
    <cellStyle name="Normal 20 3 5 2" xfId="25727"/>
    <cellStyle name="Normal 20 3 5 2 2" xfId="45481"/>
    <cellStyle name="Normal 20 3 5 3" xfId="35837"/>
    <cellStyle name="Normal 20 3 6" xfId="20914"/>
    <cellStyle name="Normal 20 3 6 2" xfId="40672"/>
    <cellStyle name="Normal 20 3 7" xfId="30724"/>
    <cellStyle name="Normal 20 3 7 2" xfId="50467"/>
    <cellStyle name="Normal 20 3 8" xfId="31025"/>
    <cellStyle name="Normal 20 4" xfId="1115"/>
    <cellStyle name="Normal 20 4 2" xfId="12047"/>
    <cellStyle name="Normal 20 4 3" xfId="16439"/>
    <cellStyle name="Normal 20 4 3 2" xfId="26155"/>
    <cellStyle name="Normal 20 4 3 2 2" xfId="45909"/>
    <cellStyle name="Normal 20 4 3 3" xfId="36265"/>
    <cellStyle name="Normal 20 4 4" xfId="21345"/>
    <cellStyle name="Normal 20 4 4 2" xfId="41100"/>
    <cellStyle name="Normal 20 4 5" xfId="30725"/>
    <cellStyle name="Normal 20 4 5 2" xfId="50468"/>
    <cellStyle name="Normal 20 4 6" xfId="31456"/>
    <cellStyle name="Normal 20 5" xfId="12048"/>
    <cellStyle name="Normal 20 5 2" xfId="12049"/>
    <cellStyle name="Normal 20 6" xfId="12050"/>
    <cellStyle name="Normal 20 6 2" xfId="12051"/>
    <cellStyle name="Normal 20 7" xfId="12052"/>
    <cellStyle name="Normal 20 7 2" xfId="12053"/>
    <cellStyle name="Normal 20 8" xfId="30723"/>
    <cellStyle name="Normal 20 8 2" xfId="50466"/>
    <cellStyle name="Normal 21" xfId="517"/>
    <cellStyle name="Normal 21 2" xfId="12054"/>
    <cellStyle name="Normal 21 2 2" xfId="12055"/>
    <cellStyle name="Normal 21 3" xfId="12056"/>
    <cellStyle name="Normal 21 3 2" xfId="12057"/>
    <cellStyle name="Normal 21 4" xfId="12058"/>
    <cellStyle name="Normal 21 4 2" xfId="12059"/>
    <cellStyle name="Normal 21 5" xfId="12060"/>
    <cellStyle name="Normal 21 5 2" xfId="12061"/>
    <cellStyle name="Normal 21 6" xfId="12062"/>
    <cellStyle name="Normal 21 6 2" xfId="12063"/>
    <cellStyle name="Normal 21 7" xfId="12064"/>
    <cellStyle name="Normal 22" xfId="518"/>
    <cellStyle name="Normal 22 10" xfId="12065"/>
    <cellStyle name="Normal 22 2" xfId="12066"/>
    <cellStyle name="Normal 22 2 2" xfId="12067"/>
    <cellStyle name="Normal 22 3" xfId="12068"/>
    <cellStyle name="Normal 22 3 2" xfId="12069"/>
    <cellStyle name="Normal 22 4" xfId="12070"/>
    <cellStyle name="Normal 22 4 2" xfId="12071"/>
    <cellStyle name="Normal 22 5" xfId="12072"/>
    <cellStyle name="Normal 22 5 2" xfId="12073"/>
    <cellStyle name="Normal 22 6" xfId="12074"/>
    <cellStyle name="Normal 22 6 2" xfId="12075"/>
    <cellStyle name="Normal 22 7" xfId="12076"/>
    <cellStyle name="Normal 22 7 2" xfId="12077"/>
    <cellStyle name="Normal 22 8" xfId="12078"/>
    <cellStyle name="Normal 22 8 2" xfId="12079"/>
    <cellStyle name="Normal 22 9" xfId="12080"/>
    <cellStyle name="Normal 22 9 2" xfId="12081"/>
    <cellStyle name="Normal 23" xfId="519"/>
    <cellStyle name="Normal 23 10" xfId="12082"/>
    <cellStyle name="Normal 23 2" xfId="12083"/>
    <cellStyle name="Normal 23 2 2" xfId="12084"/>
    <cellStyle name="Normal 23 3" xfId="12085"/>
    <cellStyle name="Normal 23 3 2" xfId="12086"/>
    <cellStyle name="Normal 23 4" xfId="12087"/>
    <cellStyle name="Normal 23 4 2" xfId="12088"/>
    <cellStyle name="Normal 23 5" xfId="12089"/>
    <cellStyle name="Normal 23 5 2" xfId="12090"/>
    <cellStyle name="Normal 23 6" xfId="12091"/>
    <cellStyle name="Normal 23 6 2" xfId="12092"/>
    <cellStyle name="Normal 23 7" xfId="12093"/>
    <cellStyle name="Normal 23 7 2" xfId="12094"/>
    <cellStyle name="Normal 23 8" xfId="12095"/>
    <cellStyle name="Normal 23 8 2" xfId="12096"/>
    <cellStyle name="Normal 23 9" xfId="12097"/>
    <cellStyle name="Normal 23 9 2" xfId="12098"/>
    <cellStyle name="Normal 24" xfId="520"/>
    <cellStyle name="Normal 24 10" xfId="12099"/>
    <cellStyle name="Normal 24 2" xfId="12100"/>
    <cellStyle name="Normal 24 2 2" xfId="12101"/>
    <cellStyle name="Normal 24 3" xfId="12102"/>
    <cellStyle name="Normal 24 3 2" xfId="12103"/>
    <cellStyle name="Normal 24 4" xfId="12104"/>
    <cellStyle name="Normal 24 4 2" xfId="12105"/>
    <cellStyle name="Normal 24 5" xfId="12106"/>
    <cellStyle name="Normal 24 5 2" xfId="12107"/>
    <cellStyle name="Normal 24 6" xfId="12108"/>
    <cellStyle name="Normal 24 6 2" xfId="12109"/>
    <cellStyle name="Normal 24 7" xfId="12110"/>
    <cellStyle name="Normal 24 7 2" xfId="12111"/>
    <cellStyle name="Normal 24 8" xfId="12112"/>
    <cellStyle name="Normal 24 8 2" xfId="12113"/>
    <cellStyle name="Normal 24 9" xfId="12114"/>
    <cellStyle name="Normal 24 9 2" xfId="12115"/>
    <cellStyle name="Normal 25" xfId="521"/>
    <cellStyle name="Normal 25 10" xfId="12116"/>
    <cellStyle name="Normal 25 2" xfId="12117"/>
    <cellStyle name="Normal 25 2 2" xfId="12118"/>
    <cellStyle name="Normal 25 3" xfId="12119"/>
    <cellStyle name="Normal 25 3 2" xfId="12120"/>
    <cellStyle name="Normal 25 4" xfId="12121"/>
    <cellStyle name="Normal 25 4 2" xfId="12122"/>
    <cellStyle name="Normal 25 5" xfId="12123"/>
    <cellStyle name="Normal 25 5 2" xfId="12124"/>
    <cellStyle name="Normal 25 6" xfId="12125"/>
    <cellStyle name="Normal 25 6 2" xfId="12126"/>
    <cellStyle name="Normal 25 7" xfId="12127"/>
    <cellStyle name="Normal 25 7 2" xfId="12128"/>
    <cellStyle name="Normal 25 8" xfId="12129"/>
    <cellStyle name="Normal 25 8 2" xfId="12130"/>
    <cellStyle name="Normal 25 9" xfId="12131"/>
    <cellStyle name="Normal 25 9 2" xfId="12132"/>
    <cellStyle name="Normal 26" xfId="522"/>
    <cellStyle name="Normal 26 10" xfId="12133"/>
    <cellStyle name="Normal 26 11" xfId="15736"/>
    <cellStyle name="Normal 26 2" xfId="1116"/>
    <cellStyle name="Normal 26 2 2" xfId="12134"/>
    <cellStyle name="Normal 26 2 2 2" xfId="15737"/>
    <cellStyle name="Normal 26 2 2 2 2" xfId="20579"/>
    <cellStyle name="Normal 26 2 2 2 2 2" xfId="30292"/>
    <cellStyle name="Normal 26 2 2 2 2 2 2" xfId="50045"/>
    <cellStyle name="Normal 26 2 2 2 2 3" xfId="40401"/>
    <cellStyle name="Normal 26 2 2 2 3" xfId="25480"/>
    <cellStyle name="Normal 26 2 2 2 3 2" xfId="45234"/>
    <cellStyle name="Normal 26 2 2 2 4" xfId="35590"/>
    <cellStyle name="Normal 26 2 3" xfId="16440"/>
    <cellStyle name="Normal 26 2 3 2" xfId="26156"/>
    <cellStyle name="Normal 26 2 3 2 2" xfId="45910"/>
    <cellStyle name="Normal 26 2 3 3" xfId="36266"/>
    <cellStyle name="Normal 26 2 4" xfId="21346"/>
    <cellStyle name="Normal 26 2 4 2" xfId="41101"/>
    <cellStyle name="Normal 26 2 5" xfId="30726"/>
    <cellStyle name="Normal 26 2 5 2" xfId="50469"/>
    <cellStyle name="Normal 26 2 6" xfId="31457"/>
    <cellStyle name="Normal 26 3" xfId="1117"/>
    <cellStyle name="Normal 26 3 2" xfId="12135"/>
    <cellStyle name="Normal 26 3 3" xfId="15738"/>
    <cellStyle name="Normal 26 3 3 2" xfId="20580"/>
    <cellStyle name="Normal 26 3 3 2 2" xfId="30293"/>
    <cellStyle name="Normal 26 3 3 2 2 2" xfId="50046"/>
    <cellStyle name="Normal 26 3 3 2 3" xfId="40402"/>
    <cellStyle name="Normal 26 3 3 3" xfId="25481"/>
    <cellStyle name="Normal 26 3 3 3 2" xfId="45235"/>
    <cellStyle name="Normal 26 3 3 4" xfId="35591"/>
    <cellStyle name="Normal 26 4" xfId="1118"/>
    <cellStyle name="Normal 26 4 2" xfId="12136"/>
    <cellStyle name="Normal 26 4 3" xfId="16441"/>
    <cellStyle name="Normal 26 4 3 2" xfId="26157"/>
    <cellStyle name="Normal 26 4 3 2 2" xfId="45911"/>
    <cellStyle name="Normal 26 4 3 3" xfId="36267"/>
    <cellStyle name="Normal 26 4 4" xfId="21347"/>
    <cellStyle name="Normal 26 4 4 2" xfId="41102"/>
    <cellStyle name="Normal 26 4 5" xfId="30727"/>
    <cellStyle name="Normal 26 4 5 2" xfId="50470"/>
    <cellStyle name="Normal 26 4 6" xfId="31458"/>
    <cellStyle name="Normal 26 5" xfId="12137"/>
    <cellStyle name="Normal 26 5 2" xfId="12138"/>
    <cellStyle name="Normal 26 6" xfId="12139"/>
    <cellStyle name="Normal 26 6 2" xfId="12140"/>
    <cellStyle name="Normal 26 7" xfId="12141"/>
    <cellStyle name="Normal 26 7 2" xfId="12142"/>
    <cellStyle name="Normal 26 8" xfId="12143"/>
    <cellStyle name="Normal 26 8 2" xfId="12144"/>
    <cellStyle name="Normal 26 9" xfId="12145"/>
    <cellStyle name="Normal 26 9 2" xfId="12146"/>
    <cellStyle name="Normal 27" xfId="523"/>
    <cellStyle name="Normal 27 10" xfId="12147"/>
    <cellStyle name="Normal 27 11" xfId="15739"/>
    <cellStyle name="Normal 27 12" xfId="30728"/>
    <cellStyle name="Normal 27 12 2" xfId="50471"/>
    <cellStyle name="Normal 27 2" xfId="1119"/>
    <cellStyle name="Normal 27 2 2" xfId="12148"/>
    <cellStyle name="Normal 27 3" xfId="12149"/>
    <cellStyle name="Normal 27 3 2" xfId="12150"/>
    <cellStyle name="Normal 27 3 3" xfId="15740"/>
    <cellStyle name="Normal 27 3 3 2" xfId="20581"/>
    <cellStyle name="Normal 27 3 3 2 2" xfId="30294"/>
    <cellStyle name="Normal 27 3 3 2 2 2" xfId="50047"/>
    <cellStyle name="Normal 27 3 3 2 3" xfId="40403"/>
    <cellStyle name="Normal 27 3 3 3" xfId="25482"/>
    <cellStyle name="Normal 27 3 3 3 2" xfId="45236"/>
    <cellStyle name="Normal 27 3 3 4" xfId="35592"/>
    <cellStyle name="Normal 27 4" xfId="12151"/>
    <cellStyle name="Normal 27 4 2" xfId="12152"/>
    <cellStyle name="Normal 27 5" xfId="12153"/>
    <cellStyle name="Normal 27 5 2" xfId="12154"/>
    <cellStyle name="Normal 27 6" xfId="12155"/>
    <cellStyle name="Normal 27 6 2" xfId="12156"/>
    <cellStyle name="Normal 27 7" xfId="12157"/>
    <cellStyle name="Normal 27 7 2" xfId="12158"/>
    <cellStyle name="Normal 27 8" xfId="12159"/>
    <cellStyle name="Normal 27 8 2" xfId="12160"/>
    <cellStyle name="Normal 27 9" xfId="12161"/>
    <cellStyle name="Normal 27 9 2" xfId="12162"/>
    <cellStyle name="Normal 28" xfId="524"/>
    <cellStyle name="Normal 28 10" xfId="12163"/>
    <cellStyle name="Normal 28 2" xfId="1120"/>
    <cellStyle name="Normal 28 2 2" xfId="12164"/>
    <cellStyle name="Normal 28 3" xfId="12165"/>
    <cellStyle name="Normal 28 3 2" xfId="12166"/>
    <cellStyle name="Normal 28 4" xfId="12167"/>
    <cellStyle name="Normal 28 4 2" xfId="12168"/>
    <cellStyle name="Normal 28 5" xfId="12169"/>
    <cellStyle name="Normal 28 5 2" xfId="12170"/>
    <cellStyle name="Normal 28 6" xfId="12171"/>
    <cellStyle name="Normal 28 6 2" xfId="12172"/>
    <cellStyle name="Normal 28 7" xfId="12173"/>
    <cellStyle name="Normal 28 7 2" xfId="12174"/>
    <cellStyle name="Normal 28 8" xfId="12175"/>
    <cellStyle name="Normal 28 8 2" xfId="12176"/>
    <cellStyle name="Normal 28 9" xfId="12177"/>
    <cellStyle name="Normal 28 9 2" xfId="12178"/>
    <cellStyle name="Normal 29" xfId="525"/>
    <cellStyle name="Normal 29 10" xfId="12179"/>
    <cellStyle name="Normal 29 2" xfId="1121"/>
    <cellStyle name="Normal 29 2 2" xfId="12180"/>
    <cellStyle name="Normal 29 3" xfId="12181"/>
    <cellStyle name="Normal 29 3 2" xfId="12182"/>
    <cellStyle name="Normal 29 4" xfId="12183"/>
    <cellStyle name="Normal 29 4 2" xfId="12184"/>
    <cellStyle name="Normal 29 5" xfId="12185"/>
    <cellStyle name="Normal 29 5 2" xfId="12186"/>
    <cellStyle name="Normal 29 6" xfId="12187"/>
    <cellStyle name="Normal 29 6 2" xfId="12188"/>
    <cellStyle name="Normal 29 7" xfId="12189"/>
    <cellStyle name="Normal 29 7 2" xfId="12190"/>
    <cellStyle name="Normal 29 8" xfId="12191"/>
    <cellStyle name="Normal 29 8 2" xfId="12192"/>
    <cellStyle name="Normal 29 9" xfId="12193"/>
    <cellStyle name="Normal 29 9 2" xfId="12194"/>
    <cellStyle name="Normal 3" xfId="1122"/>
    <cellStyle name="Normal 3 10" xfId="12195"/>
    <cellStyle name="Normal 3 10 2" xfId="12196"/>
    <cellStyle name="Normal 3 11" xfId="20614"/>
    <cellStyle name="Normal 3 2" xfId="526"/>
    <cellStyle name="Normal 3 2 2" xfId="527"/>
    <cellStyle name="Normal 3 2 2 10" xfId="12197"/>
    <cellStyle name="Normal 3 2 2 11" xfId="12198"/>
    <cellStyle name="Normal 3 2 2 12" xfId="12199"/>
    <cellStyle name="Normal 3 2 2 2" xfId="12200"/>
    <cellStyle name="Normal 3 2 2 2 10" xfId="12201"/>
    <cellStyle name="Normal 3 2 2 2 2" xfId="12202"/>
    <cellStyle name="Normal 3 2 2 2 2 2" xfId="12203"/>
    <cellStyle name="Normal 3 2 2 2 2 2 2" xfId="12204"/>
    <cellStyle name="Normal 3 2 2 2 2 2 2 2" xfId="12205"/>
    <cellStyle name="Normal 3 2 2 2 2 2 2 2 2" xfId="12206"/>
    <cellStyle name="Normal 3 2 2 2 2 2 2 3" xfId="12207"/>
    <cellStyle name="Normal 3 2 2 2 2 2 3" xfId="12208"/>
    <cellStyle name="Normal 3 2 2 2 2 2 3 2" xfId="12209"/>
    <cellStyle name="Normal 3 2 2 2 2 2 4" xfId="12210"/>
    <cellStyle name="Normal 3 2 2 2 2 3" xfId="12211"/>
    <cellStyle name="Normal 3 2 2 2 2 3 2" xfId="12212"/>
    <cellStyle name="Normal 3 2 2 2 2 3 2 2" xfId="12213"/>
    <cellStyle name="Normal 3 2 2 2 2 3 3" xfId="12214"/>
    <cellStyle name="Normal 3 2 2 2 2 4" xfId="12215"/>
    <cellStyle name="Normal 3 2 2 2 2 4 2" xfId="12216"/>
    <cellStyle name="Normal 3 2 2 2 2 5" xfId="12217"/>
    <cellStyle name="Normal 3 2 2 2 2 6" xfId="12218"/>
    <cellStyle name="Normal 3 2 2 2 2 7" xfId="12219"/>
    <cellStyle name="Normal 3 2 2 2 3" xfId="12220"/>
    <cellStyle name="Normal 3 2 2 2 3 2" xfId="12221"/>
    <cellStyle name="Normal 3 2 2 2 3 2 2" xfId="12222"/>
    <cellStyle name="Normal 3 2 2 2 3 2 2 2" xfId="12223"/>
    <cellStyle name="Normal 3 2 2 2 3 2 3" xfId="12224"/>
    <cellStyle name="Normal 3 2 2 2 3 3" xfId="12225"/>
    <cellStyle name="Normal 3 2 2 2 3 3 2" xfId="12226"/>
    <cellStyle name="Normal 3 2 2 2 3 4" xfId="12227"/>
    <cellStyle name="Normal 3 2 2 2 4" xfId="12228"/>
    <cellStyle name="Normal 3 2 2 2 4 2" xfId="12229"/>
    <cellStyle name="Normal 3 2 2 2 4 2 2" xfId="12230"/>
    <cellStyle name="Normal 3 2 2 2 4 2 2 2" xfId="12231"/>
    <cellStyle name="Normal 3 2 2 2 4 2 3" xfId="12232"/>
    <cellStyle name="Normal 3 2 2 2 4 3" xfId="12233"/>
    <cellStyle name="Normal 3 2 2 2 4 3 2" xfId="12234"/>
    <cellStyle name="Normal 3 2 2 2 4 4" xfId="12235"/>
    <cellStyle name="Normal 3 2 2 2 5" xfId="12236"/>
    <cellStyle name="Normal 3 2 2 2 5 2" xfId="12237"/>
    <cellStyle name="Normal 3 2 2 2 5 2 2" xfId="12238"/>
    <cellStyle name="Normal 3 2 2 2 5 3" xfId="12239"/>
    <cellStyle name="Normal 3 2 2 2 6" xfId="12240"/>
    <cellStyle name="Normal 3 2 2 2 6 2" xfId="12241"/>
    <cellStyle name="Normal 3 2 2 2 7" xfId="12242"/>
    <cellStyle name="Normal 3 2 2 2 7 2" xfId="12243"/>
    <cellStyle name="Normal 3 2 2 2 8" xfId="12244"/>
    <cellStyle name="Normal 3 2 2 2 9" xfId="12245"/>
    <cellStyle name="Normal 3 2 2 3" xfId="12246"/>
    <cellStyle name="Normal 3 2 2 3 2" xfId="12247"/>
    <cellStyle name="Normal 3 2 2 3 2 2" xfId="12248"/>
    <cellStyle name="Normal 3 2 2 3 2 2 2" xfId="12249"/>
    <cellStyle name="Normal 3 2 2 3 2 2 2 2" xfId="12250"/>
    <cellStyle name="Normal 3 2 2 3 2 2 3" xfId="12251"/>
    <cellStyle name="Normal 3 2 2 3 2 3" xfId="12252"/>
    <cellStyle name="Normal 3 2 2 3 2 3 2" xfId="12253"/>
    <cellStyle name="Normal 3 2 2 3 2 4" xfId="12254"/>
    <cellStyle name="Normal 3 2 2 3 3" xfId="12255"/>
    <cellStyle name="Normal 3 2 2 3 3 2" xfId="12256"/>
    <cellStyle name="Normal 3 2 2 3 3 2 2" xfId="12257"/>
    <cellStyle name="Normal 3 2 2 3 3 3" xfId="12258"/>
    <cellStyle name="Normal 3 2 2 3 4" xfId="12259"/>
    <cellStyle name="Normal 3 2 2 3 4 2" xfId="12260"/>
    <cellStyle name="Normal 3 2 2 3 5" xfId="12261"/>
    <cellStyle name="Normal 3 2 2 3 6" xfId="12262"/>
    <cellStyle name="Normal 3 2 2 3 7" xfId="12263"/>
    <cellStyle name="Normal 3 2 2 4" xfId="12264"/>
    <cellStyle name="Normal 3 2 2 4 2" xfId="12265"/>
    <cellStyle name="Normal 3 2 2 4 2 2" xfId="12266"/>
    <cellStyle name="Normal 3 2 2 4 2 2 2" xfId="12267"/>
    <cellStyle name="Normal 3 2 2 4 2 3" xfId="12268"/>
    <cellStyle name="Normal 3 2 2 4 3" xfId="12269"/>
    <cellStyle name="Normal 3 2 2 4 3 2" xfId="12270"/>
    <cellStyle name="Normal 3 2 2 4 4" xfId="12271"/>
    <cellStyle name="Normal 3 2 2 5" xfId="12272"/>
    <cellStyle name="Normal 3 2 2 5 2" xfId="12273"/>
    <cellStyle name="Normal 3 2 2 5 2 2" xfId="12274"/>
    <cellStyle name="Normal 3 2 2 5 2 2 2" xfId="12275"/>
    <cellStyle name="Normal 3 2 2 5 2 3" xfId="12276"/>
    <cellStyle name="Normal 3 2 2 5 3" xfId="12277"/>
    <cellStyle name="Normal 3 2 2 5 3 2" xfId="12278"/>
    <cellStyle name="Normal 3 2 2 5 4" xfId="12279"/>
    <cellStyle name="Normal 3 2 2 6" xfId="12280"/>
    <cellStyle name="Normal 3 2 2 6 2" xfId="12281"/>
    <cellStyle name="Normal 3 2 2 7" xfId="12282"/>
    <cellStyle name="Normal 3 2 2 7 2" xfId="12283"/>
    <cellStyle name="Normal 3 2 2 7 2 2" xfId="12284"/>
    <cellStyle name="Normal 3 2 2 7 3" xfId="12285"/>
    <cellStyle name="Normal 3 2 2 8" xfId="12286"/>
    <cellStyle name="Normal 3 2 2 8 2" xfId="12287"/>
    <cellStyle name="Normal 3 2 2 9" xfId="12288"/>
    <cellStyle name="Normal 3 2 2 9 2" xfId="12289"/>
    <cellStyle name="Normal 3 2 3" xfId="528"/>
    <cellStyle name="Normal 3 2 3 10" xfId="12290"/>
    <cellStyle name="Normal 3 2 3 11" xfId="12291"/>
    <cellStyle name="Normal 3 2 3 2" xfId="12292"/>
    <cellStyle name="Normal 3 2 3 2 2" xfId="12293"/>
    <cellStyle name="Normal 3 2 3 2 2 2" xfId="12294"/>
    <cellStyle name="Normal 3 2 3 2 2 2 2" xfId="12295"/>
    <cellStyle name="Normal 3 2 3 2 2 2 2 2" xfId="12296"/>
    <cellStyle name="Normal 3 2 3 2 2 2 3" xfId="12297"/>
    <cellStyle name="Normal 3 2 3 2 2 3" xfId="12298"/>
    <cellStyle name="Normal 3 2 3 2 2 3 2" xfId="12299"/>
    <cellStyle name="Normal 3 2 3 2 2 4" xfId="12300"/>
    <cellStyle name="Normal 3 2 3 2 3" xfId="12301"/>
    <cellStyle name="Normal 3 2 3 2 3 2" xfId="12302"/>
    <cellStyle name="Normal 3 2 3 2 3 2 2" xfId="12303"/>
    <cellStyle name="Normal 3 2 3 2 3 3" xfId="12304"/>
    <cellStyle name="Normal 3 2 3 2 4" xfId="12305"/>
    <cellStyle name="Normal 3 2 3 2 4 2" xfId="12306"/>
    <cellStyle name="Normal 3 2 3 2 5" xfId="12307"/>
    <cellStyle name="Normal 3 2 3 2 6" xfId="12308"/>
    <cellStyle name="Normal 3 2 3 2 7" xfId="12309"/>
    <cellStyle name="Normal 3 2 3 3" xfId="12310"/>
    <cellStyle name="Normal 3 2 3 3 2" xfId="12311"/>
    <cellStyle name="Normal 3 2 3 3 2 2" xfId="12312"/>
    <cellStyle name="Normal 3 2 3 3 2 2 2" xfId="12313"/>
    <cellStyle name="Normal 3 2 3 3 2 3" xfId="12314"/>
    <cellStyle name="Normal 3 2 3 3 3" xfId="12315"/>
    <cellStyle name="Normal 3 2 3 3 3 2" xfId="12316"/>
    <cellStyle name="Normal 3 2 3 3 4" xfId="12317"/>
    <cellStyle name="Normal 3 2 3 4" xfId="12318"/>
    <cellStyle name="Normal 3 2 3 4 2" xfId="12319"/>
    <cellStyle name="Normal 3 2 3 4 2 2" xfId="12320"/>
    <cellStyle name="Normal 3 2 3 4 2 2 2" xfId="12321"/>
    <cellStyle name="Normal 3 2 3 4 2 3" xfId="12322"/>
    <cellStyle name="Normal 3 2 3 4 3" xfId="12323"/>
    <cellStyle name="Normal 3 2 3 4 3 2" xfId="12324"/>
    <cellStyle name="Normal 3 2 3 4 4" xfId="12325"/>
    <cellStyle name="Normal 3 2 3 5" xfId="12326"/>
    <cellStyle name="Normal 3 2 3 5 2" xfId="12327"/>
    <cellStyle name="Normal 3 2 3 6" xfId="12328"/>
    <cellStyle name="Normal 3 2 3 6 2" xfId="12329"/>
    <cellStyle name="Normal 3 2 3 6 2 2" xfId="12330"/>
    <cellStyle name="Normal 3 2 3 6 3" xfId="12331"/>
    <cellStyle name="Normal 3 2 3 7" xfId="12332"/>
    <cellStyle name="Normal 3 2 3 7 2" xfId="12333"/>
    <cellStyle name="Normal 3 2 3 8" xfId="12334"/>
    <cellStyle name="Normal 3 2 3 8 2" xfId="12335"/>
    <cellStyle name="Normal 3 2 3 9" xfId="12336"/>
    <cellStyle name="Normal 3 2 4" xfId="12337"/>
    <cellStyle name="Normal 3 2 4 10" xfId="12338"/>
    <cellStyle name="Normal 3 2 4 2" xfId="12339"/>
    <cellStyle name="Normal 3 2 4 2 2" xfId="12340"/>
    <cellStyle name="Normal 3 2 4 2 2 2" xfId="12341"/>
    <cellStyle name="Normal 3 2 4 2 2 2 2" xfId="12342"/>
    <cellStyle name="Normal 3 2 4 2 2 2 2 2" xfId="12343"/>
    <cellStyle name="Normal 3 2 4 2 2 2 3" xfId="12344"/>
    <cellStyle name="Normal 3 2 4 2 2 3" xfId="12345"/>
    <cellStyle name="Normal 3 2 4 2 2 3 2" xfId="12346"/>
    <cellStyle name="Normal 3 2 4 2 2 4" xfId="12347"/>
    <cellStyle name="Normal 3 2 4 2 3" xfId="12348"/>
    <cellStyle name="Normal 3 2 4 2 3 2" xfId="12349"/>
    <cellStyle name="Normal 3 2 4 2 3 2 2" xfId="12350"/>
    <cellStyle name="Normal 3 2 4 2 3 3" xfId="12351"/>
    <cellStyle name="Normal 3 2 4 2 4" xfId="12352"/>
    <cellStyle name="Normal 3 2 4 2 4 2" xfId="12353"/>
    <cellStyle name="Normal 3 2 4 2 5" xfId="12354"/>
    <cellStyle name="Normal 3 2 4 2 6" xfId="12355"/>
    <cellStyle name="Normal 3 2 4 2 7" xfId="12356"/>
    <cellStyle name="Normal 3 2 4 3" xfId="12357"/>
    <cellStyle name="Normal 3 2 4 3 2" xfId="12358"/>
    <cellStyle name="Normal 3 2 4 3 2 2" xfId="12359"/>
    <cellStyle name="Normal 3 2 4 3 2 2 2" xfId="12360"/>
    <cellStyle name="Normal 3 2 4 3 2 3" xfId="12361"/>
    <cellStyle name="Normal 3 2 4 3 3" xfId="12362"/>
    <cellStyle name="Normal 3 2 4 3 3 2" xfId="12363"/>
    <cellStyle name="Normal 3 2 4 3 4" xfId="12364"/>
    <cellStyle name="Normal 3 2 4 4" xfId="12365"/>
    <cellStyle name="Normal 3 2 4 4 2" xfId="12366"/>
    <cellStyle name="Normal 3 2 4 4 2 2" xfId="12367"/>
    <cellStyle name="Normal 3 2 4 4 2 2 2" xfId="12368"/>
    <cellStyle name="Normal 3 2 4 4 2 3" xfId="12369"/>
    <cellStyle name="Normal 3 2 4 4 3" xfId="12370"/>
    <cellStyle name="Normal 3 2 4 4 3 2" xfId="12371"/>
    <cellStyle name="Normal 3 2 4 4 4" xfId="12372"/>
    <cellStyle name="Normal 3 2 4 5" xfId="12373"/>
    <cellStyle name="Normal 3 2 4 5 2" xfId="12374"/>
    <cellStyle name="Normal 3 2 4 5 2 2" xfId="12375"/>
    <cellStyle name="Normal 3 2 4 5 3" xfId="12376"/>
    <cellStyle name="Normal 3 2 4 6" xfId="12377"/>
    <cellStyle name="Normal 3 2 4 6 2" xfId="12378"/>
    <cellStyle name="Normal 3 2 4 7" xfId="12379"/>
    <cellStyle name="Normal 3 2 4 7 2" xfId="12380"/>
    <cellStyle name="Normal 3 2 4 8" xfId="12381"/>
    <cellStyle name="Normal 3 2 4 9" xfId="12382"/>
    <cellStyle name="Normal 3 3" xfId="529"/>
    <cellStyle name="Normal 3 3 2" xfId="530"/>
    <cellStyle name="Normal 3 3 2 2" xfId="12383"/>
    <cellStyle name="Normal 3 3 2 2 2" xfId="12384"/>
    <cellStyle name="Normal 3 3 2 3" xfId="12385"/>
    <cellStyle name="Normal 3 3 3" xfId="531"/>
    <cellStyle name="Normal 3 3 3 2" xfId="12386"/>
    <cellStyle name="Normal 3 3 4" xfId="12387"/>
    <cellStyle name="Normal 3 3 4 2" xfId="12388"/>
    <cellStyle name="Normal 3 3 5" xfId="12389"/>
    <cellStyle name="Normal 3 4" xfId="532"/>
    <cellStyle name="Normal 3 4 2" xfId="12390"/>
    <cellStyle name="Normal 3 4 2 2" xfId="12391"/>
    <cellStyle name="Normal 3 4 3" xfId="12392"/>
    <cellStyle name="Normal 3 4 3 2" xfId="12393"/>
    <cellStyle name="Normal 3 4 4" xfId="12394"/>
    <cellStyle name="Normal 3 5" xfId="533"/>
    <cellStyle name="Normal 3 5 2" xfId="12395"/>
    <cellStyle name="Normal 3 5 2 2" xfId="12396"/>
    <cellStyle name="Normal 3 5 3" xfId="12397"/>
    <cellStyle name="Normal 3 5 3 2" xfId="12398"/>
    <cellStyle name="Normal 3 5 4" xfId="12399"/>
    <cellStyle name="Normal 3 6" xfId="534"/>
    <cellStyle name="Normal 3 6 2" xfId="12400"/>
    <cellStyle name="Normal 3 7" xfId="535"/>
    <cellStyle name="Normal 3 7 2" xfId="12401"/>
    <cellStyle name="Normal 3 7 2 2" xfId="12402"/>
    <cellStyle name="Normal 3 7 2 3" xfId="15741"/>
    <cellStyle name="Normal 3 7 3" xfId="12403"/>
    <cellStyle name="Normal 3 7 3 2" xfId="12404"/>
    <cellStyle name="Normal 3 7 4" xfId="12405"/>
    <cellStyle name="Normal 3 8" xfId="536"/>
    <cellStyle name="Normal 3 8 2" xfId="1123"/>
    <cellStyle name="Normal 3 8 2 2" xfId="12406"/>
    <cellStyle name="Normal 3 8 2 3" xfId="16442"/>
    <cellStyle name="Normal 3 8 2 3 2" xfId="26158"/>
    <cellStyle name="Normal 3 8 2 3 2 2" xfId="45912"/>
    <cellStyle name="Normal 3 8 2 3 3" xfId="36268"/>
    <cellStyle name="Normal 3 8 2 4" xfId="21348"/>
    <cellStyle name="Normal 3 8 2 4 2" xfId="41103"/>
    <cellStyle name="Normal 3 8 2 5" xfId="31459"/>
    <cellStyle name="Normal 3 8 3" xfId="12407"/>
    <cellStyle name="Normal 3 8 3 2" xfId="12408"/>
    <cellStyle name="Normal 3 8 4" xfId="12409"/>
    <cellStyle name="Normal 3 8 5" xfId="15742"/>
    <cellStyle name="Normal 3 8 5 2" xfId="20582"/>
    <cellStyle name="Normal 3 8 5 2 2" xfId="30295"/>
    <cellStyle name="Normal 3 8 5 2 2 2" xfId="50048"/>
    <cellStyle name="Normal 3 8 5 2 3" xfId="40404"/>
    <cellStyle name="Normal 3 8 5 3" xfId="25483"/>
    <cellStyle name="Normal 3 8 5 3 2" xfId="45237"/>
    <cellStyle name="Normal 3 8 5 4" xfId="35593"/>
    <cellStyle name="Normal 3 8 6" xfId="16012"/>
    <cellStyle name="Normal 3 8 6 2" xfId="25728"/>
    <cellStyle name="Normal 3 8 6 2 2" xfId="45482"/>
    <cellStyle name="Normal 3 8 6 3" xfId="35838"/>
    <cellStyle name="Normal 3 8 7" xfId="20915"/>
    <cellStyle name="Normal 3 8 7 2" xfId="40673"/>
    <cellStyle name="Normal 3 8 8" xfId="30730"/>
    <cellStyle name="Normal 3 8 8 2" xfId="50472"/>
    <cellStyle name="Normal 3 8 9" xfId="31026"/>
    <cellStyle name="Normal 3 9" xfId="12410"/>
    <cellStyle name="Normal 3 9 2" xfId="12411"/>
    <cellStyle name="Normal 3 9 3" xfId="15743"/>
    <cellStyle name="Normal 3 9 4" xfId="30729"/>
    <cellStyle name="Normal 30" xfId="537"/>
    <cellStyle name="Normal 30 10" xfId="12412"/>
    <cellStyle name="Normal 30 2" xfId="12413"/>
    <cellStyle name="Normal 30 2 2" xfId="12414"/>
    <cellStyle name="Normal 30 3" xfId="12415"/>
    <cellStyle name="Normal 30 3 2" xfId="12416"/>
    <cellStyle name="Normal 30 4" xfId="12417"/>
    <cellStyle name="Normal 30 4 2" xfId="12418"/>
    <cellStyle name="Normal 30 5" xfId="12419"/>
    <cellStyle name="Normal 30 5 2" xfId="12420"/>
    <cellStyle name="Normal 30 6" xfId="12421"/>
    <cellStyle name="Normal 30 6 2" xfId="12422"/>
    <cellStyle name="Normal 30 7" xfId="12423"/>
    <cellStyle name="Normal 30 7 2" xfId="12424"/>
    <cellStyle name="Normal 30 8" xfId="12425"/>
    <cellStyle name="Normal 30 8 2" xfId="12426"/>
    <cellStyle name="Normal 30 9" xfId="12427"/>
    <cellStyle name="Normal 30 9 2" xfId="12428"/>
    <cellStyle name="Normal 31" xfId="538"/>
    <cellStyle name="Normal 31 2" xfId="12429"/>
    <cellStyle name="Normal 31 2 2" xfId="12430"/>
    <cellStyle name="Normal 31 3" xfId="12431"/>
    <cellStyle name="Normal 31 3 2" xfId="12432"/>
    <cellStyle name="Normal 31 4" xfId="12433"/>
    <cellStyle name="Normal 31 4 2" xfId="12434"/>
    <cellStyle name="Normal 31 5" xfId="12435"/>
    <cellStyle name="Normal 31 5 2" xfId="12436"/>
    <cellStyle name="Normal 31 6" xfId="12437"/>
    <cellStyle name="Normal 32" xfId="539"/>
    <cellStyle name="Normal 32 2" xfId="12438"/>
    <cellStyle name="Normal 32 2 2" xfId="12439"/>
    <cellStyle name="Normal 32 3" xfId="12440"/>
    <cellStyle name="Normal 32 3 2" xfId="12441"/>
    <cellStyle name="Normal 32 4" xfId="12442"/>
    <cellStyle name="Normal 32 4 2" xfId="12443"/>
    <cellStyle name="Normal 32 5" xfId="12444"/>
    <cellStyle name="Normal 32 5 2" xfId="12445"/>
    <cellStyle name="Normal 32 6" xfId="12446"/>
    <cellStyle name="Normal 33" xfId="540"/>
    <cellStyle name="Normal 33 2" xfId="1124"/>
    <cellStyle name="Normal 33 2 2" xfId="12447"/>
    <cellStyle name="Normal 33 3" xfId="12448"/>
    <cellStyle name="Normal 33 3 2" xfId="12449"/>
    <cellStyle name="Normal 33 4" xfId="12450"/>
    <cellStyle name="Normal 33 4 2" xfId="12451"/>
    <cellStyle name="Normal 33 5" xfId="12452"/>
    <cellStyle name="Normal 33 5 2" xfId="12453"/>
    <cellStyle name="Normal 33 6" xfId="12454"/>
    <cellStyle name="Normal 33 7" xfId="30731"/>
    <cellStyle name="Normal 33 7 2" xfId="50473"/>
    <cellStyle name="Normal 34" xfId="541"/>
    <cellStyle name="Normal 34 2" xfId="12455"/>
    <cellStyle name="Normal 34 2 2" xfId="12456"/>
    <cellStyle name="Normal 34 3" xfId="12457"/>
    <cellStyle name="Normal 34 3 2" xfId="12458"/>
    <cellStyle name="Normal 34 4" xfId="12459"/>
    <cellStyle name="Normal 34 4 2" xfId="12460"/>
    <cellStyle name="Normal 34 5" xfId="12461"/>
    <cellStyle name="Normal 34 5 2" xfId="12462"/>
    <cellStyle name="Normal 34 6" xfId="12463"/>
    <cellStyle name="Normal 35" xfId="542"/>
    <cellStyle name="Normal 35 2" xfId="1125"/>
    <cellStyle name="Normal 35 2 2" xfId="12464"/>
    <cellStyle name="Normal 35 2 2 2" xfId="12465"/>
    <cellStyle name="Normal 35 2 3" xfId="12466"/>
    <cellStyle name="Normal 35 2 3 2" xfId="12467"/>
    <cellStyle name="Normal 35 2 4" xfId="12468"/>
    <cellStyle name="Normal 35 3" xfId="12469"/>
    <cellStyle name="Normal 35 3 2" xfId="12470"/>
    <cellStyle name="Normal 35 4" xfId="12471"/>
    <cellStyle name="Normal 35 4 2" xfId="12472"/>
    <cellStyle name="Normal 35 5" xfId="12473"/>
    <cellStyle name="Normal 35 5 2" xfId="12474"/>
    <cellStyle name="Normal 35 6" xfId="12475"/>
    <cellStyle name="Normal 35 6 2" xfId="12476"/>
    <cellStyle name="Normal 35 7" xfId="12477"/>
    <cellStyle name="Normal 35 7 2" xfId="12478"/>
    <cellStyle name="Normal 35 8" xfId="12479"/>
    <cellStyle name="Normal 35 9" xfId="30732"/>
    <cellStyle name="Normal 36" xfId="1126"/>
    <cellStyle name="Normal 36 10" xfId="21349"/>
    <cellStyle name="Normal 36 10 2" xfId="41104"/>
    <cellStyle name="Normal 36 11" xfId="31460"/>
    <cellStyle name="Normal 36 2" xfId="12480"/>
    <cellStyle name="Normal 36 2 2" xfId="12481"/>
    <cellStyle name="Normal 36 2 2 2" xfId="12482"/>
    <cellStyle name="Normal 36 2 3" xfId="12483"/>
    <cellStyle name="Normal 36 2 3 2" xfId="12484"/>
    <cellStyle name="Normal 36 2 4" xfId="12485"/>
    <cellStyle name="Normal 36 3" xfId="12486"/>
    <cellStyle name="Normal 36 3 2" xfId="12487"/>
    <cellStyle name="Normal 36 4" xfId="12488"/>
    <cellStyle name="Normal 36 4 2" xfId="12489"/>
    <cellStyle name="Normal 36 5" xfId="12490"/>
    <cellStyle name="Normal 36 5 2" xfId="12491"/>
    <cellStyle name="Normal 36 6" xfId="12492"/>
    <cellStyle name="Normal 36 6 2" xfId="12493"/>
    <cellStyle name="Normal 36 7" xfId="12494"/>
    <cellStyle name="Normal 36 7 2" xfId="12495"/>
    <cellStyle name="Normal 36 8" xfId="12496"/>
    <cellStyle name="Normal 36 9" xfId="16443"/>
    <cellStyle name="Normal 36 9 2" xfId="26159"/>
    <cellStyle name="Normal 36 9 2 2" xfId="45913"/>
    <cellStyle name="Normal 36 9 3" xfId="36269"/>
    <cellStyle name="Normal 37" xfId="1127"/>
    <cellStyle name="Normal 37 2" xfId="12497"/>
    <cellStyle name="Normal 37 2 2" xfId="12498"/>
    <cellStyle name="Normal 37 3" xfId="12499"/>
    <cellStyle name="Normal 37 3 2" xfId="12500"/>
    <cellStyle name="Normal 37 4" xfId="12501"/>
    <cellStyle name="Normal 37 4 2" xfId="12502"/>
    <cellStyle name="Normal 37 5" xfId="12503"/>
    <cellStyle name="Normal 37 5 2" xfId="12504"/>
    <cellStyle name="Normal 37 6" xfId="16444"/>
    <cellStyle name="Normal 37 6 2" xfId="26160"/>
    <cellStyle name="Normal 37 6 2 2" xfId="45914"/>
    <cellStyle name="Normal 37 6 3" xfId="36270"/>
    <cellStyle name="Normal 37 7" xfId="21350"/>
    <cellStyle name="Normal 37 7 2" xfId="41105"/>
    <cellStyle name="Normal 37 8" xfId="31461"/>
    <cellStyle name="Normal 38" xfId="1128"/>
    <cellStyle name="Normal 38 2" xfId="12505"/>
    <cellStyle name="Normal 38 2 2" xfId="12506"/>
    <cellStyle name="Normal 38 3" xfId="12507"/>
    <cellStyle name="Normal 38 3 2" xfId="12508"/>
    <cellStyle name="Normal 38 4" xfId="12509"/>
    <cellStyle name="Normal 38 4 2" xfId="12510"/>
    <cellStyle name="Normal 38 5" xfId="12511"/>
    <cellStyle name="Normal 38 5 2" xfId="12512"/>
    <cellStyle name="Normal 38 6" xfId="12513"/>
    <cellStyle name="Normal 38 7" xfId="16445"/>
    <cellStyle name="Normal 38 7 2" xfId="26161"/>
    <cellStyle name="Normal 38 7 2 2" xfId="45915"/>
    <cellStyle name="Normal 38 7 3" xfId="36271"/>
    <cellStyle name="Normal 38 8" xfId="21351"/>
    <cellStyle name="Normal 38 8 2" xfId="41106"/>
    <cellStyle name="Normal 38 9" xfId="31462"/>
    <cellStyle name="Normal 39" xfId="12514"/>
    <cellStyle name="Normal 39 2" xfId="12515"/>
    <cellStyle name="Normal 39 2 2" xfId="12516"/>
    <cellStyle name="Normal 39 3" xfId="12517"/>
    <cellStyle name="Normal 39 3 2" xfId="12518"/>
    <cellStyle name="Normal 39 4" xfId="12519"/>
    <cellStyle name="Normal 39 4 2" xfId="12520"/>
    <cellStyle name="Normal 39 5" xfId="12521"/>
    <cellStyle name="Normal 39 5 2" xfId="12522"/>
    <cellStyle name="Normal 39 6" xfId="12523"/>
    <cellStyle name="Normal 4" xfId="1129"/>
    <cellStyle name="Normal 4 10" xfId="20613"/>
    <cellStyle name="Normal 4 2" xfId="543"/>
    <cellStyle name="Normal 4 2 2" xfId="544"/>
    <cellStyle name="Normal 4 2 2 2" xfId="12524"/>
    <cellStyle name="Normal 4 2 3" xfId="12525"/>
    <cellStyle name="Normal 4 3" xfId="545"/>
    <cellStyle name="Normal 4 3 2" xfId="12526"/>
    <cellStyle name="Normal 4 4" xfId="546"/>
    <cellStyle name="Normal 4 4 2" xfId="12527"/>
    <cellStyle name="Normal 4 5" xfId="547"/>
    <cellStyle name="Normal 4 5 2" xfId="12528"/>
    <cellStyle name="Normal 4 6" xfId="548"/>
    <cellStyle name="Normal 4 6 2" xfId="12529"/>
    <cellStyle name="Normal 4 6 2 2" xfId="12530"/>
    <cellStyle name="Normal 4 6 3" xfId="12531"/>
    <cellStyle name="Normal 4 6 3 2" xfId="12532"/>
    <cellStyle name="Normal 4 6 4" xfId="12533"/>
    <cellStyle name="Normal 4 7" xfId="12534"/>
    <cellStyle name="Normal 4 7 2" xfId="12535"/>
    <cellStyle name="Normal 4 7 3" xfId="30733"/>
    <cellStyle name="Normal 4 8" xfId="12536"/>
    <cellStyle name="Normal 4 8 2" xfId="12537"/>
    <cellStyle name="Normal 4 9" xfId="12538"/>
    <cellStyle name="Normal 40" xfId="12539"/>
    <cellStyle name="Normal 40 2" xfId="12540"/>
    <cellStyle name="Normal 40 2 2" xfId="12541"/>
    <cellStyle name="Normal 40 3" xfId="12542"/>
    <cellStyle name="Normal 40 3 2" xfId="12543"/>
    <cellStyle name="Normal 40 4" xfId="12544"/>
    <cellStyle name="Normal 40 4 2" xfId="12545"/>
    <cellStyle name="Normal 40 5" xfId="12546"/>
    <cellStyle name="Normal 40 5 2" xfId="12547"/>
    <cellStyle name="Normal 40 6" xfId="12548"/>
    <cellStyle name="Normal 40 6 2" xfId="12549"/>
    <cellStyle name="Normal 40 7" xfId="12550"/>
    <cellStyle name="Normal 40 7 2" xfId="12551"/>
    <cellStyle name="Normal 40 8" xfId="12552"/>
    <cellStyle name="Normal 41" xfId="12553"/>
    <cellStyle name="Normal 41 10" xfId="12554"/>
    <cellStyle name="Normal 41 10 2" xfId="12555"/>
    <cellStyle name="Normal 41 10 2 2" xfId="12556"/>
    <cellStyle name="Normal 41 10 2 2 2" xfId="12557"/>
    <cellStyle name="Normal 41 10 2 3" xfId="12558"/>
    <cellStyle name="Normal 41 10 3" xfId="12559"/>
    <cellStyle name="Normal 41 10 3 2" xfId="12560"/>
    <cellStyle name="Normal 41 10 4" xfId="12561"/>
    <cellStyle name="Normal 41 11" xfId="12562"/>
    <cellStyle name="Normal 41 11 2" xfId="12563"/>
    <cellStyle name="Normal 41 11 2 2" xfId="12564"/>
    <cellStyle name="Normal 41 11 3" xfId="12565"/>
    <cellStyle name="Normal 41 12" xfId="12566"/>
    <cellStyle name="Normal 41 12 2" xfId="12567"/>
    <cellStyle name="Normal 41 13" xfId="12568"/>
    <cellStyle name="Normal 41 13 2" xfId="12569"/>
    <cellStyle name="Normal 41 14" xfId="12570"/>
    <cellStyle name="Normal 41 15" xfId="12571"/>
    <cellStyle name="Normal 41 16" xfId="12572"/>
    <cellStyle name="Normal 41 2" xfId="12573"/>
    <cellStyle name="Normal 41 2 2" xfId="12574"/>
    <cellStyle name="Normal 41 3" xfId="12575"/>
    <cellStyle name="Normal 41 3 2" xfId="12576"/>
    <cellStyle name="Normal 41 4" xfId="12577"/>
    <cellStyle name="Normal 41 4 2" xfId="12578"/>
    <cellStyle name="Normal 41 5" xfId="12579"/>
    <cellStyle name="Normal 41 5 2" xfId="12580"/>
    <cellStyle name="Normal 41 6" xfId="12581"/>
    <cellStyle name="Normal 41 6 2" xfId="12582"/>
    <cellStyle name="Normal 41 7" xfId="12583"/>
    <cellStyle name="Normal 41 7 2" xfId="12584"/>
    <cellStyle name="Normal 41 8" xfId="12585"/>
    <cellStyle name="Normal 41 8 2" xfId="12586"/>
    <cellStyle name="Normal 41 8 2 2" xfId="12587"/>
    <cellStyle name="Normal 41 8 2 2 2" xfId="12588"/>
    <cellStyle name="Normal 41 8 2 2 2 2" xfId="12589"/>
    <cellStyle name="Normal 41 8 2 2 3" xfId="12590"/>
    <cellStyle name="Normal 41 8 2 3" xfId="12591"/>
    <cellStyle name="Normal 41 8 2 3 2" xfId="12592"/>
    <cellStyle name="Normal 41 8 2 4" xfId="12593"/>
    <cellStyle name="Normal 41 8 3" xfId="12594"/>
    <cellStyle name="Normal 41 8 3 2" xfId="12595"/>
    <cellStyle name="Normal 41 8 3 2 2" xfId="12596"/>
    <cellStyle name="Normal 41 8 3 3" xfId="12597"/>
    <cellStyle name="Normal 41 8 4" xfId="12598"/>
    <cellStyle name="Normal 41 8 4 2" xfId="12599"/>
    <cellStyle name="Normal 41 8 5" xfId="12600"/>
    <cellStyle name="Normal 41 8 6" xfId="12601"/>
    <cellStyle name="Normal 41 8 7" xfId="12602"/>
    <cellStyle name="Normal 41 9" xfId="12603"/>
    <cellStyle name="Normal 41 9 2" xfId="12604"/>
    <cellStyle name="Normal 41 9 2 2" xfId="12605"/>
    <cellStyle name="Normal 41 9 2 2 2" xfId="12606"/>
    <cellStyle name="Normal 41 9 2 3" xfId="12607"/>
    <cellStyle name="Normal 41 9 3" xfId="12608"/>
    <cellStyle name="Normal 41 9 3 2" xfId="12609"/>
    <cellStyle name="Normal 41 9 4" xfId="12610"/>
    <cellStyle name="Normal 42" xfId="12611"/>
    <cellStyle name="Normal 42 10" xfId="12612"/>
    <cellStyle name="Normal 42 10 2" xfId="12613"/>
    <cellStyle name="Normal 42 10 2 2" xfId="12614"/>
    <cellStyle name="Normal 42 10 2 2 2" xfId="12615"/>
    <cellStyle name="Normal 42 10 2 3" xfId="12616"/>
    <cellStyle name="Normal 42 10 3" xfId="12617"/>
    <cellStyle name="Normal 42 10 3 2" xfId="12618"/>
    <cellStyle name="Normal 42 10 4" xfId="12619"/>
    <cellStyle name="Normal 42 11" xfId="12620"/>
    <cellStyle name="Normal 42 11 2" xfId="12621"/>
    <cellStyle name="Normal 42 11 2 2" xfId="12622"/>
    <cellStyle name="Normal 42 11 3" xfId="12623"/>
    <cellStyle name="Normal 42 12" xfId="12624"/>
    <cellStyle name="Normal 42 12 2" xfId="12625"/>
    <cellStyle name="Normal 42 13" xfId="12626"/>
    <cellStyle name="Normal 42 13 2" xfId="12627"/>
    <cellStyle name="Normal 42 14" xfId="12628"/>
    <cellStyle name="Normal 42 15" xfId="12629"/>
    <cellStyle name="Normal 42 16" xfId="12630"/>
    <cellStyle name="Normal 42 2" xfId="12631"/>
    <cellStyle name="Normal 42 2 2" xfId="12632"/>
    <cellStyle name="Normal 42 3" xfId="12633"/>
    <cellStyle name="Normal 42 3 2" xfId="12634"/>
    <cellStyle name="Normal 42 4" xfId="12635"/>
    <cellStyle name="Normal 42 4 2" xfId="12636"/>
    <cellStyle name="Normal 42 5" xfId="12637"/>
    <cellStyle name="Normal 42 5 2" xfId="12638"/>
    <cellStyle name="Normal 42 6" xfId="12639"/>
    <cellStyle name="Normal 42 6 2" xfId="12640"/>
    <cellStyle name="Normal 42 7" xfId="12641"/>
    <cellStyle name="Normal 42 7 2" xfId="12642"/>
    <cellStyle name="Normal 42 8" xfId="12643"/>
    <cellStyle name="Normal 42 8 2" xfId="12644"/>
    <cellStyle name="Normal 42 8 2 2" xfId="12645"/>
    <cellStyle name="Normal 42 8 2 2 2" xfId="12646"/>
    <cellStyle name="Normal 42 8 2 2 2 2" xfId="12647"/>
    <cellStyle name="Normal 42 8 2 2 3" xfId="12648"/>
    <cellStyle name="Normal 42 8 2 3" xfId="12649"/>
    <cellStyle name="Normal 42 8 2 3 2" xfId="12650"/>
    <cellStyle name="Normal 42 8 2 4" xfId="12651"/>
    <cellStyle name="Normal 42 8 3" xfId="12652"/>
    <cellStyle name="Normal 42 8 3 2" xfId="12653"/>
    <cellStyle name="Normal 42 8 3 2 2" xfId="12654"/>
    <cellStyle name="Normal 42 8 3 3" xfId="12655"/>
    <cellStyle name="Normal 42 8 4" xfId="12656"/>
    <cellStyle name="Normal 42 8 4 2" xfId="12657"/>
    <cellStyle name="Normal 42 8 5" xfId="12658"/>
    <cellStyle name="Normal 42 8 6" xfId="12659"/>
    <cellStyle name="Normal 42 8 7" xfId="12660"/>
    <cellStyle name="Normal 42 9" xfId="12661"/>
    <cellStyle name="Normal 42 9 2" xfId="12662"/>
    <cellStyle name="Normal 42 9 2 2" xfId="12663"/>
    <cellStyle name="Normal 42 9 2 2 2" xfId="12664"/>
    <cellStyle name="Normal 42 9 2 3" xfId="12665"/>
    <cellStyle name="Normal 42 9 3" xfId="12666"/>
    <cellStyle name="Normal 42 9 3 2" xfId="12667"/>
    <cellStyle name="Normal 42 9 4" xfId="12668"/>
    <cellStyle name="Normal 43" xfId="12669"/>
    <cellStyle name="Normal 43 2" xfId="12670"/>
    <cellStyle name="Normal 43 2 2" xfId="12671"/>
    <cellStyle name="Normal 43 3" xfId="12672"/>
    <cellStyle name="Normal 43 3 2" xfId="12673"/>
    <cellStyle name="Normal 43 4" xfId="12674"/>
    <cellStyle name="Normal 43 4 2" xfId="12675"/>
    <cellStyle name="Normal 43 5" xfId="12676"/>
    <cellStyle name="Normal 43 5 2" xfId="12677"/>
    <cellStyle name="Normal 43 6" xfId="12678"/>
    <cellStyle name="Normal 43 6 2" xfId="12679"/>
    <cellStyle name="Normal 43 7" xfId="12680"/>
    <cellStyle name="Normal 44" xfId="12681"/>
    <cellStyle name="Normal 44 2" xfId="12682"/>
    <cellStyle name="Normal 44 2 2" xfId="12683"/>
    <cellStyle name="Normal 44 3" xfId="12684"/>
    <cellStyle name="Normal 44 3 2" xfId="12685"/>
    <cellStyle name="Normal 44 4" xfId="12686"/>
    <cellStyle name="Normal 44 4 2" xfId="12687"/>
    <cellStyle name="Normal 44 5" xfId="12688"/>
    <cellStyle name="Normal 44 5 2" xfId="12689"/>
    <cellStyle name="Normal 44 6" xfId="12690"/>
    <cellStyle name="Normal 44 6 2" xfId="12691"/>
    <cellStyle name="Normal 44 7" xfId="12692"/>
    <cellStyle name="Normal 44 7 2" xfId="12693"/>
    <cellStyle name="Normal 44 8" xfId="12694"/>
    <cellStyle name="Normal 45" xfId="12695"/>
    <cellStyle name="Normal 45 2" xfId="12696"/>
    <cellStyle name="Normal 45 2 2" xfId="12697"/>
    <cellStyle name="Normal 45 3" xfId="12698"/>
    <cellStyle name="Normal 45 3 2" xfId="12699"/>
    <cellStyle name="Normal 45 4" xfId="12700"/>
    <cellStyle name="Normal 45 4 2" xfId="12701"/>
    <cellStyle name="Normal 45 5" xfId="12702"/>
    <cellStyle name="Normal 45 5 2" xfId="12703"/>
    <cellStyle name="Normal 45 6" xfId="12704"/>
    <cellStyle name="Normal 45 6 2" xfId="12705"/>
    <cellStyle name="Normal 45 7" xfId="12706"/>
    <cellStyle name="Normal 45 7 2" xfId="12707"/>
    <cellStyle name="Normal 45 8" xfId="12708"/>
    <cellStyle name="Normal 46" xfId="12709"/>
    <cellStyle name="Normal 46 2" xfId="12710"/>
    <cellStyle name="Normal 46 2 2" xfId="12711"/>
    <cellStyle name="Normal 46 3" xfId="12712"/>
    <cellStyle name="Normal 46 3 2" xfId="12713"/>
    <cellStyle name="Normal 46 4" xfId="12714"/>
    <cellStyle name="Normal 46 4 2" xfId="12715"/>
    <cellStyle name="Normal 46 5" xfId="12716"/>
    <cellStyle name="Normal 46 5 2" xfId="12717"/>
    <cellStyle name="Normal 46 6" xfId="12718"/>
    <cellStyle name="Normal 46 6 2" xfId="12719"/>
    <cellStyle name="Normal 46 7" xfId="12720"/>
    <cellStyle name="Normal 46 7 2" xfId="12721"/>
    <cellStyle name="Normal 46 8" xfId="12722"/>
    <cellStyle name="Normal 47" xfId="12723"/>
    <cellStyle name="Normal 47 2" xfId="12724"/>
    <cellStyle name="Normal 47 2 2" xfId="12725"/>
    <cellStyle name="Normal 47 3" xfId="12726"/>
    <cellStyle name="Normal 47 3 2" xfId="12727"/>
    <cellStyle name="Normal 47 4" xfId="12728"/>
    <cellStyle name="Normal 47 4 2" xfId="12729"/>
    <cellStyle name="Normal 47 5" xfId="12730"/>
    <cellStyle name="Normal 47 5 2" xfId="12731"/>
    <cellStyle name="Normal 47 6" xfId="12732"/>
    <cellStyle name="Normal 47 6 2" xfId="12733"/>
    <cellStyle name="Normal 47 7" xfId="12734"/>
    <cellStyle name="Normal 47 7 2" xfId="12735"/>
    <cellStyle name="Normal 47 8" xfId="12736"/>
    <cellStyle name="Normal 48" xfId="12737"/>
    <cellStyle name="Normal 48 2" xfId="12738"/>
    <cellStyle name="Normal 48 2 2" xfId="12739"/>
    <cellStyle name="Normal 48 3" xfId="12740"/>
    <cellStyle name="Normal 48 3 2" xfId="12741"/>
    <cellStyle name="Normal 48 4" xfId="12742"/>
    <cellStyle name="Normal 48 4 2" xfId="12743"/>
    <cellStyle name="Normal 48 5" xfId="12744"/>
    <cellStyle name="Normal 48 5 2" xfId="12745"/>
    <cellStyle name="Normal 48 6" xfId="12746"/>
    <cellStyle name="Normal 48 6 2" xfId="12747"/>
    <cellStyle name="Normal 48 7" xfId="12748"/>
    <cellStyle name="Normal 48 7 2" xfId="12749"/>
    <cellStyle name="Normal 49" xfId="12750"/>
    <cellStyle name="Normal 49 2" xfId="12751"/>
    <cellStyle name="Normal 49 2 2" xfId="12752"/>
    <cellStyle name="Normal 49 3" xfId="12753"/>
    <cellStyle name="Normal 49 3 2" xfId="12754"/>
    <cellStyle name="Normal 49 4" xfId="12755"/>
    <cellStyle name="Normal 49 4 2" xfId="12756"/>
    <cellStyle name="Normal 49 5" xfId="12757"/>
    <cellStyle name="Normal 49 5 2" xfId="12758"/>
    <cellStyle name="Normal 49 6" xfId="12759"/>
    <cellStyle name="Normal 49 6 2" xfId="12760"/>
    <cellStyle name="Normal 49 7" xfId="12761"/>
    <cellStyle name="Normal 49 7 2" xfId="12762"/>
    <cellStyle name="Normal 5" xfId="549"/>
    <cellStyle name="Normal 5 10" xfId="20621"/>
    <cellStyle name="Normal 5 11" xfId="50536"/>
    <cellStyle name="Normal 5 12" xfId="50538"/>
    <cellStyle name="Normal 5 2" xfId="550"/>
    <cellStyle name="Normal 5 2 2" xfId="551"/>
    <cellStyle name="Normal 5 2 2 2" xfId="12763"/>
    <cellStyle name="Normal 5 2 2 3" xfId="12764"/>
    <cellStyle name="Normal 5 2 2 3 2" xfId="12765"/>
    <cellStyle name="Normal 5 2 3" xfId="552"/>
    <cellStyle name="Normal 5 2 3 2" xfId="12766"/>
    <cellStyle name="Normal 5 2 3 2 2" xfId="12767"/>
    <cellStyle name="Normal 5 2 3 3" xfId="12768"/>
    <cellStyle name="Normal 5 2 3 3 2" xfId="12769"/>
    <cellStyle name="Normal 5 2 3 4" xfId="12770"/>
    <cellStyle name="Normal 5 2 4" xfId="12771"/>
    <cellStyle name="Normal 5 2 4 2" xfId="12772"/>
    <cellStyle name="Normal 5 2 4 2 2" xfId="12773"/>
    <cellStyle name="Normal 5 2 4 3" xfId="12774"/>
    <cellStyle name="Normal 5 2 4 4" xfId="12775"/>
    <cellStyle name="Normal 5 2 4 4 2" xfId="12776"/>
    <cellStyle name="Normal 5 2 5" xfId="12777"/>
    <cellStyle name="Normal 5 2 5 2" xfId="12778"/>
    <cellStyle name="Normal 5 3" xfId="553"/>
    <cellStyle name="Normal 5 3 2" xfId="554"/>
    <cellStyle name="Normal 5 3 2 2" xfId="12779"/>
    <cellStyle name="Normal 5 3 3" xfId="1130"/>
    <cellStyle name="Normal 5 3 3 2" xfId="12780"/>
    <cellStyle name="Normal 5 3 4" xfId="12781"/>
    <cellStyle name="Normal 5 4" xfId="555"/>
    <cellStyle name="Normal 5 4 2" xfId="556"/>
    <cellStyle name="Normal 5 4 2 2" xfId="12782"/>
    <cellStyle name="Normal 5 4 2 2 2" xfId="12783"/>
    <cellStyle name="Normal 5 4 2 3" xfId="12784"/>
    <cellStyle name="Normal 5 4 2 4" xfId="12785"/>
    <cellStyle name="Normal 5 4 2 4 2" xfId="12786"/>
    <cellStyle name="Normal 5 4 3" xfId="557"/>
    <cellStyle name="Normal 5 4 3 2" xfId="1131"/>
    <cellStyle name="Normal 5 4 3 2 2" xfId="12787"/>
    <cellStyle name="Normal 5 4 3 2 2 2" xfId="12788"/>
    <cellStyle name="Normal 5 4 3 2 3" xfId="12789"/>
    <cellStyle name="Normal 5 4 3 2 4" xfId="16446"/>
    <cellStyle name="Normal 5 4 3 2 4 2" xfId="26162"/>
    <cellStyle name="Normal 5 4 3 2 4 2 2" xfId="45916"/>
    <cellStyle name="Normal 5 4 3 2 4 3" xfId="36272"/>
    <cellStyle name="Normal 5 4 3 2 5" xfId="21352"/>
    <cellStyle name="Normal 5 4 3 2 5 2" xfId="41107"/>
    <cellStyle name="Normal 5 4 3 2 6" xfId="31463"/>
    <cellStyle name="Normal 5 4 3 3" xfId="1132"/>
    <cellStyle name="Normal 5 4 3 3 2" xfId="12790"/>
    <cellStyle name="Normal 5 4 3 3 3" xfId="16447"/>
    <cellStyle name="Normal 5 4 3 3 3 2" xfId="26163"/>
    <cellStyle name="Normal 5 4 3 3 3 2 2" xfId="45917"/>
    <cellStyle name="Normal 5 4 3 3 3 3" xfId="36273"/>
    <cellStyle name="Normal 5 4 3 3 4" xfId="21353"/>
    <cellStyle name="Normal 5 4 3 3 4 2" xfId="41108"/>
    <cellStyle name="Normal 5 4 3 3 5" xfId="31464"/>
    <cellStyle name="Normal 5 4 3 4" xfId="12791"/>
    <cellStyle name="Normal 5 4 3 5" xfId="15744"/>
    <cellStyle name="Normal 5 4 3 5 2" xfId="20583"/>
    <cellStyle name="Normal 5 4 3 5 2 2" xfId="30296"/>
    <cellStyle name="Normal 5 4 3 5 2 2 2" xfId="50049"/>
    <cellStyle name="Normal 5 4 3 5 2 3" xfId="40405"/>
    <cellStyle name="Normal 5 4 3 5 3" xfId="25484"/>
    <cellStyle name="Normal 5 4 3 5 3 2" xfId="45238"/>
    <cellStyle name="Normal 5 4 3 5 4" xfId="35594"/>
    <cellStyle name="Normal 5 4 3 6" xfId="16014"/>
    <cellStyle name="Normal 5 4 3 6 2" xfId="25730"/>
    <cellStyle name="Normal 5 4 3 6 2 2" xfId="45484"/>
    <cellStyle name="Normal 5 4 3 6 3" xfId="35840"/>
    <cellStyle name="Normal 5 4 3 7" xfId="20917"/>
    <cellStyle name="Normal 5 4 3 7 2" xfId="40675"/>
    <cellStyle name="Normal 5 4 3 8" xfId="30736"/>
    <cellStyle name="Normal 5 4 3 8 2" xfId="50475"/>
    <cellStyle name="Normal 5 4 3 9" xfId="31028"/>
    <cellStyle name="Normal 5 4 4" xfId="1133"/>
    <cellStyle name="Normal 5 4 4 2" xfId="12792"/>
    <cellStyle name="Normal 5 4 4 3" xfId="15745"/>
    <cellStyle name="Normal 5 4 4 3 2" xfId="20584"/>
    <cellStyle name="Normal 5 4 4 3 2 2" xfId="30297"/>
    <cellStyle name="Normal 5 4 4 3 2 2 2" xfId="50050"/>
    <cellStyle name="Normal 5 4 4 3 2 3" xfId="40406"/>
    <cellStyle name="Normal 5 4 4 3 3" xfId="25485"/>
    <cellStyle name="Normal 5 4 4 3 3 2" xfId="45239"/>
    <cellStyle name="Normal 5 4 4 3 4" xfId="35595"/>
    <cellStyle name="Normal 5 4 4 4" xfId="16448"/>
    <cellStyle name="Normal 5 4 4 4 2" xfId="26164"/>
    <cellStyle name="Normal 5 4 4 4 2 2" xfId="45918"/>
    <cellStyle name="Normal 5 4 4 4 3" xfId="36274"/>
    <cellStyle name="Normal 5 4 4 5" xfId="21354"/>
    <cellStyle name="Normal 5 4 4 5 2" xfId="41109"/>
    <cellStyle name="Normal 5 4 4 6" xfId="30737"/>
    <cellStyle name="Normal 5 4 4 6 2" xfId="50476"/>
    <cellStyle name="Normal 5 4 4 7" xfId="31465"/>
    <cellStyle name="Normal 5 4 5" xfId="1134"/>
    <cellStyle name="Normal 5 4 5 2" xfId="12793"/>
    <cellStyle name="Normal 5 4 5 2 2" xfId="12794"/>
    <cellStyle name="Normal 5 4 5 2 2 2" xfId="12795"/>
    <cellStyle name="Normal 5 4 5 2 3" xfId="12796"/>
    <cellStyle name="Normal 5 4 5 3" xfId="12797"/>
    <cellStyle name="Normal 5 4 5 3 2" xfId="12798"/>
    <cellStyle name="Normal 5 4 5 4" xfId="12799"/>
    <cellStyle name="Normal 5 4 5 5" xfId="16449"/>
    <cellStyle name="Normal 5 4 5 5 2" xfId="26165"/>
    <cellStyle name="Normal 5 4 5 5 2 2" xfId="45919"/>
    <cellStyle name="Normal 5 4 5 5 3" xfId="36275"/>
    <cellStyle name="Normal 5 4 5 6" xfId="21355"/>
    <cellStyle name="Normal 5 4 5 6 2" xfId="41110"/>
    <cellStyle name="Normal 5 4 5 7" xfId="31466"/>
    <cellStyle name="Normal 5 4 6" xfId="16013"/>
    <cellStyle name="Normal 5 4 6 2" xfId="25729"/>
    <cellStyle name="Normal 5 4 6 2 2" xfId="45483"/>
    <cellStyle name="Normal 5 4 6 3" xfId="35839"/>
    <cellStyle name="Normal 5 4 7" xfId="20916"/>
    <cellStyle name="Normal 5 4 7 2" xfId="40674"/>
    <cellStyle name="Normal 5 4 8" xfId="30735"/>
    <cellStyle name="Normal 5 4 8 2" xfId="50474"/>
    <cellStyle name="Normal 5 4 9" xfId="31027"/>
    <cellStyle name="Normal 5 5" xfId="558"/>
    <cellStyle name="Normal 5 5 2" xfId="1135"/>
    <cellStyle name="Normal 5 5 2 2" xfId="12800"/>
    <cellStyle name="Normal 5 5 2 2 2" xfId="12801"/>
    <cellStyle name="Normal 5 5 2 3" xfId="12802"/>
    <cellStyle name="Normal 5 5 2 4" xfId="15746"/>
    <cellStyle name="Normal 5 5 3" xfId="1136"/>
    <cellStyle name="Normal 5 6" xfId="1137"/>
    <cellStyle name="Normal 5 6 2" xfId="12803"/>
    <cellStyle name="Normal 5 6 3" xfId="16450"/>
    <cellStyle name="Normal 5 6 3 2" xfId="26166"/>
    <cellStyle name="Normal 5 6 3 2 2" xfId="45920"/>
    <cellStyle name="Normal 5 6 3 3" xfId="36276"/>
    <cellStyle name="Normal 5 6 4" xfId="21356"/>
    <cellStyle name="Normal 5 6 4 2" xfId="41111"/>
    <cellStyle name="Normal 5 6 5" xfId="30734"/>
    <cellStyle name="Normal 5 6 6" xfId="31467"/>
    <cellStyle name="Normal 5 7" xfId="12804"/>
    <cellStyle name="Normal 5 7 2" xfId="12805"/>
    <cellStyle name="Normal 5 8" xfId="12806"/>
    <cellStyle name="Normal 5 8 2" xfId="12807"/>
    <cellStyle name="Normal 5 9" xfId="12808"/>
    <cellStyle name="Normal 5 9 2" xfId="12809"/>
    <cellStyle name="Normal 50" xfId="12810"/>
    <cellStyle name="Normal 50 2" xfId="12811"/>
    <cellStyle name="Normal 50 2 2" xfId="12812"/>
    <cellStyle name="Normal 50 3" xfId="12813"/>
    <cellStyle name="Normal 50 3 2" xfId="12814"/>
    <cellStyle name="Normal 50 4" xfId="12815"/>
    <cellStyle name="Normal 50 4 2" xfId="12816"/>
    <cellStyle name="Normal 50 5" xfId="12817"/>
    <cellStyle name="Normal 50 5 2" xfId="12818"/>
    <cellStyle name="Normal 50 6" xfId="12819"/>
    <cellStyle name="Normal 50 6 2" xfId="12820"/>
    <cellStyle name="Normal 50 7" xfId="12821"/>
    <cellStyle name="Normal 50 7 2" xfId="12822"/>
    <cellStyle name="Normal 51" xfId="15314"/>
    <cellStyle name="Normal 51 10" xfId="25114"/>
    <cellStyle name="Normal 51 10 2" xfId="44868"/>
    <cellStyle name="Normal 51 11" xfId="35224"/>
    <cellStyle name="Normal 51 2" xfId="12823"/>
    <cellStyle name="Normal 51 2 2" xfId="12824"/>
    <cellStyle name="Normal 51 3" xfId="12825"/>
    <cellStyle name="Normal 51 3 2" xfId="12826"/>
    <cellStyle name="Normal 51 4" xfId="12827"/>
    <cellStyle name="Normal 51 4 2" xfId="12828"/>
    <cellStyle name="Normal 51 5" xfId="12829"/>
    <cellStyle name="Normal 51 5 2" xfId="12830"/>
    <cellStyle name="Normal 51 6" xfId="12831"/>
    <cellStyle name="Normal 51 6 2" xfId="12832"/>
    <cellStyle name="Normal 51 7" xfId="12833"/>
    <cellStyle name="Normal 51 7 2" xfId="12834"/>
    <cellStyle name="Normal 51 8" xfId="15315"/>
    <cellStyle name="Normal 51 9" xfId="20212"/>
    <cellStyle name="Normal 51 9 2" xfId="29926"/>
    <cellStyle name="Normal 51 9 2 2" xfId="49679"/>
    <cellStyle name="Normal 51 9 3" xfId="40035"/>
    <cellStyle name="Normal 52" xfId="15747"/>
    <cellStyle name="Normal 52 2" xfId="12835"/>
    <cellStyle name="Normal 52 2 2" xfId="12836"/>
    <cellStyle name="Normal 52 3" xfId="12837"/>
    <cellStyle name="Normal 52 3 2" xfId="12838"/>
    <cellStyle name="Normal 52 4" xfId="12839"/>
    <cellStyle name="Normal 52 4 2" xfId="12840"/>
    <cellStyle name="Normal 52 5" xfId="12841"/>
    <cellStyle name="Normal 52 5 2" xfId="12842"/>
    <cellStyle name="Normal 52 6" xfId="12843"/>
    <cellStyle name="Normal 52 6 2" xfId="12844"/>
    <cellStyle name="Normal 52 7" xfId="12845"/>
    <cellStyle name="Normal 52 7 2" xfId="12846"/>
    <cellStyle name="Normal 53" xfId="15784"/>
    <cellStyle name="Normal 53 2" xfId="12847"/>
    <cellStyle name="Normal 53 2 2" xfId="12848"/>
    <cellStyle name="Normal 53 3" xfId="12849"/>
    <cellStyle name="Normal 53 3 2" xfId="12850"/>
    <cellStyle name="Normal 53 4" xfId="12851"/>
    <cellStyle name="Normal 53 4 2" xfId="12852"/>
    <cellStyle name="Normal 53 5" xfId="12853"/>
    <cellStyle name="Normal 53 5 2" xfId="12854"/>
    <cellStyle name="Normal 53 6" xfId="12855"/>
    <cellStyle name="Normal 53 6 2" xfId="12856"/>
    <cellStyle name="Normal 53 7" xfId="12857"/>
    <cellStyle name="Normal 53 7 2" xfId="12858"/>
    <cellStyle name="Normal 54" xfId="15783"/>
    <cellStyle name="Normal 54 2" xfId="12859"/>
    <cellStyle name="Normal 54 2 2" xfId="12860"/>
    <cellStyle name="Normal 54 3" xfId="12861"/>
    <cellStyle name="Normal 54 3 2" xfId="12862"/>
    <cellStyle name="Normal 54 4" xfId="12863"/>
    <cellStyle name="Normal 54 4 2" xfId="12864"/>
    <cellStyle name="Normal 54 5" xfId="12865"/>
    <cellStyle name="Normal 54 5 2" xfId="12866"/>
    <cellStyle name="Normal 54 6" xfId="12867"/>
    <cellStyle name="Normal 54 6 2" xfId="12868"/>
    <cellStyle name="Normal 54 7" xfId="12869"/>
    <cellStyle name="Normal 54 7 2" xfId="12870"/>
    <cellStyle name="Normal 55" xfId="12871"/>
    <cellStyle name="Normal 55 2" xfId="12872"/>
    <cellStyle name="Normal 55 2 2" xfId="12873"/>
    <cellStyle name="Normal 55 3" xfId="12874"/>
    <cellStyle name="Normal 55 3 2" xfId="12875"/>
    <cellStyle name="Normal 55 4" xfId="12876"/>
    <cellStyle name="Normal 55 4 2" xfId="12877"/>
    <cellStyle name="Normal 55 5" xfId="12878"/>
    <cellStyle name="Normal 55 5 2" xfId="12879"/>
    <cellStyle name="Normal 55 6" xfId="12880"/>
    <cellStyle name="Normal 55 6 2" xfId="12881"/>
    <cellStyle name="Normal 55 7" xfId="12882"/>
    <cellStyle name="Normal 55 7 2" xfId="12883"/>
    <cellStyle name="Normal 55 8" xfId="12884"/>
    <cellStyle name="Normal 56" xfId="12885"/>
    <cellStyle name="Normal 56 2" xfId="12886"/>
    <cellStyle name="Normal 56 2 2" xfId="12887"/>
    <cellStyle name="Normal 56 3" xfId="12888"/>
    <cellStyle name="Normal 56 3 2" xfId="12889"/>
    <cellStyle name="Normal 56 4" xfId="12890"/>
    <cellStyle name="Normal 56 4 2" xfId="12891"/>
    <cellStyle name="Normal 56 5" xfId="12892"/>
    <cellStyle name="Normal 56 5 2" xfId="12893"/>
    <cellStyle name="Normal 56 6" xfId="12894"/>
    <cellStyle name="Normal 56 6 2" xfId="12895"/>
    <cellStyle name="Normal 56 7" xfId="12896"/>
    <cellStyle name="Normal 56 7 2" xfId="12897"/>
    <cellStyle name="Normal 56 8" xfId="12898"/>
    <cellStyle name="Normal 57" xfId="12899"/>
    <cellStyle name="Normal 57 2" xfId="12900"/>
    <cellStyle name="Normal 57 2 2" xfId="12901"/>
    <cellStyle name="Normal 57 3" xfId="12902"/>
    <cellStyle name="Normal 57 3 2" xfId="12903"/>
    <cellStyle name="Normal 57 4" xfId="12904"/>
    <cellStyle name="Normal 57 4 2" xfId="12905"/>
    <cellStyle name="Normal 57 5" xfId="12906"/>
    <cellStyle name="Normal 57 5 2" xfId="12907"/>
    <cellStyle name="Normal 57 6" xfId="12908"/>
    <cellStyle name="Normal 57 6 2" xfId="12909"/>
    <cellStyle name="Normal 57 7" xfId="12910"/>
    <cellStyle name="Normal 57 7 2" xfId="12911"/>
    <cellStyle name="Normal 57 8" xfId="12912"/>
    <cellStyle name="Normal 58" xfId="12913"/>
    <cellStyle name="Normal 58 2" xfId="12914"/>
    <cellStyle name="Normal 58 2 2" xfId="12915"/>
    <cellStyle name="Normal 58 3" xfId="12916"/>
    <cellStyle name="Normal 58 3 2" xfId="12917"/>
    <cellStyle name="Normal 58 4" xfId="12918"/>
    <cellStyle name="Normal 58 4 2" xfId="12919"/>
    <cellStyle name="Normal 58 5" xfId="12920"/>
    <cellStyle name="Normal 58 5 2" xfId="12921"/>
    <cellStyle name="Normal 58 6" xfId="12922"/>
    <cellStyle name="Normal 58 6 2" xfId="12923"/>
    <cellStyle name="Normal 58 7" xfId="12924"/>
    <cellStyle name="Normal 58 7 2" xfId="12925"/>
    <cellStyle name="Normal 58 8" xfId="12926"/>
    <cellStyle name="Normal 59" xfId="12927"/>
    <cellStyle name="Normal 59 2" xfId="12928"/>
    <cellStyle name="Normal 59 2 2" xfId="12929"/>
    <cellStyle name="Normal 59 3" xfId="12930"/>
    <cellStyle name="Normal 59 3 2" xfId="12931"/>
    <cellStyle name="Normal 59 4" xfId="12932"/>
    <cellStyle name="Normal 59 4 2" xfId="12933"/>
    <cellStyle name="Normal 59 5" xfId="12934"/>
    <cellStyle name="Normal 59 5 2" xfId="12935"/>
    <cellStyle name="Normal 59 6" xfId="12936"/>
    <cellStyle name="Normal 59 6 2" xfId="12937"/>
    <cellStyle name="Normal 59 7" xfId="12938"/>
    <cellStyle name="Normal 59 7 2" xfId="12939"/>
    <cellStyle name="Normal 59 8" xfId="12940"/>
    <cellStyle name="Normal 6" xfId="559"/>
    <cellStyle name="Normal 6 2" xfId="560"/>
    <cellStyle name="Normal 6 2 2" xfId="12941"/>
    <cellStyle name="Normal 6 2 3" xfId="15748"/>
    <cellStyle name="Normal 6 2 4" xfId="15749"/>
    <cellStyle name="Normal 6 3" xfId="561"/>
    <cellStyle name="Normal 6 3 2" xfId="562"/>
    <cellStyle name="Normal 6 3 2 2" xfId="12942"/>
    <cellStyle name="Normal 6 3 2 2 2" xfId="12943"/>
    <cellStyle name="Normal 6 3 2 3" xfId="12944"/>
    <cellStyle name="Normal 6 3 3" xfId="1138"/>
    <cellStyle name="Normal 6 3 3 2" xfId="12945"/>
    <cellStyle name="Normal 6 4" xfId="12946"/>
    <cellStyle name="Normal 6 4 2" xfId="12947"/>
    <cellStyle name="Normal 6 4 2 2" xfId="12948"/>
    <cellStyle name="Normal 6 4 3" xfId="12949"/>
    <cellStyle name="Normal 6 4 4" xfId="12950"/>
    <cellStyle name="Normal 6 4 4 2" xfId="12951"/>
    <cellStyle name="Normal 6 5" xfId="12952"/>
    <cellStyle name="Normal 6 5 2" xfId="12953"/>
    <cellStyle name="Normal 6 6" xfId="12954"/>
    <cellStyle name="Normal 6 6 2" xfId="12955"/>
    <cellStyle name="Normal 6 7" xfId="12956"/>
    <cellStyle name="Normal 6 7 2" xfId="12957"/>
    <cellStyle name="Normal 6 8" xfId="12958"/>
    <cellStyle name="Normal 6 8 2" xfId="12959"/>
    <cellStyle name="Normal 60" xfId="12960"/>
    <cellStyle name="Normal 60 2" xfId="12961"/>
    <cellStyle name="Normal 60 2 2" xfId="12962"/>
    <cellStyle name="Normal 60 3" xfId="12963"/>
    <cellStyle name="Normal 60 3 2" xfId="12964"/>
    <cellStyle name="Normal 60 4" xfId="12965"/>
    <cellStyle name="Normal 60 4 2" xfId="12966"/>
    <cellStyle name="Normal 60 5" xfId="12967"/>
    <cellStyle name="Normal 60 5 2" xfId="12968"/>
    <cellStyle name="Normal 60 6" xfId="12969"/>
    <cellStyle name="Normal 60 6 2" xfId="12970"/>
    <cellStyle name="Normal 60 7" xfId="12971"/>
    <cellStyle name="Normal 60 7 2" xfId="12972"/>
    <cellStyle name="Normal 60 8" xfId="12973"/>
    <cellStyle name="Normal 61" xfId="12974"/>
    <cellStyle name="Normal 61 2" xfId="12975"/>
    <cellStyle name="Normal 61 2 2" xfId="12976"/>
    <cellStyle name="Normal 61 3" xfId="12977"/>
    <cellStyle name="Normal 61 3 2" xfId="12978"/>
    <cellStyle name="Normal 61 4" xfId="12979"/>
    <cellStyle name="Normal 61 4 2" xfId="12980"/>
    <cellStyle name="Normal 61 5" xfId="12981"/>
    <cellStyle name="Normal 61 5 2" xfId="12982"/>
    <cellStyle name="Normal 61 6" xfId="12983"/>
    <cellStyle name="Normal 61 6 2" xfId="12984"/>
    <cellStyle name="Normal 61 7" xfId="12985"/>
    <cellStyle name="Normal 61 7 2" xfId="12986"/>
    <cellStyle name="Normal 61 8" xfId="12987"/>
    <cellStyle name="Normal 62" xfId="12988"/>
    <cellStyle name="Normal 62 2" xfId="12989"/>
    <cellStyle name="Normal 62 2 2" xfId="12990"/>
    <cellStyle name="Normal 62 3" xfId="12991"/>
    <cellStyle name="Normal 62 3 2" xfId="12992"/>
    <cellStyle name="Normal 62 4" xfId="12993"/>
    <cellStyle name="Normal 62 4 2" xfId="12994"/>
    <cellStyle name="Normal 62 5" xfId="12995"/>
    <cellStyle name="Normal 62 5 2" xfId="12996"/>
    <cellStyle name="Normal 62 6" xfId="12997"/>
    <cellStyle name="Normal 62 6 2" xfId="12998"/>
    <cellStyle name="Normal 62 7" xfId="12999"/>
    <cellStyle name="Normal 62 7 2" xfId="13000"/>
    <cellStyle name="Normal 62 8" xfId="13001"/>
    <cellStyle name="Normal 63" xfId="13002"/>
    <cellStyle name="Normal 63 2" xfId="13003"/>
    <cellStyle name="Normal 63 2 2" xfId="13004"/>
    <cellStyle name="Normal 63 3" xfId="13005"/>
    <cellStyle name="Normal 63 3 2" xfId="13006"/>
    <cellStyle name="Normal 63 4" xfId="13007"/>
    <cellStyle name="Normal 63 4 2" xfId="13008"/>
    <cellStyle name="Normal 63 5" xfId="13009"/>
    <cellStyle name="Normal 63 5 2" xfId="13010"/>
    <cellStyle name="Normal 63 6" xfId="13011"/>
    <cellStyle name="Normal 63 6 2" xfId="13012"/>
    <cellStyle name="Normal 63 7" xfId="13013"/>
    <cellStyle name="Normal 63 7 2" xfId="13014"/>
    <cellStyle name="Normal 63 8" xfId="13015"/>
    <cellStyle name="Normal 64" xfId="13016"/>
    <cellStyle name="Normal 64 2" xfId="13017"/>
    <cellStyle name="Normal 64 2 2" xfId="13018"/>
    <cellStyle name="Normal 64 3" xfId="13019"/>
    <cellStyle name="Normal 64 3 2" xfId="13020"/>
    <cellStyle name="Normal 64 4" xfId="13021"/>
    <cellStyle name="Normal 64 4 2" xfId="13022"/>
    <cellStyle name="Normal 64 5" xfId="13023"/>
    <cellStyle name="Normal 64 5 2" xfId="13024"/>
    <cellStyle name="Normal 64 6" xfId="13025"/>
    <cellStyle name="Normal 64 6 2" xfId="13026"/>
    <cellStyle name="Normal 64 7" xfId="13027"/>
    <cellStyle name="Normal 64 7 2" xfId="13028"/>
    <cellStyle name="Normal 64 8" xfId="13029"/>
    <cellStyle name="Normal 65" xfId="13030"/>
    <cellStyle name="Normal 65 2" xfId="13031"/>
    <cellStyle name="Normal 65 2 2" xfId="13032"/>
    <cellStyle name="Normal 65 3" xfId="13033"/>
    <cellStyle name="Normal 65 3 2" xfId="13034"/>
    <cellStyle name="Normal 65 4" xfId="13035"/>
    <cellStyle name="Normal 65 4 2" xfId="13036"/>
    <cellStyle name="Normal 65 5" xfId="13037"/>
    <cellStyle name="Normal 65 5 2" xfId="13038"/>
    <cellStyle name="Normal 65 6" xfId="13039"/>
    <cellStyle name="Normal 65 6 2" xfId="13040"/>
    <cellStyle name="Normal 65 7" xfId="13041"/>
    <cellStyle name="Normal 65 7 2" xfId="13042"/>
    <cellStyle name="Normal 65 8" xfId="13043"/>
    <cellStyle name="Normal 66" xfId="13044"/>
    <cellStyle name="Normal 66 2" xfId="13045"/>
    <cellStyle name="Normal 66 2 2" xfId="13046"/>
    <cellStyle name="Normal 66 3" xfId="13047"/>
    <cellStyle name="Normal 66 3 2" xfId="13048"/>
    <cellStyle name="Normal 66 4" xfId="13049"/>
    <cellStyle name="Normal 66 4 2" xfId="13050"/>
    <cellStyle name="Normal 66 5" xfId="13051"/>
    <cellStyle name="Normal 66 5 2" xfId="13052"/>
    <cellStyle name="Normal 66 6" xfId="13053"/>
    <cellStyle name="Normal 66 6 2" xfId="13054"/>
    <cellStyle name="Normal 66 7" xfId="13055"/>
    <cellStyle name="Normal 66 7 2" xfId="13056"/>
    <cellStyle name="Normal 66 8" xfId="13057"/>
    <cellStyle name="Normal 67" xfId="13058"/>
    <cellStyle name="Normal 67 2" xfId="13059"/>
    <cellStyle name="Normal 67 2 2" xfId="13060"/>
    <cellStyle name="Normal 67 3" xfId="13061"/>
    <cellStyle name="Normal 67 3 2" xfId="13062"/>
    <cellStyle name="Normal 67 4" xfId="13063"/>
    <cellStyle name="Normal 67 4 2" xfId="13064"/>
    <cellStyle name="Normal 67 5" xfId="13065"/>
    <cellStyle name="Normal 67 5 2" xfId="13066"/>
    <cellStyle name="Normal 67 6" xfId="13067"/>
    <cellStyle name="Normal 67 6 2" xfId="13068"/>
    <cellStyle name="Normal 67 7" xfId="13069"/>
    <cellStyle name="Normal 67 7 2" xfId="13070"/>
    <cellStyle name="Normal 67 8" xfId="13071"/>
    <cellStyle name="Normal 68" xfId="13072"/>
    <cellStyle name="Normal 68 2" xfId="13073"/>
    <cellStyle name="Normal 68 2 2" xfId="13074"/>
    <cellStyle name="Normal 68 3" xfId="13075"/>
    <cellStyle name="Normal 68 3 2" xfId="13076"/>
    <cellStyle name="Normal 68 4" xfId="13077"/>
    <cellStyle name="Normal 68 4 2" xfId="13078"/>
    <cellStyle name="Normal 68 5" xfId="13079"/>
    <cellStyle name="Normal 68 5 2" xfId="13080"/>
    <cellStyle name="Normal 68 6" xfId="13081"/>
    <cellStyle name="Normal 68 6 2" xfId="13082"/>
    <cellStyle name="Normal 68 7" xfId="13083"/>
    <cellStyle name="Normal 68 7 2" xfId="13084"/>
    <cellStyle name="Normal 68 8" xfId="13085"/>
    <cellStyle name="Normal 69" xfId="15788"/>
    <cellStyle name="Normal 69 2" xfId="13086"/>
    <cellStyle name="Normal 69 2 2" xfId="13087"/>
    <cellStyle name="Normal 69 3" xfId="13088"/>
    <cellStyle name="Normal 69 3 2" xfId="13089"/>
    <cellStyle name="Normal 69 4" xfId="13090"/>
    <cellStyle name="Normal 69 4 2" xfId="13091"/>
    <cellStyle name="Normal 69 5" xfId="13092"/>
    <cellStyle name="Normal 69 5 2" xfId="13093"/>
    <cellStyle name="Normal 69 6" xfId="13094"/>
    <cellStyle name="Normal 69 6 2" xfId="13095"/>
    <cellStyle name="Normal 69 7" xfId="13096"/>
    <cellStyle name="Normal 69 7 2" xfId="13097"/>
    <cellStyle name="Normal 7" xfId="563"/>
    <cellStyle name="Normal 7 10" xfId="20620"/>
    <cellStyle name="Normal 7 11" xfId="20211"/>
    <cellStyle name="Normal 7 2" xfId="564"/>
    <cellStyle name="Normal 7 2 2" xfId="13098"/>
    <cellStyle name="Normal 7 3" xfId="13099"/>
    <cellStyle name="Normal 7 3 2" xfId="13100"/>
    <cellStyle name="Normal 7 4" xfId="13101"/>
    <cellStyle name="Normal 7 4 2" xfId="13102"/>
    <cellStyle name="Normal 7 5" xfId="13103"/>
    <cellStyle name="Normal 7 5 2" xfId="13104"/>
    <cellStyle name="Normal 7 6" xfId="13105"/>
    <cellStyle name="Normal 7 6 2" xfId="13106"/>
    <cellStyle name="Normal 7 7" xfId="13107"/>
    <cellStyle name="Normal 7 7 2" xfId="13108"/>
    <cellStyle name="Normal 7 8" xfId="13109"/>
    <cellStyle name="Normal 7 8 2" xfId="13110"/>
    <cellStyle name="Normal 7 9" xfId="13111"/>
    <cellStyle name="Normal 70" xfId="15789"/>
    <cellStyle name="Normal 70 2" xfId="13112"/>
    <cellStyle name="Normal 70 2 2" xfId="13113"/>
    <cellStyle name="Normal 70 3" xfId="13114"/>
    <cellStyle name="Normal 70 3 2" xfId="13115"/>
    <cellStyle name="Normal 70 4" xfId="13116"/>
    <cellStyle name="Normal 70 4 2" xfId="13117"/>
    <cellStyle name="Normal 70 5" xfId="13118"/>
    <cellStyle name="Normal 70 5 2" xfId="13119"/>
    <cellStyle name="Normal 70 6" xfId="13120"/>
    <cellStyle name="Normal 70 6 2" xfId="13121"/>
    <cellStyle name="Normal 70 7" xfId="13122"/>
    <cellStyle name="Normal 70 7 2" xfId="13123"/>
    <cellStyle name="Normal 71" xfId="13124"/>
    <cellStyle name="Normal 71 2" xfId="13125"/>
    <cellStyle name="Normal 71 2 2" xfId="13126"/>
    <cellStyle name="Normal 71 3" xfId="13127"/>
    <cellStyle name="Normal 71 3 2" xfId="13128"/>
    <cellStyle name="Normal 71 4" xfId="13129"/>
    <cellStyle name="Normal 71 4 2" xfId="13130"/>
    <cellStyle name="Normal 71 5" xfId="13131"/>
    <cellStyle name="Normal 71 5 2" xfId="13132"/>
    <cellStyle name="Normal 71 6" xfId="13133"/>
    <cellStyle name="Normal 71 6 2" xfId="13134"/>
    <cellStyle name="Normal 71 7" xfId="13135"/>
    <cellStyle name="Normal 71 7 2" xfId="13136"/>
    <cellStyle name="Normal 71 8" xfId="13137"/>
    <cellStyle name="Normal 72" xfId="15790"/>
    <cellStyle name="Normal 72 2" xfId="13138"/>
    <cellStyle name="Normal 72 2 2" xfId="13139"/>
    <cellStyle name="Normal 72 3" xfId="13140"/>
    <cellStyle name="Normal 72 3 2" xfId="13141"/>
    <cellStyle name="Normal 72 4" xfId="13142"/>
    <cellStyle name="Normal 72 4 2" xfId="13143"/>
    <cellStyle name="Normal 72 5" xfId="13144"/>
    <cellStyle name="Normal 72 5 2" xfId="13145"/>
    <cellStyle name="Normal 72 6" xfId="13146"/>
    <cellStyle name="Normal 72 6 2" xfId="13147"/>
    <cellStyle name="Normal 72 7" xfId="13148"/>
    <cellStyle name="Normal 72 7 2" xfId="13149"/>
    <cellStyle name="Normal 73" xfId="15791"/>
    <cellStyle name="Normal 73 2" xfId="13150"/>
    <cellStyle name="Normal 73 2 2" xfId="13151"/>
    <cellStyle name="Normal 73 3" xfId="13152"/>
    <cellStyle name="Normal 73 3 2" xfId="13153"/>
    <cellStyle name="Normal 73 4" xfId="13154"/>
    <cellStyle name="Normal 73 4 2" xfId="13155"/>
    <cellStyle name="Normal 73 5" xfId="13156"/>
    <cellStyle name="Normal 73 5 2" xfId="13157"/>
    <cellStyle name="Normal 73 6" xfId="13158"/>
    <cellStyle name="Normal 73 6 2" xfId="13159"/>
    <cellStyle name="Normal 73 7" xfId="13160"/>
    <cellStyle name="Normal 73 7 2" xfId="13161"/>
    <cellStyle name="Normal 74" xfId="15792"/>
    <cellStyle name="Normal 74 2" xfId="13162"/>
    <cellStyle name="Normal 74 2 2" xfId="13163"/>
    <cellStyle name="Normal 74 3" xfId="13164"/>
    <cellStyle name="Normal 74 3 2" xfId="13165"/>
    <cellStyle name="Normal 74 4" xfId="13166"/>
    <cellStyle name="Normal 74 4 2" xfId="13167"/>
    <cellStyle name="Normal 74 5" xfId="13168"/>
    <cellStyle name="Normal 74 5 2" xfId="13169"/>
    <cellStyle name="Normal 74 6" xfId="13170"/>
    <cellStyle name="Normal 74 6 2" xfId="13171"/>
    <cellStyle name="Normal 74 7" xfId="13172"/>
    <cellStyle name="Normal 74 7 2" xfId="13173"/>
    <cellStyle name="Normal 75" xfId="13174"/>
    <cellStyle name="Normal 75 2" xfId="13175"/>
    <cellStyle name="Normal 75 2 2" xfId="13176"/>
    <cellStyle name="Normal 75 3" xfId="13177"/>
    <cellStyle name="Normal 75 3 2" xfId="13178"/>
    <cellStyle name="Normal 75 4" xfId="13179"/>
    <cellStyle name="Normal 75 4 2" xfId="13180"/>
    <cellStyle name="Normal 75 5" xfId="13181"/>
    <cellStyle name="Normal 75 5 2" xfId="13182"/>
    <cellStyle name="Normal 75 6" xfId="13183"/>
    <cellStyle name="Normal 75 6 2" xfId="13184"/>
    <cellStyle name="Normal 75 7" xfId="13185"/>
    <cellStyle name="Normal 75 7 2" xfId="13186"/>
    <cellStyle name="Normal 75 8" xfId="13187"/>
    <cellStyle name="Normal 76" xfId="15793"/>
    <cellStyle name="Normal 76 2" xfId="13188"/>
    <cellStyle name="Normal 76 2 2" xfId="13189"/>
    <cellStyle name="Normal 76 3" xfId="13190"/>
    <cellStyle name="Normal 76 3 2" xfId="13191"/>
    <cellStyle name="Normal 76 4" xfId="13192"/>
    <cellStyle name="Normal 76 4 2" xfId="13193"/>
    <cellStyle name="Normal 76 5" xfId="13194"/>
    <cellStyle name="Normal 76 5 2" xfId="13195"/>
    <cellStyle name="Normal 76 6" xfId="13196"/>
    <cellStyle name="Normal 76 6 2" xfId="13197"/>
    <cellStyle name="Normal 76 7" xfId="13198"/>
    <cellStyle name="Normal 76 7 2" xfId="13199"/>
    <cellStyle name="Normal 77" xfId="15787"/>
    <cellStyle name="Normal 77 2" xfId="13200"/>
    <cellStyle name="Normal 77 2 2" xfId="13201"/>
    <cellStyle name="Normal 77 3" xfId="13202"/>
    <cellStyle name="Normal 77 3 2" xfId="13203"/>
    <cellStyle name="Normal 77 4" xfId="13204"/>
    <cellStyle name="Normal 77 4 2" xfId="13205"/>
    <cellStyle name="Normal 77 5" xfId="13206"/>
    <cellStyle name="Normal 77 5 2" xfId="13207"/>
    <cellStyle name="Normal 77 6" xfId="13208"/>
    <cellStyle name="Normal 77 6 2" xfId="13209"/>
    <cellStyle name="Normal 77 7" xfId="13210"/>
    <cellStyle name="Normal 77 7 2" xfId="13211"/>
    <cellStyle name="Normal 78" xfId="15794"/>
    <cellStyle name="Normal 78 2" xfId="13212"/>
    <cellStyle name="Normal 78 2 2" xfId="13213"/>
    <cellStyle name="Normal 78 3" xfId="13214"/>
    <cellStyle name="Normal 78 3 2" xfId="13215"/>
    <cellStyle name="Normal 78 4" xfId="13216"/>
    <cellStyle name="Normal 78 4 2" xfId="13217"/>
    <cellStyle name="Normal 78 5" xfId="13218"/>
    <cellStyle name="Normal 78 5 2" xfId="13219"/>
    <cellStyle name="Normal 78 6" xfId="13220"/>
    <cellStyle name="Normal 78 6 2" xfId="13221"/>
    <cellStyle name="Normal 78 7" xfId="13222"/>
    <cellStyle name="Normal 78 7 2" xfId="13223"/>
    <cellStyle name="Normal 79" xfId="15786"/>
    <cellStyle name="Normal 79 2" xfId="13224"/>
    <cellStyle name="Normal 79 2 2" xfId="13225"/>
    <cellStyle name="Normal 79 3" xfId="13226"/>
    <cellStyle name="Normal 79 3 2" xfId="13227"/>
    <cellStyle name="Normal 79 4" xfId="13228"/>
    <cellStyle name="Normal 79 4 2" xfId="13229"/>
    <cellStyle name="Normal 79 5" xfId="13230"/>
    <cellStyle name="Normal 79 5 2" xfId="13231"/>
    <cellStyle name="Normal 79 6" xfId="13232"/>
    <cellStyle name="Normal 79 6 2" xfId="13233"/>
    <cellStyle name="Normal 79 7" xfId="13234"/>
    <cellStyle name="Normal 79 7 2" xfId="13235"/>
    <cellStyle name="Normal 8" xfId="565"/>
    <cellStyle name="Normal 8 10" xfId="13236"/>
    <cellStyle name="Normal 8 10 2" xfId="13237"/>
    <cellStyle name="Normal 8 10 2 2" xfId="13238"/>
    <cellStyle name="Normal 8 10 2 2 2" xfId="13239"/>
    <cellStyle name="Normal 8 10 2 2 2 2" xfId="13240"/>
    <cellStyle name="Normal 8 10 2 2 3" xfId="13241"/>
    <cellStyle name="Normal 8 10 2 3" xfId="13242"/>
    <cellStyle name="Normal 8 10 2 3 2" xfId="13243"/>
    <cellStyle name="Normal 8 10 2 4" xfId="13244"/>
    <cellStyle name="Normal 8 10 3" xfId="13245"/>
    <cellStyle name="Normal 8 10 3 2" xfId="13246"/>
    <cellStyle name="Normal 8 10 3 2 2" xfId="13247"/>
    <cellStyle name="Normal 8 10 3 3" xfId="13248"/>
    <cellStyle name="Normal 8 10 4" xfId="13249"/>
    <cellStyle name="Normal 8 10 4 2" xfId="13250"/>
    <cellStyle name="Normal 8 10 5" xfId="13251"/>
    <cellStyle name="Normal 8 10 6" xfId="13252"/>
    <cellStyle name="Normal 8 10 7" xfId="13253"/>
    <cellStyle name="Normal 8 11" xfId="13254"/>
    <cellStyle name="Normal 8 11 2" xfId="13255"/>
    <cellStyle name="Normal 8 11 2 2" xfId="13256"/>
    <cellStyle name="Normal 8 11 2 2 2" xfId="13257"/>
    <cellStyle name="Normal 8 11 2 2 2 2" xfId="13258"/>
    <cellStyle name="Normal 8 11 2 2 3" xfId="13259"/>
    <cellStyle name="Normal 8 11 2 3" xfId="13260"/>
    <cellStyle name="Normal 8 11 2 3 2" xfId="13261"/>
    <cellStyle name="Normal 8 11 2 4" xfId="13262"/>
    <cellStyle name="Normal 8 11 3" xfId="13263"/>
    <cellStyle name="Normal 8 11 3 2" xfId="13264"/>
    <cellStyle name="Normal 8 11 3 2 2" xfId="13265"/>
    <cellStyle name="Normal 8 11 3 3" xfId="13266"/>
    <cellStyle name="Normal 8 11 4" xfId="13267"/>
    <cellStyle name="Normal 8 11 4 2" xfId="13268"/>
    <cellStyle name="Normal 8 11 5" xfId="13269"/>
    <cellStyle name="Normal 8 11 6" xfId="13270"/>
    <cellStyle name="Normal 8 11 7" xfId="13271"/>
    <cellStyle name="Normal 8 12" xfId="13272"/>
    <cellStyle name="Normal 8 12 2" xfId="13273"/>
    <cellStyle name="Normal 8 12 2 2" xfId="13274"/>
    <cellStyle name="Normal 8 12 2 2 2" xfId="13275"/>
    <cellStyle name="Normal 8 12 2 3" xfId="13276"/>
    <cellStyle name="Normal 8 12 3" xfId="13277"/>
    <cellStyle name="Normal 8 12 3 2" xfId="13278"/>
    <cellStyle name="Normal 8 12 4" xfId="13279"/>
    <cellStyle name="Normal 8 13" xfId="13280"/>
    <cellStyle name="Normal 8 13 2" xfId="13281"/>
    <cellStyle name="Normal 8 13 2 2" xfId="13282"/>
    <cellStyle name="Normal 8 13 3" xfId="13283"/>
    <cellStyle name="Normal 8 14" xfId="13284"/>
    <cellStyle name="Normal 8 14 2" xfId="13285"/>
    <cellStyle name="Normal 8 15" xfId="13286"/>
    <cellStyle name="Normal 8 15 2" xfId="13287"/>
    <cellStyle name="Normal 8 16" xfId="13288"/>
    <cellStyle name="Normal 8 2" xfId="566"/>
    <cellStyle name="Normal 8 2 2" xfId="567"/>
    <cellStyle name="Normal 8 2 2 10" xfId="13289"/>
    <cellStyle name="Normal 8 2 2 11" xfId="13290"/>
    <cellStyle name="Normal 8 2 2 2" xfId="13291"/>
    <cellStyle name="Normal 8 2 2 2 2" xfId="13292"/>
    <cellStyle name="Normal 8 2 2 2 2 2" xfId="13293"/>
    <cellStyle name="Normal 8 2 2 2 2 2 2" xfId="13294"/>
    <cellStyle name="Normal 8 2 2 2 2 2 2 2" xfId="13295"/>
    <cellStyle name="Normal 8 2 2 2 2 2 3" xfId="13296"/>
    <cellStyle name="Normal 8 2 2 2 2 3" xfId="13297"/>
    <cellStyle name="Normal 8 2 2 2 2 3 2" xfId="13298"/>
    <cellStyle name="Normal 8 2 2 2 2 4" xfId="13299"/>
    <cellStyle name="Normal 8 2 2 2 3" xfId="13300"/>
    <cellStyle name="Normal 8 2 2 2 3 2" xfId="13301"/>
    <cellStyle name="Normal 8 2 2 2 3 2 2" xfId="13302"/>
    <cellStyle name="Normal 8 2 2 2 3 3" xfId="13303"/>
    <cellStyle name="Normal 8 2 2 2 4" xfId="13304"/>
    <cellStyle name="Normal 8 2 2 2 4 2" xfId="13305"/>
    <cellStyle name="Normal 8 2 2 2 5" xfId="13306"/>
    <cellStyle name="Normal 8 2 2 2 6" xfId="13307"/>
    <cellStyle name="Normal 8 2 2 2 7" xfId="13308"/>
    <cellStyle name="Normal 8 2 2 3" xfId="13309"/>
    <cellStyle name="Normal 8 2 2 3 2" xfId="13310"/>
    <cellStyle name="Normal 8 2 2 3 2 2" xfId="13311"/>
    <cellStyle name="Normal 8 2 2 3 2 2 2" xfId="13312"/>
    <cellStyle name="Normal 8 2 2 3 2 3" xfId="13313"/>
    <cellStyle name="Normal 8 2 2 3 3" xfId="13314"/>
    <cellStyle name="Normal 8 2 2 3 3 2" xfId="13315"/>
    <cellStyle name="Normal 8 2 2 3 4" xfId="13316"/>
    <cellStyle name="Normal 8 2 2 4" xfId="13317"/>
    <cellStyle name="Normal 8 2 2 4 2" xfId="13318"/>
    <cellStyle name="Normal 8 2 2 4 2 2" xfId="13319"/>
    <cellStyle name="Normal 8 2 2 4 2 2 2" xfId="13320"/>
    <cellStyle name="Normal 8 2 2 4 2 3" xfId="13321"/>
    <cellStyle name="Normal 8 2 2 4 3" xfId="13322"/>
    <cellStyle name="Normal 8 2 2 4 3 2" xfId="13323"/>
    <cellStyle name="Normal 8 2 2 4 4" xfId="13324"/>
    <cellStyle name="Normal 8 2 2 5" xfId="13325"/>
    <cellStyle name="Normal 8 2 2 5 2" xfId="13326"/>
    <cellStyle name="Normal 8 2 2 6" xfId="13327"/>
    <cellStyle name="Normal 8 2 2 6 2" xfId="13328"/>
    <cellStyle name="Normal 8 2 2 6 2 2" xfId="13329"/>
    <cellStyle name="Normal 8 2 2 6 3" xfId="13330"/>
    <cellStyle name="Normal 8 2 2 7" xfId="13331"/>
    <cellStyle name="Normal 8 2 2 7 2" xfId="13332"/>
    <cellStyle name="Normal 8 2 2 8" xfId="13333"/>
    <cellStyle name="Normal 8 2 2 8 2" xfId="13334"/>
    <cellStyle name="Normal 8 2 2 9" xfId="13335"/>
    <cellStyle name="Normal 8 2 3" xfId="568"/>
    <cellStyle name="Normal 8 2 3 10" xfId="13336"/>
    <cellStyle name="Normal 8 2 3 11" xfId="13337"/>
    <cellStyle name="Normal 8 2 3 2" xfId="13338"/>
    <cellStyle name="Normal 8 2 3 2 2" xfId="13339"/>
    <cellStyle name="Normal 8 2 3 2 2 2" xfId="13340"/>
    <cellStyle name="Normal 8 2 3 2 2 2 2" xfId="13341"/>
    <cellStyle name="Normal 8 2 3 2 2 2 2 2" xfId="13342"/>
    <cellStyle name="Normal 8 2 3 2 2 2 3" xfId="13343"/>
    <cellStyle name="Normal 8 2 3 2 2 3" xfId="13344"/>
    <cellStyle name="Normal 8 2 3 2 2 3 2" xfId="13345"/>
    <cellStyle name="Normal 8 2 3 2 2 4" xfId="13346"/>
    <cellStyle name="Normal 8 2 3 2 3" xfId="13347"/>
    <cellStyle name="Normal 8 2 3 2 3 2" xfId="13348"/>
    <cellStyle name="Normal 8 2 3 2 3 2 2" xfId="13349"/>
    <cellStyle name="Normal 8 2 3 2 3 3" xfId="13350"/>
    <cellStyle name="Normal 8 2 3 2 4" xfId="13351"/>
    <cellStyle name="Normal 8 2 3 2 4 2" xfId="13352"/>
    <cellStyle name="Normal 8 2 3 2 5" xfId="13353"/>
    <cellStyle name="Normal 8 2 3 2 6" xfId="13354"/>
    <cellStyle name="Normal 8 2 3 2 7" xfId="13355"/>
    <cellStyle name="Normal 8 2 3 3" xfId="13356"/>
    <cellStyle name="Normal 8 2 3 3 2" xfId="13357"/>
    <cellStyle name="Normal 8 2 3 3 2 2" xfId="13358"/>
    <cellStyle name="Normal 8 2 3 3 2 2 2" xfId="13359"/>
    <cellStyle name="Normal 8 2 3 3 2 3" xfId="13360"/>
    <cellStyle name="Normal 8 2 3 3 3" xfId="13361"/>
    <cellStyle name="Normal 8 2 3 3 3 2" xfId="13362"/>
    <cellStyle name="Normal 8 2 3 3 4" xfId="13363"/>
    <cellStyle name="Normal 8 2 3 4" xfId="13364"/>
    <cellStyle name="Normal 8 2 3 4 2" xfId="13365"/>
    <cellStyle name="Normal 8 2 3 4 2 2" xfId="13366"/>
    <cellStyle name="Normal 8 2 3 4 2 2 2" xfId="13367"/>
    <cellStyle name="Normal 8 2 3 4 2 3" xfId="13368"/>
    <cellStyle name="Normal 8 2 3 4 3" xfId="13369"/>
    <cellStyle name="Normal 8 2 3 4 3 2" xfId="13370"/>
    <cellStyle name="Normal 8 2 3 4 4" xfId="13371"/>
    <cellStyle name="Normal 8 2 3 5" xfId="13372"/>
    <cellStyle name="Normal 8 2 3 5 2" xfId="13373"/>
    <cellStyle name="Normal 8 2 3 6" xfId="13374"/>
    <cellStyle name="Normal 8 2 3 6 2" xfId="13375"/>
    <cellStyle name="Normal 8 2 3 6 2 2" xfId="13376"/>
    <cellStyle name="Normal 8 2 3 6 3" xfId="13377"/>
    <cellStyle name="Normal 8 2 3 7" xfId="13378"/>
    <cellStyle name="Normal 8 2 3 7 2" xfId="13379"/>
    <cellStyle name="Normal 8 2 3 8" xfId="13380"/>
    <cellStyle name="Normal 8 2 3 8 2" xfId="13381"/>
    <cellStyle name="Normal 8 2 3 9" xfId="13382"/>
    <cellStyle name="Normal 8 2 4" xfId="569"/>
    <cellStyle name="Normal 8 2 4 10" xfId="31029"/>
    <cellStyle name="Normal 8 2 4 2" xfId="570"/>
    <cellStyle name="Normal 8 2 4 2 2" xfId="1139"/>
    <cellStyle name="Normal 8 2 4 2 2 2" xfId="13383"/>
    <cellStyle name="Normal 8 2 4 2 2 2 2" xfId="13384"/>
    <cellStyle name="Normal 8 2 4 2 2 3" xfId="13385"/>
    <cellStyle name="Normal 8 2 4 2 2 4" xfId="16451"/>
    <cellStyle name="Normal 8 2 4 2 2 4 2" xfId="26167"/>
    <cellStyle name="Normal 8 2 4 2 2 4 2 2" xfId="45921"/>
    <cellStyle name="Normal 8 2 4 2 2 4 3" xfId="36277"/>
    <cellStyle name="Normal 8 2 4 2 2 5" xfId="21357"/>
    <cellStyle name="Normal 8 2 4 2 2 5 2" xfId="41112"/>
    <cellStyle name="Normal 8 2 4 2 2 6" xfId="31468"/>
    <cellStyle name="Normal 8 2 4 2 3" xfId="1140"/>
    <cellStyle name="Normal 8 2 4 2 3 2" xfId="13386"/>
    <cellStyle name="Normal 8 2 4 2 3 3" xfId="16452"/>
    <cellStyle name="Normal 8 2 4 2 3 3 2" xfId="26168"/>
    <cellStyle name="Normal 8 2 4 2 3 3 2 2" xfId="45922"/>
    <cellStyle name="Normal 8 2 4 2 3 3 3" xfId="36278"/>
    <cellStyle name="Normal 8 2 4 2 3 4" xfId="21358"/>
    <cellStyle name="Normal 8 2 4 2 3 4 2" xfId="41113"/>
    <cellStyle name="Normal 8 2 4 2 3 5" xfId="31469"/>
    <cellStyle name="Normal 8 2 4 2 4" xfId="13387"/>
    <cellStyle name="Normal 8 2 4 2 5" xfId="15751"/>
    <cellStyle name="Normal 8 2 4 2 5 2" xfId="20586"/>
    <cellStyle name="Normal 8 2 4 2 5 2 2" xfId="30299"/>
    <cellStyle name="Normal 8 2 4 2 5 2 2 2" xfId="50052"/>
    <cellStyle name="Normal 8 2 4 2 5 2 3" xfId="40408"/>
    <cellStyle name="Normal 8 2 4 2 5 3" xfId="25487"/>
    <cellStyle name="Normal 8 2 4 2 5 3 2" xfId="45241"/>
    <cellStyle name="Normal 8 2 4 2 5 4" xfId="35597"/>
    <cellStyle name="Normal 8 2 4 2 6" xfId="16016"/>
    <cellStyle name="Normal 8 2 4 2 6 2" xfId="25732"/>
    <cellStyle name="Normal 8 2 4 2 6 2 2" xfId="45486"/>
    <cellStyle name="Normal 8 2 4 2 6 3" xfId="35842"/>
    <cellStyle name="Normal 8 2 4 2 7" xfId="20919"/>
    <cellStyle name="Normal 8 2 4 2 7 2" xfId="40677"/>
    <cellStyle name="Normal 8 2 4 2 8" xfId="30739"/>
    <cellStyle name="Normal 8 2 4 2 8 2" xfId="50478"/>
    <cellStyle name="Normal 8 2 4 2 9" xfId="31030"/>
    <cellStyle name="Normal 8 2 4 3" xfId="1141"/>
    <cellStyle name="Normal 8 2 4 3 2" xfId="13388"/>
    <cellStyle name="Normal 8 2 4 3 2 2" xfId="13389"/>
    <cellStyle name="Normal 8 2 4 3 3" xfId="13390"/>
    <cellStyle name="Normal 8 2 4 3 4" xfId="16453"/>
    <cellStyle name="Normal 8 2 4 3 4 2" xfId="26169"/>
    <cellStyle name="Normal 8 2 4 3 4 2 2" xfId="45923"/>
    <cellStyle name="Normal 8 2 4 3 4 3" xfId="36279"/>
    <cellStyle name="Normal 8 2 4 3 5" xfId="21359"/>
    <cellStyle name="Normal 8 2 4 3 5 2" xfId="41114"/>
    <cellStyle name="Normal 8 2 4 3 6" xfId="31470"/>
    <cellStyle name="Normal 8 2 4 4" xfId="1142"/>
    <cellStyle name="Normal 8 2 4 4 2" xfId="13391"/>
    <cellStyle name="Normal 8 2 4 4 3" xfId="16454"/>
    <cellStyle name="Normal 8 2 4 4 3 2" xfId="26170"/>
    <cellStyle name="Normal 8 2 4 4 3 2 2" xfId="45924"/>
    <cellStyle name="Normal 8 2 4 4 3 3" xfId="36280"/>
    <cellStyle name="Normal 8 2 4 4 4" xfId="21360"/>
    <cellStyle name="Normal 8 2 4 4 4 2" xfId="41115"/>
    <cellStyle name="Normal 8 2 4 4 5" xfId="31471"/>
    <cellStyle name="Normal 8 2 4 5" xfId="13392"/>
    <cellStyle name="Normal 8 2 4 6" xfId="15750"/>
    <cellStyle name="Normal 8 2 4 6 2" xfId="20585"/>
    <cellStyle name="Normal 8 2 4 6 2 2" xfId="30298"/>
    <cellStyle name="Normal 8 2 4 6 2 2 2" xfId="50051"/>
    <cellStyle name="Normal 8 2 4 6 2 3" xfId="40407"/>
    <cellStyle name="Normal 8 2 4 6 3" xfId="25486"/>
    <cellStyle name="Normal 8 2 4 6 3 2" xfId="45240"/>
    <cellStyle name="Normal 8 2 4 6 4" xfId="35596"/>
    <cellStyle name="Normal 8 2 4 7" xfId="16015"/>
    <cellStyle name="Normal 8 2 4 7 2" xfId="25731"/>
    <cellStyle name="Normal 8 2 4 7 2 2" xfId="45485"/>
    <cellStyle name="Normal 8 2 4 7 3" xfId="35841"/>
    <cellStyle name="Normal 8 2 4 8" xfId="20918"/>
    <cellStyle name="Normal 8 2 4 8 2" xfId="40676"/>
    <cellStyle name="Normal 8 2 4 9" xfId="30738"/>
    <cellStyle name="Normal 8 2 4 9 2" xfId="50477"/>
    <cellStyle name="Normal 8 2 5" xfId="571"/>
    <cellStyle name="Normal 8 2 5 2" xfId="13393"/>
    <cellStyle name="Normal 8 2 6" xfId="13394"/>
    <cellStyle name="Normal 8 2 6 2" xfId="13395"/>
    <cellStyle name="Normal 8 3" xfId="572"/>
    <cellStyle name="Normal 8 3 10" xfId="13396"/>
    <cellStyle name="Normal 8 3 10 2" xfId="13397"/>
    <cellStyle name="Normal 8 3 10 2 2" xfId="13398"/>
    <cellStyle name="Normal 8 3 10 3" xfId="13399"/>
    <cellStyle name="Normal 8 3 11" xfId="13400"/>
    <cellStyle name="Normal 8 3 11 2" xfId="13401"/>
    <cellStyle name="Normal 8 3 12" xfId="13402"/>
    <cellStyle name="Normal 8 3 12 2" xfId="13403"/>
    <cellStyle name="Normal 8 3 13" xfId="13404"/>
    <cellStyle name="Normal 8 3 14" xfId="13405"/>
    <cellStyle name="Normal 8 3 15" xfId="13406"/>
    <cellStyle name="Normal 8 3 2" xfId="13407"/>
    <cellStyle name="Normal 8 3 2 10" xfId="13408"/>
    <cellStyle name="Normal 8 3 2 11" xfId="13409"/>
    <cellStyle name="Normal 8 3 2 2" xfId="13410"/>
    <cellStyle name="Normal 8 3 2 2 2" xfId="13411"/>
    <cellStyle name="Normal 8 3 2 2 2 2" xfId="13412"/>
    <cellStyle name="Normal 8 3 2 2 2 2 2" xfId="13413"/>
    <cellStyle name="Normal 8 3 2 2 2 2 2 2" xfId="13414"/>
    <cellStyle name="Normal 8 3 2 2 2 2 3" xfId="13415"/>
    <cellStyle name="Normal 8 3 2 2 2 3" xfId="13416"/>
    <cellStyle name="Normal 8 3 2 2 2 3 2" xfId="13417"/>
    <cellStyle name="Normal 8 3 2 2 2 4" xfId="13418"/>
    <cellStyle name="Normal 8 3 2 2 3" xfId="13419"/>
    <cellStyle name="Normal 8 3 2 2 3 2" xfId="13420"/>
    <cellStyle name="Normal 8 3 2 2 3 2 2" xfId="13421"/>
    <cellStyle name="Normal 8 3 2 2 3 3" xfId="13422"/>
    <cellStyle name="Normal 8 3 2 2 4" xfId="13423"/>
    <cellStyle name="Normal 8 3 2 2 4 2" xfId="13424"/>
    <cellStyle name="Normal 8 3 2 2 5" xfId="13425"/>
    <cellStyle name="Normal 8 3 2 2 6" xfId="13426"/>
    <cellStyle name="Normal 8 3 2 2 7" xfId="13427"/>
    <cellStyle name="Normal 8 3 2 3" xfId="13428"/>
    <cellStyle name="Normal 8 3 2 3 2" xfId="13429"/>
    <cellStyle name="Normal 8 3 2 3 2 2" xfId="13430"/>
    <cellStyle name="Normal 8 3 2 3 2 2 2" xfId="13431"/>
    <cellStyle name="Normal 8 3 2 3 2 2 2 2" xfId="13432"/>
    <cellStyle name="Normal 8 3 2 3 2 2 3" xfId="13433"/>
    <cellStyle name="Normal 8 3 2 3 2 3" xfId="13434"/>
    <cellStyle name="Normal 8 3 2 3 2 3 2" xfId="13435"/>
    <cellStyle name="Normal 8 3 2 3 2 4" xfId="13436"/>
    <cellStyle name="Normal 8 3 2 3 3" xfId="13437"/>
    <cellStyle name="Normal 8 3 2 3 3 2" xfId="13438"/>
    <cellStyle name="Normal 8 3 2 3 3 2 2" xfId="13439"/>
    <cellStyle name="Normal 8 3 2 3 3 3" xfId="13440"/>
    <cellStyle name="Normal 8 3 2 3 4" xfId="13441"/>
    <cellStyle name="Normal 8 3 2 3 4 2" xfId="13442"/>
    <cellStyle name="Normal 8 3 2 3 5" xfId="13443"/>
    <cellStyle name="Normal 8 3 2 3 6" xfId="13444"/>
    <cellStyle name="Normal 8 3 2 3 7" xfId="13445"/>
    <cellStyle name="Normal 8 3 2 4" xfId="13446"/>
    <cellStyle name="Normal 8 3 2 4 2" xfId="13447"/>
    <cellStyle name="Normal 8 3 2 4 2 2" xfId="13448"/>
    <cellStyle name="Normal 8 3 2 4 2 2 2" xfId="13449"/>
    <cellStyle name="Normal 8 3 2 4 2 2 2 2" xfId="13450"/>
    <cellStyle name="Normal 8 3 2 4 2 2 3" xfId="13451"/>
    <cellStyle name="Normal 8 3 2 4 2 3" xfId="13452"/>
    <cellStyle name="Normal 8 3 2 4 2 3 2" xfId="13453"/>
    <cellStyle name="Normal 8 3 2 4 2 4" xfId="13454"/>
    <cellStyle name="Normal 8 3 2 4 3" xfId="13455"/>
    <cellStyle name="Normal 8 3 2 4 3 2" xfId="13456"/>
    <cellStyle name="Normal 8 3 2 4 3 2 2" xfId="13457"/>
    <cellStyle name="Normal 8 3 2 4 3 3" xfId="13458"/>
    <cellStyle name="Normal 8 3 2 4 4" xfId="13459"/>
    <cellStyle name="Normal 8 3 2 4 4 2" xfId="13460"/>
    <cellStyle name="Normal 8 3 2 4 5" xfId="13461"/>
    <cellStyle name="Normal 8 3 2 4 6" xfId="13462"/>
    <cellStyle name="Normal 8 3 2 4 7" xfId="13463"/>
    <cellStyle name="Normal 8 3 2 5" xfId="13464"/>
    <cellStyle name="Normal 8 3 2 5 2" xfId="13465"/>
    <cellStyle name="Normal 8 3 2 5 2 2" xfId="13466"/>
    <cellStyle name="Normal 8 3 2 5 2 2 2" xfId="13467"/>
    <cellStyle name="Normal 8 3 2 5 2 3" xfId="13468"/>
    <cellStyle name="Normal 8 3 2 5 3" xfId="13469"/>
    <cellStyle name="Normal 8 3 2 5 3 2" xfId="13470"/>
    <cellStyle name="Normal 8 3 2 5 4" xfId="13471"/>
    <cellStyle name="Normal 8 3 2 6" xfId="13472"/>
    <cellStyle name="Normal 8 3 2 6 2" xfId="13473"/>
    <cellStyle name="Normal 8 3 2 6 2 2" xfId="13474"/>
    <cellStyle name="Normal 8 3 2 6 3" xfId="13475"/>
    <cellStyle name="Normal 8 3 2 7" xfId="13476"/>
    <cellStyle name="Normal 8 3 2 7 2" xfId="13477"/>
    <cellStyle name="Normal 8 3 2 8" xfId="13478"/>
    <cellStyle name="Normal 8 3 2 8 2" xfId="13479"/>
    <cellStyle name="Normal 8 3 2 9" xfId="13480"/>
    <cellStyle name="Normal 8 3 3" xfId="13481"/>
    <cellStyle name="Normal 8 3 3 10" xfId="13482"/>
    <cellStyle name="Normal 8 3 3 11" xfId="13483"/>
    <cellStyle name="Normal 8 3 3 2" xfId="13484"/>
    <cellStyle name="Normal 8 3 3 2 2" xfId="13485"/>
    <cellStyle name="Normal 8 3 3 2 2 2" xfId="13486"/>
    <cellStyle name="Normal 8 3 3 2 2 2 2" xfId="13487"/>
    <cellStyle name="Normal 8 3 3 2 2 2 2 2" xfId="13488"/>
    <cellStyle name="Normal 8 3 3 2 2 2 3" xfId="13489"/>
    <cellStyle name="Normal 8 3 3 2 2 3" xfId="13490"/>
    <cellStyle name="Normal 8 3 3 2 2 3 2" xfId="13491"/>
    <cellStyle name="Normal 8 3 3 2 2 4" xfId="13492"/>
    <cellStyle name="Normal 8 3 3 2 3" xfId="13493"/>
    <cellStyle name="Normal 8 3 3 2 3 2" xfId="13494"/>
    <cellStyle name="Normal 8 3 3 2 3 2 2" xfId="13495"/>
    <cellStyle name="Normal 8 3 3 2 3 3" xfId="13496"/>
    <cellStyle name="Normal 8 3 3 2 4" xfId="13497"/>
    <cellStyle name="Normal 8 3 3 2 4 2" xfId="13498"/>
    <cellStyle name="Normal 8 3 3 2 5" xfId="13499"/>
    <cellStyle name="Normal 8 3 3 2 6" xfId="13500"/>
    <cellStyle name="Normal 8 3 3 2 7" xfId="13501"/>
    <cellStyle name="Normal 8 3 3 3" xfId="13502"/>
    <cellStyle name="Normal 8 3 3 3 2" xfId="13503"/>
    <cellStyle name="Normal 8 3 3 3 2 2" xfId="13504"/>
    <cellStyle name="Normal 8 3 3 3 2 2 2" xfId="13505"/>
    <cellStyle name="Normal 8 3 3 3 2 2 2 2" xfId="13506"/>
    <cellStyle name="Normal 8 3 3 3 2 2 3" xfId="13507"/>
    <cellStyle name="Normal 8 3 3 3 2 3" xfId="13508"/>
    <cellStyle name="Normal 8 3 3 3 2 3 2" xfId="13509"/>
    <cellStyle name="Normal 8 3 3 3 2 4" xfId="13510"/>
    <cellStyle name="Normal 8 3 3 3 3" xfId="13511"/>
    <cellStyle name="Normal 8 3 3 3 3 2" xfId="13512"/>
    <cellStyle name="Normal 8 3 3 3 3 2 2" xfId="13513"/>
    <cellStyle name="Normal 8 3 3 3 3 3" xfId="13514"/>
    <cellStyle name="Normal 8 3 3 3 4" xfId="13515"/>
    <cellStyle name="Normal 8 3 3 3 4 2" xfId="13516"/>
    <cellStyle name="Normal 8 3 3 3 5" xfId="13517"/>
    <cellStyle name="Normal 8 3 3 3 6" xfId="13518"/>
    <cellStyle name="Normal 8 3 3 3 7" xfId="13519"/>
    <cellStyle name="Normal 8 3 3 4" xfId="13520"/>
    <cellStyle name="Normal 8 3 3 4 2" xfId="13521"/>
    <cellStyle name="Normal 8 3 3 4 2 2" xfId="13522"/>
    <cellStyle name="Normal 8 3 3 4 2 2 2" xfId="13523"/>
    <cellStyle name="Normal 8 3 3 4 2 2 2 2" xfId="13524"/>
    <cellStyle name="Normal 8 3 3 4 2 2 3" xfId="13525"/>
    <cellStyle name="Normal 8 3 3 4 2 3" xfId="13526"/>
    <cellStyle name="Normal 8 3 3 4 2 3 2" xfId="13527"/>
    <cellStyle name="Normal 8 3 3 4 2 4" xfId="13528"/>
    <cellStyle name="Normal 8 3 3 4 3" xfId="13529"/>
    <cellStyle name="Normal 8 3 3 4 3 2" xfId="13530"/>
    <cellStyle name="Normal 8 3 3 4 3 2 2" xfId="13531"/>
    <cellStyle name="Normal 8 3 3 4 3 3" xfId="13532"/>
    <cellStyle name="Normal 8 3 3 4 4" xfId="13533"/>
    <cellStyle name="Normal 8 3 3 4 4 2" xfId="13534"/>
    <cellStyle name="Normal 8 3 3 4 5" xfId="13535"/>
    <cellStyle name="Normal 8 3 3 4 6" xfId="13536"/>
    <cellStyle name="Normal 8 3 3 4 7" xfId="13537"/>
    <cellStyle name="Normal 8 3 3 5" xfId="13538"/>
    <cellStyle name="Normal 8 3 3 5 2" xfId="13539"/>
    <cellStyle name="Normal 8 3 3 5 2 2" xfId="13540"/>
    <cellStyle name="Normal 8 3 3 5 2 2 2" xfId="13541"/>
    <cellStyle name="Normal 8 3 3 5 2 3" xfId="13542"/>
    <cellStyle name="Normal 8 3 3 5 3" xfId="13543"/>
    <cellStyle name="Normal 8 3 3 5 3 2" xfId="13544"/>
    <cellStyle name="Normal 8 3 3 5 4" xfId="13545"/>
    <cellStyle name="Normal 8 3 3 6" xfId="13546"/>
    <cellStyle name="Normal 8 3 3 6 2" xfId="13547"/>
    <cellStyle name="Normal 8 3 3 6 2 2" xfId="13548"/>
    <cellStyle name="Normal 8 3 3 6 3" xfId="13549"/>
    <cellStyle name="Normal 8 3 3 7" xfId="13550"/>
    <cellStyle name="Normal 8 3 3 7 2" xfId="13551"/>
    <cellStyle name="Normal 8 3 3 8" xfId="13552"/>
    <cellStyle name="Normal 8 3 3 8 2" xfId="13553"/>
    <cellStyle name="Normal 8 3 3 9" xfId="13554"/>
    <cellStyle name="Normal 8 3 4" xfId="13555"/>
    <cellStyle name="Normal 8 3 4 2" xfId="13556"/>
    <cellStyle name="Normal 8 3 4 2 2" xfId="13557"/>
    <cellStyle name="Normal 8 3 4 2 2 2" xfId="13558"/>
    <cellStyle name="Normal 8 3 4 2 2 2 2" xfId="13559"/>
    <cellStyle name="Normal 8 3 4 2 2 3" xfId="13560"/>
    <cellStyle name="Normal 8 3 4 2 3" xfId="13561"/>
    <cellStyle name="Normal 8 3 4 2 3 2" xfId="13562"/>
    <cellStyle name="Normal 8 3 4 2 4" xfId="13563"/>
    <cellStyle name="Normal 8 3 4 3" xfId="13564"/>
    <cellStyle name="Normal 8 3 4 3 2" xfId="13565"/>
    <cellStyle name="Normal 8 3 4 3 2 2" xfId="13566"/>
    <cellStyle name="Normal 8 3 4 3 3" xfId="13567"/>
    <cellStyle name="Normal 8 3 4 4" xfId="13568"/>
    <cellStyle name="Normal 8 3 4 4 2" xfId="13569"/>
    <cellStyle name="Normal 8 3 4 5" xfId="13570"/>
    <cellStyle name="Normal 8 3 4 6" xfId="13571"/>
    <cellStyle name="Normal 8 3 4 7" xfId="13572"/>
    <cellStyle name="Normal 8 3 5" xfId="13573"/>
    <cellStyle name="Normal 8 3 5 2" xfId="13574"/>
    <cellStyle name="Normal 8 3 5 2 2" xfId="13575"/>
    <cellStyle name="Normal 8 3 5 2 2 2" xfId="13576"/>
    <cellStyle name="Normal 8 3 5 2 2 2 2" xfId="13577"/>
    <cellStyle name="Normal 8 3 5 2 2 3" xfId="13578"/>
    <cellStyle name="Normal 8 3 5 2 3" xfId="13579"/>
    <cellStyle name="Normal 8 3 5 2 3 2" xfId="13580"/>
    <cellStyle name="Normal 8 3 5 2 4" xfId="13581"/>
    <cellStyle name="Normal 8 3 5 3" xfId="13582"/>
    <cellStyle name="Normal 8 3 5 3 2" xfId="13583"/>
    <cellStyle name="Normal 8 3 5 3 2 2" xfId="13584"/>
    <cellStyle name="Normal 8 3 5 3 3" xfId="13585"/>
    <cellStyle name="Normal 8 3 5 4" xfId="13586"/>
    <cellStyle name="Normal 8 3 5 4 2" xfId="13587"/>
    <cellStyle name="Normal 8 3 5 5" xfId="13588"/>
    <cellStyle name="Normal 8 3 5 6" xfId="13589"/>
    <cellStyle name="Normal 8 3 5 7" xfId="13590"/>
    <cellStyle name="Normal 8 3 6" xfId="13591"/>
    <cellStyle name="Normal 8 3 6 2" xfId="13592"/>
    <cellStyle name="Normal 8 3 6 2 2" xfId="13593"/>
    <cellStyle name="Normal 8 3 6 2 2 2" xfId="13594"/>
    <cellStyle name="Normal 8 3 6 2 2 2 2" xfId="13595"/>
    <cellStyle name="Normal 8 3 6 2 2 3" xfId="13596"/>
    <cellStyle name="Normal 8 3 6 2 3" xfId="13597"/>
    <cellStyle name="Normal 8 3 6 2 3 2" xfId="13598"/>
    <cellStyle name="Normal 8 3 6 2 4" xfId="13599"/>
    <cellStyle name="Normal 8 3 6 3" xfId="13600"/>
    <cellStyle name="Normal 8 3 6 3 2" xfId="13601"/>
    <cellStyle name="Normal 8 3 6 3 2 2" xfId="13602"/>
    <cellStyle name="Normal 8 3 6 3 3" xfId="13603"/>
    <cellStyle name="Normal 8 3 6 4" xfId="13604"/>
    <cellStyle name="Normal 8 3 6 4 2" xfId="13605"/>
    <cellStyle name="Normal 8 3 6 5" xfId="13606"/>
    <cellStyle name="Normal 8 3 6 6" xfId="13607"/>
    <cellStyle name="Normal 8 3 6 7" xfId="13608"/>
    <cellStyle name="Normal 8 3 7" xfId="13609"/>
    <cellStyle name="Normal 8 3 7 2" xfId="13610"/>
    <cellStyle name="Normal 8 3 7 2 2" xfId="13611"/>
    <cellStyle name="Normal 8 3 7 2 2 2" xfId="13612"/>
    <cellStyle name="Normal 8 3 7 2 3" xfId="13613"/>
    <cellStyle name="Normal 8 3 7 3" xfId="13614"/>
    <cellStyle name="Normal 8 3 7 3 2" xfId="13615"/>
    <cellStyle name="Normal 8 3 7 4" xfId="13616"/>
    <cellStyle name="Normal 8 3 8" xfId="13617"/>
    <cellStyle name="Normal 8 3 8 2" xfId="13618"/>
    <cellStyle name="Normal 8 3 8 2 2" xfId="13619"/>
    <cellStyle name="Normal 8 3 8 2 2 2" xfId="13620"/>
    <cellStyle name="Normal 8 3 8 2 3" xfId="13621"/>
    <cellStyle name="Normal 8 3 8 3" xfId="13622"/>
    <cellStyle name="Normal 8 3 8 3 2" xfId="13623"/>
    <cellStyle name="Normal 8 3 8 4" xfId="13624"/>
    <cellStyle name="Normal 8 3 9" xfId="13625"/>
    <cellStyle name="Normal 8 3 9 2" xfId="13626"/>
    <cellStyle name="Normal 8 4" xfId="573"/>
    <cellStyle name="Normal 8 4 10" xfId="13627"/>
    <cellStyle name="Normal 8 4 10 2" xfId="13628"/>
    <cellStyle name="Normal 8 4 11" xfId="13629"/>
    <cellStyle name="Normal 8 4 11 2" xfId="13630"/>
    <cellStyle name="Normal 8 4 12" xfId="13631"/>
    <cellStyle name="Normal 8 4 13" xfId="13632"/>
    <cellStyle name="Normal 8 4 14" xfId="13633"/>
    <cellStyle name="Normal 8 4 2" xfId="13634"/>
    <cellStyle name="Normal 8 4 2 2" xfId="13635"/>
    <cellStyle name="Normal 8 4 3" xfId="13636"/>
    <cellStyle name="Normal 8 4 3 2" xfId="13637"/>
    <cellStyle name="Normal 8 4 3 2 2" xfId="13638"/>
    <cellStyle name="Normal 8 4 3 2 2 2" xfId="13639"/>
    <cellStyle name="Normal 8 4 3 2 2 2 2" xfId="13640"/>
    <cellStyle name="Normal 8 4 3 2 2 3" xfId="13641"/>
    <cellStyle name="Normal 8 4 3 2 3" xfId="13642"/>
    <cellStyle name="Normal 8 4 3 2 3 2" xfId="13643"/>
    <cellStyle name="Normal 8 4 3 2 4" xfId="13644"/>
    <cellStyle name="Normal 8 4 3 3" xfId="13645"/>
    <cellStyle name="Normal 8 4 3 3 2" xfId="13646"/>
    <cellStyle name="Normal 8 4 3 3 2 2" xfId="13647"/>
    <cellStyle name="Normal 8 4 3 3 3" xfId="13648"/>
    <cellStyle name="Normal 8 4 3 4" xfId="13649"/>
    <cellStyle name="Normal 8 4 3 4 2" xfId="13650"/>
    <cellStyle name="Normal 8 4 3 5" xfId="13651"/>
    <cellStyle name="Normal 8 4 3 6" xfId="13652"/>
    <cellStyle name="Normal 8 4 3 7" xfId="13653"/>
    <cellStyle name="Normal 8 4 4" xfId="13654"/>
    <cellStyle name="Normal 8 4 4 2" xfId="13655"/>
    <cellStyle name="Normal 8 4 4 2 2" xfId="13656"/>
    <cellStyle name="Normal 8 4 4 2 2 2" xfId="13657"/>
    <cellStyle name="Normal 8 4 4 2 2 2 2" xfId="13658"/>
    <cellStyle name="Normal 8 4 4 2 2 3" xfId="13659"/>
    <cellStyle name="Normal 8 4 4 2 3" xfId="13660"/>
    <cellStyle name="Normal 8 4 4 2 3 2" xfId="13661"/>
    <cellStyle name="Normal 8 4 4 2 4" xfId="13662"/>
    <cellStyle name="Normal 8 4 4 3" xfId="13663"/>
    <cellStyle name="Normal 8 4 4 3 2" xfId="13664"/>
    <cellStyle name="Normal 8 4 4 3 2 2" xfId="13665"/>
    <cellStyle name="Normal 8 4 4 3 3" xfId="13666"/>
    <cellStyle name="Normal 8 4 4 4" xfId="13667"/>
    <cellStyle name="Normal 8 4 4 4 2" xfId="13668"/>
    <cellStyle name="Normal 8 4 4 5" xfId="13669"/>
    <cellStyle name="Normal 8 4 4 6" xfId="13670"/>
    <cellStyle name="Normal 8 4 4 7" xfId="13671"/>
    <cellStyle name="Normal 8 4 5" xfId="13672"/>
    <cellStyle name="Normal 8 4 5 2" xfId="13673"/>
    <cellStyle name="Normal 8 4 5 2 2" xfId="13674"/>
    <cellStyle name="Normal 8 4 5 2 2 2" xfId="13675"/>
    <cellStyle name="Normal 8 4 5 2 2 2 2" xfId="13676"/>
    <cellStyle name="Normal 8 4 5 2 2 3" xfId="13677"/>
    <cellStyle name="Normal 8 4 5 2 3" xfId="13678"/>
    <cellStyle name="Normal 8 4 5 2 3 2" xfId="13679"/>
    <cellStyle name="Normal 8 4 5 2 4" xfId="13680"/>
    <cellStyle name="Normal 8 4 5 3" xfId="13681"/>
    <cellStyle name="Normal 8 4 5 3 2" xfId="13682"/>
    <cellStyle name="Normal 8 4 5 3 2 2" xfId="13683"/>
    <cellStyle name="Normal 8 4 5 3 3" xfId="13684"/>
    <cellStyle name="Normal 8 4 5 4" xfId="13685"/>
    <cellStyle name="Normal 8 4 5 4 2" xfId="13686"/>
    <cellStyle name="Normal 8 4 5 5" xfId="13687"/>
    <cellStyle name="Normal 8 4 5 6" xfId="13688"/>
    <cellStyle name="Normal 8 4 5 7" xfId="13689"/>
    <cellStyle name="Normal 8 4 6" xfId="13690"/>
    <cellStyle name="Normal 8 4 6 2" xfId="13691"/>
    <cellStyle name="Normal 8 4 6 2 2" xfId="13692"/>
    <cellStyle name="Normal 8 4 6 2 2 2" xfId="13693"/>
    <cellStyle name="Normal 8 4 6 2 3" xfId="13694"/>
    <cellStyle name="Normal 8 4 6 3" xfId="13695"/>
    <cellStyle name="Normal 8 4 6 3 2" xfId="13696"/>
    <cellStyle name="Normal 8 4 6 4" xfId="13697"/>
    <cellStyle name="Normal 8 4 7" xfId="13698"/>
    <cellStyle name="Normal 8 4 7 2" xfId="13699"/>
    <cellStyle name="Normal 8 4 7 2 2" xfId="13700"/>
    <cellStyle name="Normal 8 4 7 2 2 2" xfId="13701"/>
    <cellStyle name="Normal 8 4 7 2 3" xfId="13702"/>
    <cellStyle name="Normal 8 4 7 3" xfId="13703"/>
    <cellStyle name="Normal 8 4 7 3 2" xfId="13704"/>
    <cellStyle name="Normal 8 4 7 4" xfId="13705"/>
    <cellStyle name="Normal 8 4 8" xfId="13706"/>
    <cellStyle name="Normal 8 4 8 2" xfId="13707"/>
    <cellStyle name="Normal 8 4 9" xfId="13708"/>
    <cellStyle name="Normal 8 4 9 2" xfId="13709"/>
    <cellStyle name="Normal 8 4 9 2 2" xfId="13710"/>
    <cellStyle name="Normal 8 4 9 3" xfId="13711"/>
    <cellStyle name="Normal 8 5" xfId="13712"/>
    <cellStyle name="Normal 8 5 10" xfId="13713"/>
    <cellStyle name="Normal 8 5 11" xfId="13714"/>
    <cellStyle name="Normal 8 5 12" xfId="13715"/>
    <cellStyle name="Normal 8 5 2" xfId="13716"/>
    <cellStyle name="Normal 8 5 2 2" xfId="13717"/>
    <cellStyle name="Normal 8 5 3" xfId="13718"/>
    <cellStyle name="Normal 8 5 3 2" xfId="13719"/>
    <cellStyle name="Normal 8 5 3 2 2" xfId="13720"/>
    <cellStyle name="Normal 8 5 3 2 2 2" xfId="13721"/>
    <cellStyle name="Normal 8 5 3 2 2 2 2" xfId="13722"/>
    <cellStyle name="Normal 8 5 3 2 2 3" xfId="13723"/>
    <cellStyle name="Normal 8 5 3 2 3" xfId="13724"/>
    <cellStyle name="Normal 8 5 3 2 3 2" xfId="13725"/>
    <cellStyle name="Normal 8 5 3 2 4" xfId="13726"/>
    <cellStyle name="Normal 8 5 3 3" xfId="13727"/>
    <cellStyle name="Normal 8 5 3 3 2" xfId="13728"/>
    <cellStyle name="Normal 8 5 3 3 2 2" xfId="13729"/>
    <cellStyle name="Normal 8 5 3 3 3" xfId="13730"/>
    <cellStyle name="Normal 8 5 3 4" xfId="13731"/>
    <cellStyle name="Normal 8 5 3 4 2" xfId="13732"/>
    <cellStyle name="Normal 8 5 3 5" xfId="13733"/>
    <cellStyle name="Normal 8 5 3 6" xfId="13734"/>
    <cellStyle name="Normal 8 5 3 7" xfId="13735"/>
    <cellStyle name="Normal 8 5 4" xfId="13736"/>
    <cellStyle name="Normal 8 5 4 2" xfId="13737"/>
    <cellStyle name="Normal 8 5 4 2 2" xfId="13738"/>
    <cellStyle name="Normal 8 5 4 2 2 2" xfId="13739"/>
    <cellStyle name="Normal 8 5 4 2 2 2 2" xfId="13740"/>
    <cellStyle name="Normal 8 5 4 2 2 3" xfId="13741"/>
    <cellStyle name="Normal 8 5 4 2 3" xfId="13742"/>
    <cellStyle name="Normal 8 5 4 2 3 2" xfId="13743"/>
    <cellStyle name="Normal 8 5 4 2 4" xfId="13744"/>
    <cellStyle name="Normal 8 5 4 3" xfId="13745"/>
    <cellStyle name="Normal 8 5 4 3 2" xfId="13746"/>
    <cellStyle name="Normal 8 5 4 3 2 2" xfId="13747"/>
    <cellStyle name="Normal 8 5 4 3 3" xfId="13748"/>
    <cellStyle name="Normal 8 5 4 4" xfId="13749"/>
    <cellStyle name="Normal 8 5 4 4 2" xfId="13750"/>
    <cellStyle name="Normal 8 5 4 5" xfId="13751"/>
    <cellStyle name="Normal 8 5 4 6" xfId="13752"/>
    <cellStyle name="Normal 8 5 4 7" xfId="13753"/>
    <cellStyle name="Normal 8 5 5" xfId="13754"/>
    <cellStyle name="Normal 8 5 5 2" xfId="13755"/>
    <cellStyle name="Normal 8 5 5 2 2" xfId="13756"/>
    <cellStyle name="Normal 8 5 5 2 2 2" xfId="13757"/>
    <cellStyle name="Normal 8 5 5 2 2 2 2" xfId="13758"/>
    <cellStyle name="Normal 8 5 5 2 2 3" xfId="13759"/>
    <cellStyle name="Normal 8 5 5 2 3" xfId="13760"/>
    <cellStyle name="Normal 8 5 5 2 3 2" xfId="13761"/>
    <cellStyle name="Normal 8 5 5 2 4" xfId="13762"/>
    <cellStyle name="Normal 8 5 5 3" xfId="13763"/>
    <cellStyle name="Normal 8 5 5 3 2" xfId="13764"/>
    <cellStyle name="Normal 8 5 5 3 2 2" xfId="13765"/>
    <cellStyle name="Normal 8 5 5 3 3" xfId="13766"/>
    <cellStyle name="Normal 8 5 5 4" xfId="13767"/>
    <cellStyle name="Normal 8 5 5 4 2" xfId="13768"/>
    <cellStyle name="Normal 8 5 5 5" xfId="13769"/>
    <cellStyle name="Normal 8 5 5 6" xfId="13770"/>
    <cellStyle name="Normal 8 5 5 7" xfId="13771"/>
    <cellStyle name="Normal 8 5 6" xfId="13772"/>
    <cellStyle name="Normal 8 5 6 2" xfId="13773"/>
    <cellStyle name="Normal 8 5 6 2 2" xfId="13774"/>
    <cellStyle name="Normal 8 5 6 2 2 2" xfId="13775"/>
    <cellStyle name="Normal 8 5 6 2 3" xfId="13776"/>
    <cellStyle name="Normal 8 5 6 3" xfId="13777"/>
    <cellStyle name="Normal 8 5 6 3 2" xfId="13778"/>
    <cellStyle name="Normal 8 5 6 4" xfId="13779"/>
    <cellStyle name="Normal 8 5 7" xfId="13780"/>
    <cellStyle name="Normal 8 5 7 2" xfId="13781"/>
    <cellStyle name="Normal 8 5 7 2 2" xfId="13782"/>
    <cellStyle name="Normal 8 5 7 3" xfId="13783"/>
    <cellStyle name="Normal 8 5 8" xfId="13784"/>
    <cellStyle name="Normal 8 5 8 2" xfId="13785"/>
    <cellStyle name="Normal 8 5 9" xfId="13786"/>
    <cellStyle name="Normal 8 5 9 2" xfId="13787"/>
    <cellStyle name="Normal 8 6" xfId="13788"/>
    <cellStyle name="Normal 8 6 2" xfId="13789"/>
    <cellStyle name="Normal 8 6 2 2" xfId="13790"/>
    <cellStyle name="Normal 8 6 3" xfId="13791"/>
    <cellStyle name="Normal 8 6 3 2" xfId="13792"/>
    <cellStyle name="Normal 8 6 3 2 2" xfId="13793"/>
    <cellStyle name="Normal 8 6 3 2 2 2" xfId="13794"/>
    <cellStyle name="Normal 8 6 3 2 3" xfId="13795"/>
    <cellStyle name="Normal 8 6 3 3" xfId="13796"/>
    <cellStyle name="Normal 8 6 3 3 2" xfId="13797"/>
    <cellStyle name="Normal 8 6 3 4" xfId="13798"/>
    <cellStyle name="Normal 8 6 4" xfId="13799"/>
    <cellStyle name="Normal 8 6 4 2" xfId="13800"/>
    <cellStyle name="Normal 8 6 4 2 2" xfId="13801"/>
    <cellStyle name="Normal 8 6 4 2 2 2" xfId="13802"/>
    <cellStyle name="Normal 8 6 4 2 3" xfId="13803"/>
    <cellStyle name="Normal 8 6 4 3" xfId="13804"/>
    <cellStyle name="Normal 8 6 4 3 2" xfId="13805"/>
    <cellStyle name="Normal 8 6 4 4" xfId="13806"/>
    <cellStyle name="Normal 8 6 5" xfId="13807"/>
    <cellStyle name="Normal 8 6 6" xfId="13808"/>
    <cellStyle name="Normal 8 7" xfId="13809"/>
    <cellStyle name="Normal 8 7 2" xfId="13810"/>
    <cellStyle name="Normal 8 8" xfId="13811"/>
    <cellStyle name="Normal 8 8 2" xfId="13812"/>
    <cellStyle name="Normal 8 9" xfId="13813"/>
    <cellStyle name="Normal 8 9 2" xfId="13814"/>
    <cellStyle name="Normal 8 9 2 2" xfId="13815"/>
    <cellStyle name="Normal 8 9 2 2 2" xfId="13816"/>
    <cellStyle name="Normal 8 9 2 2 2 2" xfId="13817"/>
    <cellStyle name="Normal 8 9 2 2 3" xfId="13818"/>
    <cellStyle name="Normal 8 9 2 3" xfId="13819"/>
    <cellStyle name="Normal 8 9 2 3 2" xfId="13820"/>
    <cellStyle name="Normal 8 9 2 4" xfId="13821"/>
    <cellStyle name="Normal 8 9 3" xfId="13822"/>
    <cellStyle name="Normal 8 9 3 2" xfId="13823"/>
    <cellStyle name="Normal 8 9 3 2 2" xfId="13824"/>
    <cellStyle name="Normal 8 9 3 3" xfId="13825"/>
    <cellStyle name="Normal 8 9 4" xfId="13826"/>
    <cellStyle name="Normal 8 9 4 2" xfId="13827"/>
    <cellStyle name="Normal 8 9 5" xfId="13828"/>
    <cellStyle name="Normal 8 9 6" xfId="13829"/>
    <cellStyle name="Normal 8 9 7" xfId="13830"/>
    <cellStyle name="Normal 80" xfId="15785"/>
    <cellStyle name="Normal 80 2" xfId="13831"/>
    <cellStyle name="Normal 80 2 2" xfId="13832"/>
    <cellStyle name="Normal 80 3" xfId="13833"/>
    <cellStyle name="Normal 80 3 2" xfId="13834"/>
    <cellStyle name="Normal 80 4" xfId="13835"/>
    <cellStyle name="Normal 80 4 2" xfId="13836"/>
    <cellStyle name="Normal 80 5" xfId="13837"/>
    <cellStyle name="Normal 80 5 2" xfId="13838"/>
    <cellStyle name="Normal 80 6" xfId="13839"/>
    <cellStyle name="Normal 80 6 2" xfId="13840"/>
    <cellStyle name="Normal 80 7" xfId="13841"/>
    <cellStyle name="Normal 80 7 2" xfId="13842"/>
    <cellStyle name="Normal 81" xfId="15796"/>
    <cellStyle name="Normal 81 2" xfId="13843"/>
    <cellStyle name="Normal 81 2 2" xfId="13844"/>
    <cellStyle name="Normal 81 3" xfId="13845"/>
    <cellStyle name="Normal 81 3 2" xfId="13846"/>
    <cellStyle name="Normal 81 4" xfId="13847"/>
    <cellStyle name="Normal 81 4 2" xfId="13848"/>
    <cellStyle name="Normal 81 5" xfId="13849"/>
    <cellStyle name="Normal 81 5 2" xfId="13850"/>
    <cellStyle name="Normal 82" xfId="15797"/>
    <cellStyle name="Normal 82 2" xfId="13851"/>
    <cellStyle name="Normal 82 2 2" xfId="13852"/>
    <cellStyle name="Normal 82 3" xfId="13853"/>
    <cellStyle name="Normal 82 3 2" xfId="13854"/>
    <cellStyle name="Normal 82 4" xfId="13855"/>
    <cellStyle name="Normal 82 4 2" xfId="13856"/>
    <cellStyle name="Normal 82 5" xfId="13857"/>
    <cellStyle name="Normal 82 5 2" xfId="13858"/>
    <cellStyle name="Normal 83" xfId="15795"/>
    <cellStyle name="Normal 84" xfId="15798"/>
    <cellStyle name="Normal 84 2" xfId="25514"/>
    <cellStyle name="Normal 84 2 2" xfId="45268"/>
    <cellStyle name="Normal 84 3" xfId="35624"/>
    <cellStyle name="Normal 85" xfId="20654"/>
    <cellStyle name="Normal 86" xfId="20652"/>
    <cellStyle name="Normal 86 2" xfId="30335"/>
    <cellStyle name="Normal 87" xfId="20208"/>
    <cellStyle name="Normal 87 2" xfId="29923"/>
    <cellStyle name="Normal 88" xfId="20657"/>
    <cellStyle name="Normal 88 2" xfId="30336"/>
    <cellStyle name="Normal 89" xfId="20622"/>
    <cellStyle name="Normal 89 2" xfId="30326"/>
    <cellStyle name="Normal 9" xfId="574"/>
    <cellStyle name="Normal 9 10" xfId="13859"/>
    <cellStyle name="Normal 9 10 2" xfId="13860"/>
    <cellStyle name="Normal 9 10 2 2" xfId="13861"/>
    <cellStyle name="Normal 9 10 2 2 2" xfId="13862"/>
    <cellStyle name="Normal 9 10 2 3" xfId="13863"/>
    <cellStyle name="Normal 9 10 3" xfId="13864"/>
    <cellStyle name="Normal 9 10 3 2" xfId="13865"/>
    <cellStyle name="Normal 9 10 4" xfId="13866"/>
    <cellStyle name="Normal 9 11" xfId="13867"/>
    <cellStyle name="Normal 9 11 2" xfId="13868"/>
    <cellStyle name="Normal 9 11 2 2" xfId="13869"/>
    <cellStyle name="Normal 9 11 2 2 2" xfId="13870"/>
    <cellStyle name="Normal 9 11 2 3" xfId="13871"/>
    <cellStyle name="Normal 9 11 3" xfId="13872"/>
    <cellStyle name="Normal 9 11 3 2" xfId="13873"/>
    <cellStyle name="Normal 9 11 4" xfId="13874"/>
    <cellStyle name="Normal 9 12" xfId="13875"/>
    <cellStyle name="Normal 9 13" xfId="13876"/>
    <cellStyle name="Normal 9 2" xfId="575"/>
    <cellStyle name="Normal 9 2 10" xfId="13877"/>
    <cellStyle name="Normal 9 2 11" xfId="13878"/>
    <cellStyle name="Normal 9 2 12" xfId="13879"/>
    <cellStyle name="Normal 9 2 2" xfId="576"/>
    <cellStyle name="Normal 9 2 2 10" xfId="13880"/>
    <cellStyle name="Normal 9 2 2 11" xfId="13881"/>
    <cellStyle name="Normal 9 2 2 2" xfId="13882"/>
    <cellStyle name="Normal 9 2 2 2 2" xfId="13883"/>
    <cellStyle name="Normal 9 2 2 2 2 2" xfId="13884"/>
    <cellStyle name="Normal 9 2 2 2 2 2 2" xfId="13885"/>
    <cellStyle name="Normal 9 2 2 2 2 2 2 2" xfId="13886"/>
    <cellStyle name="Normal 9 2 2 2 2 2 3" xfId="13887"/>
    <cellStyle name="Normal 9 2 2 2 2 3" xfId="13888"/>
    <cellStyle name="Normal 9 2 2 2 2 3 2" xfId="13889"/>
    <cellStyle name="Normal 9 2 2 2 2 4" xfId="13890"/>
    <cellStyle name="Normal 9 2 2 2 3" xfId="13891"/>
    <cellStyle name="Normal 9 2 2 2 3 2" xfId="13892"/>
    <cellStyle name="Normal 9 2 2 2 3 2 2" xfId="13893"/>
    <cellStyle name="Normal 9 2 2 2 3 3" xfId="13894"/>
    <cellStyle name="Normal 9 2 2 2 4" xfId="13895"/>
    <cellStyle name="Normal 9 2 2 2 4 2" xfId="13896"/>
    <cellStyle name="Normal 9 2 2 2 5" xfId="13897"/>
    <cellStyle name="Normal 9 2 2 2 6" xfId="13898"/>
    <cellStyle name="Normal 9 2 2 2 7" xfId="13899"/>
    <cellStyle name="Normal 9 2 2 3" xfId="13900"/>
    <cellStyle name="Normal 9 2 2 3 2" xfId="13901"/>
    <cellStyle name="Normal 9 2 2 3 2 2" xfId="13902"/>
    <cellStyle name="Normal 9 2 2 3 2 2 2" xfId="13903"/>
    <cellStyle name="Normal 9 2 2 3 2 3" xfId="13904"/>
    <cellStyle name="Normal 9 2 2 3 3" xfId="13905"/>
    <cellStyle name="Normal 9 2 2 3 3 2" xfId="13906"/>
    <cellStyle name="Normal 9 2 2 3 4" xfId="13907"/>
    <cellStyle name="Normal 9 2 2 4" xfId="13908"/>
    <cellStyle name="Normal 9 2 2 4 2" xfId="13909"/>
    <cellStyle name="Normal 9 2 2 4 2 2" xfId="13910"/>
    <cellStyle name="Normal 9 2 2 4 2 2 2" xfId="13911"/>
    <cellStyle name="Normal 9 2 2 4 2 3" xfId="13912"/>
    <cellStyle name="Normal 9 2 2 4 3" xfId="13913"/>
    <cellStyle name="Normal 9 2 2 4 3 2" xfId="13914"/>
    <cellStyle name="Normal 9 2 2 4 4" xfId="13915"/>
    <cellStyle name="Normal 9 2 2 5" xfId="13916"/>
    <cellStyle name="Normal 9 2 2 5 2" xfId="13917"/>
    <cellStyle name="Normal 9 2 2 6" xfId="13918"/>
    <cellStyle name="Normal 9 2 2 6 2" xfId="13919"/>
    <cellStyle name="Normal 9 2 2 6 2 2" xfId="13920"/>
    <cellStyle name="Normal 9 2 2 6 3" xfId="13921"/>
    <cellStyle name="Normal 9 2 2 7" xfId="13922"/>
    <cellStyle name="Normal 9 2 2 7 2" xfId="13923"/>
    <cellStyle name="Normal 9 2 2 8" xfId="13924"/>
    <cellStyle name="Normal 9 2 2 8 2" xfId="13925"/>
    <cellStyle name="Normal 9 2 2 9" xfId="13926"/>
    <cellStyle name="Normal 9 2 3" xfId="577"/>
    <cellStyle name="Normal 9 2 3 2" xfId="13927"/>
    <cellStyle name="Normal 9 2 3 2 2" xfId="13928"/>
    <cellStyle name="Normal 9 2 3 2 2 2" xfId="13929"/>
    <cellStyle name="Normal 9 2 3 2 2 2 2" xfId="13930"/>
    <cellStyle name="Normal 9 2 3 2 2 3" xfId="13931"/>
    <cellStyle name="Normal 9 2 3 2 3" xfId="13932"/>
    <cellStyle name="Normal 9 2 3 2 3 2" xfId="13933"/>
    <cellStyle name="Normal 9 2 3 2 4" xfId="13934"/>
    <cellStyle name="Normal 9 2 3 3" xfId="13935"/>
    <cellStyle name="Normal 9 2 3 3 2" xfId="13936"/>
    <cellStyle name="Normal 9 2 3 3 2 2" xfId="13937"/>
    <cellStyle name="Normal 9 2 3 3 2 2 2" xfId="13938"/>
    <cellStyle name="Normal 9 2 3 3 2 3" xfId="13939"/>
    <cellStyle name="Normal 9 2 3 3 3" xfId="13940"/>
    <cellStyle name="Normal 9 2 3 3 3 2" xfId="13941"/>
    <cellStyle name="Normal 9 2 3 3 4" xfId="13942"/>
    <cellStyle name="Normal 9 2 3 4" xfId="13943"/>
    <cellStyle name="Normal 9 2 3 4 2" xfId="13944"/>
    <cellStyle name="Normal 9 2 3 5" xfId="13945"/>
    <cellStyle name="Normal 9 2 3 5 2" xfId="13946"/>
    <cellStyle name="Normal 9 2 3 5 2 2" xfId="13947"/>
    <cellStyle name="Normal 9 2 3 5 3" xfId="13948"/>
    <cellStyle name="Normal 9 2 3 6" xfId="13949"/>
    <cellStyle name="Normal 9 2 3 6 2" xfId="13950"/>
    <cellStyle name="Normal 9 2 3 7" xfId="13951"/>
    <cellStyle name="Normal 9 2 3 8" xfId="13952"/>
    <cellStyle name="Normal 9 2 3 9" xfId="13953"/>
    <cellStyle name="Normal 9 2 4" xfId="13954"/>
    <cellStyle name="Normal 9 2 4 2" xfId="13955"/>
    <cellStyle name="Normal 9 2 4 2 2" xfId="13956"/>
    <cellStyle name="Normal 9 2 4 2 2 2" xfId="13957"/>
    <cellStyle name="Normal 9 2 4 2 3" xfId="13958"/>
    <cellStyle name="Normal 9 2 4 3" xfId="13959"/>
    <cellStyle name="Normal 9 2 4 3 2" xfId="13960"/>
    <cellStyle name="Normal 9 2 4 4" xfId="13961"/>
    <cellStyle name="Normal 9 2 5" xfId="13962"/>
    <cellStyle name="Normal 9 2 5 2" xfId="13963"/>
    <cellStyle name="Normal 9 2 5 2 2" xfId="13964"/>
    <cellStyle name="Normal 9 2 5 2 2 2" xfId="13965"/>
    <cellStyle name="Normal 9 2 5 2 3" xfId="13966"/>
    <cellStyle name="Normal 9 2 5 3" xfId="13967"/>
    <cellStyle name="Normal 9 2 5 3 2" xfId="13968"/>
    <cellStyle name="Normal 9 2 5 4" xfId="13969"/>
    <cellStyle name="Normal 9 2 6" xfId="13970"/>
    <cellStyle name="Normal 9 2 6 2" xfId="13971"/>
    <cellStyle name="Normal 9 2 7" xfId="13972"/>
    <cellStyle name="Normal 9 2 7 2" xfId="13973"/>
    <cellStyle name="Normal 9 2 7 2 2" xfId="13974"/>
    <cellStyle name="Normal 9 2 7 3" xfId="13975"/>
    <cellStyle name="Normal 9 2 8" xfId="13976"/>
    <cellStyle name="Normal 9 2 8 2" xfId="13977"/>
    <cellStyle name="Normal 9 2 9" xfId="13978"/>
    <cellStyle name="Normal 9 2 9 2" xfId="13979"/>
    <cellStyle name="Normal 9 3" xfId="578"/>
    <cellStyle name="Normal 9 3 10" xfId="13980"/>
    <cellStyle name="Normal 9 3 11" xfId="13981"/>
    <cellStyle name="Normal 9 3 12" xfId="13982"/>
    <cellStyle name="Normal 9 3 2" xfId="13983"/>
    <cellStyle name="Normal 9 3 2 2" xfId="13984"/>
    <cellStyle name="Normal 9 3 2 2 2" xfId="13985"/>
    <cellStyle name="Normal 9 3 2 2 2 2" xfId="13986"/>
    <cellStyle name="Normal 9 3 2 2 2 2 2" xfId="13987"/>
    <cellStyle name="Normal 9 3 2 2 2 3" xfId="13988"/>
    <cellStyle name="Normal 9 3 2 2 3" xfId="13989"/>
    <cellStyle name="Normal 9 3 2 2 3 2" xfId="13990"/>
    <cellStyle name="Normal 9 3 2 2 4" xfId="13991"/>
    <cellStyle name="Normal 9 3 2 3" xfId="13992"/>
    <cellStyle name="Normal 9 3 2 3 2" xfId="13993"/>
    <cellStyle name="Normal 9 3 2 3 2 2" xfId="13994"/>
    <cellStyle name="Normal 9 3 2 3 3" xfId="13995"/>
    <cellStyle name="Normal 9 3 2 4" xfId="13996"/>
    <cellStyle name="Normal 9 3 2 4 2" xfId="13997"/>
    <cellStyle name="Normal 9 3 2 5" xfId="13998"/>
    <cellStyle name="Normal 9 3 2 6" xfId="13999"/>
    <cellStyle name="Normal 9 3 2 7" xfId="14000"/>
    <cellStyle name="Normal 9 3 3" xfId="14001"/>
    <cellStyle name="Normal 9 3 3 2" xfId="14002"/>
    <cellStyle name="Normal 9 3 3 2 2" xfId="14003"/>
    <cellStyle name="Normal 9 3 3 2 2 2" xfId="14004"/>
    <cellStyle name="Normal 9 3 3 2 2 2 2" xfId="14005"/>
    <cellStyle name="Normal 9 3 3 2 2 3" xfId="14006"/>
    <cellStyle name="Normal 9 3 3 2 3" xfId="14007"/>
    <cellStyle name="Normal 9 3 3 2 3 2" xfId="14008"/>
    <cellStyle name="Normal 9 3 3 2 4" xfId="14009"/>
    <cellStyle name="Normal 9 3 3 3" xfId="14010"/>
    <cellStyle name="Normal 9 3 3 3 2" xfId="14011"/>
    <cellStyle name="Normal 9 3 3 3 2 2" xfId="14012"/>
    <cellStyle name="Normal 9 3 3 3 3" xfId="14013"/>
    <cellStyle name="Normal 9 3 3 4" xfId="14014"/>
    <cellStyle name="Normal 9 3 3 4 2" xfId="14015"/>
    <cellStyle name="Normal 9 3 3 5" xfId="14016"/>
    <cellStyle name="Normal 9 3 3 6" xfId="14017"/>
    <cellStyle name="Normal 9 3 3 7" xfId="14018"/>
    <cellStyle name="Normal 9 3 4" xfId="14019"/>
    <cellStyle name="Normal 9 3 4 2" xfId="14020"/>
    <cellStyle name="Normal 9 3 4 2 2" xfId="14021"/>
    <cellStyle name="Normal 9 3 4 2 2 2" xfId="14022"/>
    <cellStyle name="Normal 9 3 4 2 3" xfId="14023"/>
    <cellStyle name="Normal 9 3 4 3" xfId="14024"/>
    <cellStyle name="Normal 9 3 4 3 2" xfId="14025"/>
    <cellStyle name="Normal 9 3 4 4" xfId="14026"/>
    <cellStyle name="Normal 9 3 5" xfId="14027"/>
    <cellStyle name="Normal 9 3 5 2" xfId="14028"/>
    <cellStyle name="Normal 9 3 5 2 2" xfId="14029"/>
    <cellStyle name="Normal 9 3 5 2 2 2" xfId="14030"/>
    <cellStyle name="Normal 9 3 5 2 3" xfId="14031"/>
    <cellStyle name="Normal 9 3 5 3" xfId="14032"/>
    <cellStyle name="Normal 9 3 5 3 2" xfId="14033"/>
    <cellStyle name="Normal 9 3 5 4" xfId="14034"/>
    <cellStyle name="Normal 9 3 6" xfId="14035"/>
    <cellStyle name="Normal 9 3 6 2" xfId="14036"/>
    <cellStyle name="Normal 9 3 7" xfId="14037"/>
    <cellStyle name="Normal 9 3 7 2" xfId="14038"/>
    <cellStyle name="Normal 9 3 7 2 2" xfId="14039"/>
    <cellStyle name="Normal 9 3 7 3" xfId="14040"/>
    <cellStyle name="Normal 9 3 8" xfId="14041"/>
    <cellStyle name="Normal 9 3 8 2" xfId="14042"/>
    <cellStyle name="Normal 9 3 9" xfId="14043"/>
    <cellStyle name="Normal 9 3 9 2" xfId="14044"/>
    <cellStyle name="Normal 9 4" xfId="579"/>
    <cellStyle name="Normal 9 4 2" xfId="14045"/>
    <cellStyle name="Normal 9 4 2 2" xfId="14046"/>
    <cellStyle name="Normal 9 4 3" xfId="14047"/>
    <cellStyle name="Normal 9 4 3 2" xfId="14048"/>
    <cellStyle name="Normal 9 4 4" xfId="14049"/>
    <cellStyle name="Normal 9 5" xfId="14050"/>
    <cellStyle name="Normal 9 5 2" xfId="14051"/>
    <cellStyle name="Normal 9 5 2 2" xfId="14052"/>
    <cellStyle name="Normal 9 5 3" xfId="14053"/>
    <cellStyle name="Normal 9 5 3 2" xfId="14054"/>
    <cellStyle name="Normal 9 5 3 2 2" xfId="14055"/>
    <cellStyle name="Normal 9 5 3 2 2 2" xfId="14056"/>
    <cellStyle name="Normal 9 5 3 2 3" xfId="14057"/>
    <cellStyle name="Normal 9 5 3 3" xfId="14058"/>
    <cellStyle name="Normal 9 5 3 3 2" xfId="14059"/>
    <cellStyle name="Normal 9 5 3 4" xfId="14060"/>
    <cellStyle name="Normal 9 5 4" xfId="14061"/>
    <cellStyle name="Normal 9 5 4 2" xfId="14062"/>
    <cellStyle name="Normal 9 5 4 2 2" xfId="14063"/>
    <cellStyle name="Normal 9 5 4 2 2 2" xfId="14064"/>
    <cellStyle name="Normal 9 5 4 2 3" xfId="14065"/>
    <cellStyle name="Normal 9 5 4 3" xfId="14066"/>
    <cellStyle name="Normal 9 5 4 3 2" xfId="14067"/>
    <cellStyle name="Normal 9 5 4 4" xfId="14068"/>
    <cellStyle name="Normal 9 5 5" xfId="14069"/>
    <cellStyle name="Normal 9 5 6" xfId="14070"/>
    <cellStyle name="Normal 9 6" xfId="14071"/>
    <cellStyle name="Normal 9 6 2" xfId="14072"/>
    <cellStyle name="Normal 9 7" xfId="14073"/>
    <cellStyle name="Normal 9 7 2" xfId="14074"/>
    <cellStyle name="Normal 9 8" xfId="14075"/>
    <cellStyle name="Normal 9 8 2" xfId="14076"/>
    <cellStyle name="Normal 9 9" xfId="14077"/>
    <cellStyle name="Normal 9 9 10" xfId="14078"/>
    <cellStyle name="Normal 9 9 2" xfId="14079"/>
    <cellStyle name="Normal 9 9 2 2" xfId="14080"/>
    <cellStyle name="Normal 9 9 2 2 2" xfId="14081"/>
    <cellStyle name="Normal 9 9 2 2 2 2" xfId="14082"/>
    <cellStyle name="Normal 9 9 2 2 2 2 2" xfId="14083"/>
    <cellStyle name="Normal 9 9 2 2 2 3" xfId="14084"/>
    <cellStyle name="Normal 9 9 2 2 3" xfId="14085"/>
    <cellStyle name="Normal 9 9 2 2 3 2" xfId="14086"/>
    <cellStyle name="Normal 9 9 2 2 4" xfId="14087"/>
    <cellStyle name="Normal 9 9 2 3" xfId="14088"/>
    <cellStyle name="Normal 9 9 2 3 2" xfId="14089"/>
    <cellStyle name="Normal 9 9 2 3 2 2" xfId="14090"/>
    <cellStyle name="Normal 9 9 2 3 3" xfId="14091"/>
    <cellStyle name="Normal 9 9 2 4" xfId="14092"/>
    <cellStyle name="Normal 9 9 2 4 2" xfId="14093"/>
    <cellStyle name="Normal 9 9 2 5" xfId="14094"/>
    <cellStyle name="Normal 9 9 2 6" xfId="14095"/>
    <cellStyle name="Normal 9 9 2 7" xfId="14096"/>
    <cellStyle name="Normal 9 9 3" xfId="14097"/>
    <cellStyle name="Normal 9 9 3 2" xfId="14098"/>
    <cellStyle name="Normal 9 9 3 2 2" xfId="14099"/>
    <cellStyle name="Normal 9 9 3 2 2 2" xfId="14100"/>
    <cellStyle name="Normal 9 9 3 2 3" xfId="14101"/>
    <cellStyle name="Normal 9 9 3 3" xfId="14102"/>
    <cellStyle name="Normal 9 9 3 3 2" xfId="14103"/>
    <cellStyle name="Normal 9 9 3 4" xfId="14104"/>
    <cellStyle name="Normal 9 9 4" xfId="14105"/>
    <cellStyle name="Normal 9 9 4 2" xfId="14106"/>
    <cellStyle name="Normal 9 9 4 2 2" xfId="14107"/>
    <cellStyle name="Normal 9 9 4 2 2 2" xfId="14108"/>
    <cellStyle name="Normal 9 9 4 2 3" xfId="14109"/>
    <cellStyle name="Normal 9 9 4 3" xfId="14110"/>
    <cellStyle name="Normal 9 9 4 3 2" xfId="14111"/>
    <cellStyle name="Normal 9 9 4 4" xfId="14112"/>
    <cellStyle name="Normal 9 9 5" xfId="14113"/>
    <cellStyle name="Normal 9 9 5 2" xfId="14114"/>
    <cellStyle name="Normal 9 9 5 2 2" xfId="14115"/>
    <cellStyle name="Normal 9 9 5 3" xfId="14116"/>
    <cellStyle name="Normal 9 9 6" xfId="14117"/>
    <cellStyle name="Normal 9 9 6 2" xfId="14118"/>
    <cellStyle name="Normal 9 9 7" xfId="14119"/>
    <cellStyle name="Normal 9 9 7 2" xfId="14120"/>
    <cellStyle name="Normal 9 9 8" xfId="14121"/>
    <cellStyle name="Normal 9 9 9" xfId="14122"/>
    <cellStyle name="Normal 90" xfId="20658"/>
    <cellStyle name="Normal 90 2" xfId="30337"/>
    <cellStyle name="Normal 91" xfId="20655"/>
    <cellStyle name="Normal 92" xfId="20207"/>
    <cellStyle name="Normal 93" xfId="14123"/>
    <cellStyle name="Normal 93 2" xfId="14124"/>
    <cellStyle name="Normal 94" xfId="14125"/>
    <cellStyle name="Normal 94 2" xfId="14126"/>
    <cellStyle name="Normal 95" xfId="14127"/>
    <cellStyle name="Normal 95 2" xfId="14128"/>
    <cellStyle name="Normal 96" xfId="14129"/>
    <cellStyle name="Normal 96 2" xfId="14130"/>
    <cellStyle name="Normal 97" xfId="20656"/>
    <cellStyle name="Normal 98" xfId="20659"/>
    <cellStyle name="Normal 99" xfId="20660"/>
    <cellStyle name="Normal_06KatCohoEsc" xfId="580"/>
    <cellStyle name="Normal_Catch_Escapement Data (2)" xfId="581"/>
    <cellStyle name="Normal_ChilkatTable" xfId="582"/>
    <cellStyle name="Normal_Figures" xfId="583"/>
    <cellStyle name="Normal_FORDRUN2" xfId="584"/>
    <cellStyle name="Normal_HUGHRUN2" xfId="1143"/>
    <cellStyle name="Normal_HUGHSMLT" xfId="20651"/>
    <cellStyle name="Normal_rungraph" xfId="585"/>
    <cellStyle name="Normal_rungraph 2" xfId="586"/>
    <cellStyle name="Normal_Sheet1 (2)" xfId="587"/>
    <cellStyle name="Normal_Sheet3" xfId="25113"/>
    <cellStyle name="Normal_Taku Table (2)" xfId="588"/>
    <cellStyle name="Note 10" xfId="589"/>
    <cellStyle name="Note 10 2" xfId="590"/>
    <cellStyle name="Note 10 2 2" xfId="591"/>
    <cellStyle name="Note 10 2 3" xfId="15753"/>
    <cellStyle name="Note 10 2 3 2" xfId="20588"/>
    <cellStyle name="Note 10 2 3 2 2" xfId="30301"/>
    <cellStyle name="Note 10 2 3 2 2 2" xfId="50054"/>
    <cellStyle name="Note 10 2 3 2 3" xfId="40410"/>
    <cellStyle name="Note 10 2 3 3" xfId="25489"/>
    <cellStyle name="Note 10 2 3 3 2" xfId="45243"/>
    <cellStyle name="Note 10 2 3 4" xfId="35599"/>
    <cellStyle name="Note 10 2 4" xfId="30741"/>
    <cellStyle name="Note 10 2 4 2" xfId="50480"/>
    <cellStyle name="Note 10 3" xfId="592"/>
    <cellStyle name="Note 10 4" xfId="15752"/>
    <cellStyle name="Note 10 4 2" xfId="20587"/>
    <cellStyle name="Note 10 4 2 2" xfId="30300"/>
    <cellStyle name="Note 10 4 2 2 2" xfId="50053"/>
    <cellStyle name="Note 10 4 2 3" xfId="40409"/>
    <cellStyle name="Note 10 4 3" xfId="25488"/>
    <cellStyle name="Note 10 4 3 2" xfId="45242"/>
    <cellStyle name="Note 10 4 4" xfId="35598"/>
    <cellStyle name="Note 10 5" xfId="30740"/>
    <cellStyle name="Note 10 5 2" xfId="50479"/>
    <cellStyle name="Note 11" xfId="593"/>
    <cellStyle name="Note 11 2" xfId="1144"/>
    <cellStyle name="Note 11 2 2" xfId="16455"/>
    <cellStyle name="Note 11 2 2 2" xfId="26171"/>
    <cellStyle name="Note 11 2 2 2 2" xfId="45925"/>
    <cellStyle name="Note 11 2 2 3" xfId="36281"/>
    <cellStyle name="Note 11 2 3" xfId="21361"/>
    <cellStyle name="Note 11 2 3 2" xfId="41116"/>
    <cellStyle name="Note 11 2 4" xfId="31472"/>
    <cellStyle name="Note 11 3" xfId="1145"/>
    <cellStyle name="Note 11 3 2" xfId="16456"/>
    <cellStyle name="Note 11 3 2 2" xfId="26172"/>
    <cellStyle name="Note 11 3 2 2 2" xfId="45926"/>
    <cellStyle name="Note 11 3 2 3" xfId="36282"/>
    <cellStyle name="Note 11 3 3" xfId="21362"/>
    <cellStyle name="Note 11 3 3 2" xfId="41117"/>
    <cellStyle name="Note 11 3 4" xfId="31473"/>
    <cellStyle name="Note 11 4" xfId="15754"/>
    <cellStyle name="Note 11 4 2" xfId="20589"/>
    <cellStyle name="Note 11 4 2 2" xfId="30302"/>
    <cellStyle name="Note 11 4 2 2 2" xfId="50055"/>
    <cellStyle name="Note 11 4 2 3" xfId="40411"/>
    <cellStyle name="Note 11 4 3" xfId="25490"/>
    <cellStyle name="Note 11 4 3 2" xfId="45244"/>
    <cellStyle name="Note 11 4 4" xfId="35600"/>
    <cellStyle name="Note 11 5" xfId="16017"/>
    <cellStyle name="Note 11 5 2" xfId="25733"/>
    <cellStyle name="Note 11 5 2 2" xfId="45487"/>
    <cellStyle name="Note 11 5 3" xfId="35843"/>
    <cellStyle name="Note 11 6" xfId="20920"/>
    <cellStyle name="Note 11 6 2" xfId="40678"/>
    <cellStyle name="Note 11 7" xfId="30742"/>
    <cellStyle name="Note 11 7 2" xfId="50481"/>
    <cellStyle name="Note 11 8" xfId="31031"/>
    <cellStyle name="Note 12" xfId="1146"/>
    <cellStyle name="Note 12 2" xfId="16457"/>
    <cellStyle name="Note 12 2 2" xfId="26173"/>
    <cellStyle name="Note 12 2 2 2" xfId="45927"/>
    <cellStyle name="Note 12 2 3" xfId="36283"/>
    <cellStyle name="Note 12 3" xfId="21363"/>
    <cellStyle name="Note 12 3 2" xfId="41118"/>
    <cellStyle name="Note 12 4" xfId="31474"/>
    <cellStyle name="Note 13" xfId="1147"/>
    <cellStyle name="Note 13 2" xfId="16458"/>
    <cellStyle name="Note 13 2 2" xfId="26174"/>
    <cellStyle name="Note 13 2 2 2" xfId="45928"/>
    <cellStyle name="Note 13 2 3" xfId="36284"/>
    <cellStyle name="Note 13 3" xfId="21364"/>
    <cellStyle name="Note 13 3 2" xfId="41119"/>
    <cellStyle name="Note 13 4" xfId="31475"/>
    <cellStyle name="Note 14" xfId="15799"/>
    <cellStyle name="Note 14 2" xfId="25515"/>
    <cellStyle name="Note 14 2 2" xfId="45269"/>
    <cellStyle name="Note 14 3" xfId="35625"/>
    <cellStyle name="Note 15" xfId="20664"/>
    <cellStyle name="Note 15 2" xfId="30341"/>
    <cellStyle name="Note 15 2 2" xfId="50090"/>
    <cellStyle name="Note 15 3" xfId="40446"/>
    <cellStyle name="Note 16" xfId="30356"/>
    <cellStyle name="Note 16 2" xfId="50105"/>
    <cellStyle name="Note 17" xfId="30766"/>
    <cellStyle name="Note 17 2" xfId="50505"/>
    <cellStyle name="Note 18" xfId="30780"/>
    <cellStyle name="Note 19" xfId="50521"/>
    <cellStyle name="Note 2" xfId="594"/>
    <cellStyle name="Note 2 10" xfId="14131"/>
    <cellStyle name="Note 2 10 2" xfId="14132"/>
    <cellStyle name="Note 2 10 2 2" xfId="14133"/>
    <cellStyle name="Note 2 10 3" xfId="14134"/>
    <cellStyle name="Note 2 11" xfId="14135"/>
    <cellStyle name="Note 2 11 2" xfId="14136"/>
    <cellStyle name="Note 2 12" xfId="14137"/>
    <cellStyle name="Note 2 12 2" xfId="14138"/>
    <cellStyle name="Note 2 13" xfId="14139"/>
    <cellStyle name="Note 2 13 2" xfId="14140"/>
    <cellStyle name="Note 2 14" xfId="14141"/>
    <cellStyle name="Note 2 15" xfId="15755"/>
    <cellStyle name="Note 2 15 2" xfId="20590"/>
    <cellStyle name="Note 2 15 2 2" xfId="30303"/>
    <cellStyle name="Note 2 15 2 2 2" xfId="50056"/>
    <cellStyle name="Note 2 15 2 3" xfId="40412"/>
    <cellStyle name="Note 2 15 3" xfId="25491"/>
    <cellStyle name="Note 2 15 3 2" xfId="45245"/>
    <cellStyle name="Note 2 15 4" xfId="35601"/>
    <cellStyle name="Note 2 16" xfId="20619"/>
    <cellStyle name="Note 2 17" xfId="30743"/>
    <cellStyle name="Note 2 17 2" xfId="50482"/>
    <cellStyle name="Note 2 18" xfId="50540"/>
    <cellStyle name="Note 2 2" xfId="595"/>
    <cellStyle name="Note 2 2 10" xfId="14142"/>
    <cellStyle name="Note 2 2 10 2" xfId="14143"/>
    <cellStyle name="Note 2 2 11" xfId="14144"/>
    <cellStyle name="Note 2 2 11 2" xfId="14145"/>
    <cellStyle name="Note 2 2 12" xfId="14146"/>
    <cellStyle name="Note 2 2 12 2" xfId="14147"/>
    <cellStyle name="Note 2 2 13" xfId="14148"/>
    <cellStyle name="Note 2 2 2" xfId="596"/>
    <cellStyle name="Note 2 2 2 10" xfId="14149"/>
    <cellStyle name="Note 2 2 2 10 2" xfId="14150"/>
    <cellStyle name="Note 2 2 2 11" xfId="14151"/>
    <cellStyle name="Note 2 2 2 11 2" xfId="14152"/>
    <cellStyle name="Note 2 2 2 12" xfId="14153"/>
    <cellStyle name="Note 2 2 2 2" xfId="14154"/>
    <cellStyle name="Note 2 2 2 2 2" xfId="14155"/>
    <cellStyle name="Note 2 2 2 2 2 2" xfId="14156"/>
    <cellStyle name="Note 2 2 2 2 2 2 2" xfId="14157"/>
    <cellStyle name="Note 2 2 2 2 2 2 2 2" xfId="14158"/>
    <cellStyle name="Note 2 2 2 2 2 2 2 2 2" xfId="14159"/>
    <cellStyle name="Note 2 2 2 2 2 2 2 3" xfId="14160"/>
    <cellStyle name="Note 2 2 2 2 2 2 3" xfId="14161"/>
    <cellStyle name="Note 2 2 2 2 2 2 3 2" xfId="14162"/>
    <cellStyle name="Note 2 2 2 2 2 2 4" xfId="14163"/>
    <cellStyle name="Note 2 2 2 2 2 3" xfId="14164"/>
    <cellStyle name="Note 2 2 2 2 2 3 2" xfId="14165"/>
    <cellStyle name="Note 2 2 2 2 2 3 2 2" xfId="14166"/>
    <cellStyle name="Note 2 2 2 2 2 3 3" xfId="14167"/>
    <cellStyle name="Note 2 2 2 2 2 4" xfId="14168"/>
    <cellStyle name="Note 2 2 2 2 2 4 2" xfId="14169"/>
    <cellStyle name="Note 2 2 2 2 2 5" xfId="14170"/>
    <cellStyle name="Note 2 2 2 2 3" xfId="14171"/>
    <cellStyle name="Note 2 2 2 2 3 2" xfId="14172"/>
    <cellStyle name="Note 2 2 2 2 3 2 2" xfId="14173"/>
    <cellStyle name="Note 2 2 2 2 3 2 2 2" xfId="14174"/>
    <cellStyle name="Note 2 2 2 2 3 2 3" xfId="14175"/>
    <cellStyle name="Note 2 2 2 2 3 3" xfId="14176"/>
    <cellStyle name="Note 2 2 2 2 3 3 2" xfId="14177"/>
    <cellStyle name="Note 2 2 2 2 3 4" xfId="14178"/>
    <cellStyle name="Note 2 2 2 2 4" xfId="14179"/>
    <cellStyle name="Note 2 2 2 2 4 2" xfId="14180"/>
    <cellStyle name="Note 2 2 2 2 4 2 2" xfId="14181"/>
    <cellStyle name="Note 2 2 2 2 4 3" xfId="14182"/>
    <cellStyle name="Note 2 2 2 2 5" xfId="14183"/>
    <cellStyle name="Note 2 2 2 2 5 2" xfId="14184"/>
    <cellStyle name="Note 2 2 2 2 6" xfId="14185"/>
    <cellStyle name="Note 2 2 2 2 6 2" xfId="14186"/>
    <cellStyle name="Note 2 2 2 2 7" xfId="14187"/>
    <cellStyle name="Note 2 2 2 2 7 2" xfId="14188"/>
    <cellStyle name="Note 2 2 2 2 8" xfId="14189"/>
    <cellStyle name="Note 2 2 2 3" xfId="14190"/>
    <cellStyle name="Note 2 2 2 3 2" xfId="14191"/>
    <cellStyle name="Note 2 2 2 3 2 2" xfId="14192"/>
    <cellStyle name="Note 2 2 2 3 2 2 2" xfId="14193"/>
    <cellStyle name="Note 2 2 2 3 2 2 2 2" xfId="14194"/>
    <cellStyle name="Note 2 2 2 3 2 2 3" xfId="14195"/>
    <cellStyle name="Note 2 2 2 3 2 3" xfId="14196"/>
    <cellStyle name="Note 2 2 2 3 2 3 2" xfId="14197"/>
    <cellStyle name="Note 2 2 2 3 2 4" xfId="14198"/>
    <cellStyle name="Note 2 2 2 3 3" xfId="14199"/>
    <cellStyle name="Note 2 2 2 3 3 2" xfId="14200"/>
    <cellStyle name="Note 2 2 2 3 3 2 2" xfId="14201"/>
    <cellStyle name="Note 2 2 2 3 3 3" xfId="14202"/>
    <cellStyle name="Note 2 2 2 3 4" xfId="14203"/>
    <cellStyle name="Note 2 2 2 3 4 2" xfId="14204"/>
    <cellStyle name="Note 2 2 2 3 5" xfId="14205"/>
    <cellStyle name="Note 2 2 2 4" xfId="14206"/>
    <cellStyle name="Note 2 2 2 4 2" xfId="14207"/>
    <cellStyle name="Note 2 2 2 4 2 2" xfId="14208"/>
    <cellStyle name="Note 2 2 2 4 2 2 2" xfId="14209"/>
    <cellStyle name="Note 2 2 2 4 2 2 2 2" xfId="14210"/>
    <cellStyle name="Note 2 2 2 4 2 2 3" xfId="14211"/>
    <cellStyle name="Note 2 2 2 4 2 3" xfId="14212"/>
    <cellStyle name="Note 2 2 2 4 2 3 2" xfId="14213"/>
    <cellStyle name="Note 2 2 2 4 2 4" xfId="14214"/>
    <cellStyle name="Note 2 2 2 4 3" xfId="14215"/>
    <cellStyle name="Note 2 2 2 4 3 2" xfId="14216"/>
    <cellStyle name="Note 2 2 2 4 3 2 2" xfId="14217"/>
    <cellStyle name="Note 2 2 2 4 3 3" xfId="14218"/>
    <cellStyle name="Note 2 2 2 4 4" xfId="14219"/>
    <cellStyle name="Note 2 2 2 4 4 2" xfId="14220"/>
    <cellStyle name="Note 2 2 2 4 5" xfId="14221"/>
    <cellStyle name="Note 2 2 2 5" xfId="14222"/>
    <cellStyle name="Note 2 2 2 5 2" xfId="14223"/>
    <cellStyle name="Note 2 2 2 6" xfId="14224"/>
    <cellStyle name="Note 2 2 2 6 2" xfId="14225"/>
    <cellStyle name="Note 2 2 2 6 2 2" xfId="14226"/>
    <cellStyle name="Note 2 2 2 6 2 2 2" xfId="14227"/>
    <cellStyle name="Note 2 2 2 6 2 3" xfId="14228"/>
    <cellStyle name="Note 2 2 2 6 3" xfId="14229"/>
    <cellStyle name="Note 2 2 2 6 3 2" xfId="14230"/>
    <cellStyle name="Note 2 2 2 6 4" xfId="14231"/>
    <cellStyle name="Note 2 2 2 7" xfId="14232"/>
    <cellStyle name="Note 2 2 2 7 2" xfId="14233"/>
    <cellStyle name="Note 2 2 2 7 2 2" xfId="14234"/>
    <cellStyle name="Note 2 2 2 7 3" xfId="14235"/>
    <cellStyle name="Note 2 2 2 8" xfId="14236"/>
    <cellStyle name="Note 2 2 2 8 2" xfId="14237"/>
    <cellStyle name="Note 2 2 2 8 2 2" xfId="14238"/>
    <cellStyle name="Note 2 2 2 8 3" xfId="14239"/>
    <cellStyle name="Note 2 2 2 9" xfId="14240"/>
    <cellStyle name="Note 2 2 2 9 2" xfId="14241"/>
    <cellStyle name="Note 2 2 3" xfId="14242"/>
    <cellStyle name="Note 2 2 3 2" xfId="14243"/>
    <cellStyle name="Note 2 2 3 2 2" xfId="14244"/>
    <cellStyle name="Note 2 2 3 2 2 2" xfId="14245"/>
    <cellStyle name="Note 2 2 3 2 2 2 2" xfId="14246"/>
    <cellStyle name="Note 2 2 3 2 2 2 2 2" xfId="14247"/>
    <cellStyle name="Note 2 2 3 2 2 2 3" xfId="14248"/>
    <cellStyle name="Note 2 2 3 2 2 3" xfId="14249"/>
    <cellStyle name="Note 2 2 3 2 2 3 2" xfId="14250"/>
    <cellStyle name="Note 2 2 3 2 2 4" xfId="14251"/>
    <cellStyle name="Note 2 2 3 2 3" xfId="14252"/>
    <cellStyle name="Note 2 2 3 2 3 2" xfId="14253"/>
    <cellStyle name="Note 2 2 3 2 3 2 2" xfId="14254"/>
    <cellStyle name="Note 2 2 3 2 3 3" xfId="14255"/>
    <cellStyle name="Note 2 2 3 2 4" xfId="14256"/>
    <cellStyle name="Note 2 2 3 2 4 2" xfId="14257"/>
    <cellStyle name="Note 2 2 3 2 5" xfId="14258"/>
    <cellStyle name="Note 2 2 3 3" xfId="14259"/>
    <cellStyle name="Note 2 2 3 3 2" xfId="14260"/>
    <cellStyle name="Note 2 2 3 3 2 2" xfId="14261"/>
    <cellStyle name="Note 2 2 3 3 2 2 2" xfId="14262"/>
    <cellStyle name="Note 2 2 3 3 2 3" xfId="14263"/>
    <cellStyle name="Note 2 2 3 3 3" xfId="14264"/>
    <cellStyle name="Note 2 2 3 3 3 2" xfId="14265"/>
    <cellStyle name="Note 2 2 3 3 4" xfId="14266"/>
    <cellStyle name="Note 2 2 3 4" xfId="14267"/>
    <cellStyle name="Note 2 2 3 4 2" xfId="14268"/>
    <cellStyle name="Note 2 2 3 4 2 2" xfId="14269"/>
    <cellStyle name="Note 2 2 3 4 3" xfId="14270"/>
    <cellStyle name="Note 2 2 3 5" xfId="14271"/>
    <cellStyle name="Note 2 2 3 5 2" xfId="14272"/>
    <cellStyle name="Note 2 2 3 6" xfId="14273"/>
    <cellStyle name="Note 2 2 3 6 2" xfId="14274"/>
    <cellStyle name="Note 2 2 3 7" xfId="14275"/>
    <cellStyle name="Note 2 2 3 7 2" xfId="14276"/>
    <cellStyle name="Note 2 2 3 8" xfId="14277"/>
    <cellStyle name="Note 2 2 4" xfId="14278"/>
    <cellStyle name="Note 2 2 4 2" xfId="14279"/>
    <cellStyle name="Note 2 2 4 2 2" xfId="14280"/>
    <cellStyle name="Note 2 2 4 2 2 2" xfId="14281"/>
    <cellStyle name="Note 2 2 4 2 2 2 2" xfId="14282"/>
    <cellStyle name="Note 2 2 4 2 2 3" xfId="14283"/>
    <cellStyle name="Note 2 2 4 2 3" xfId="14284"/>
    <cellStyle name="Note 2 2 4 2 3 2" xfId="14285"/>
    <cellStyle name="Note 2 2 4 2 4" xfId="14286"/>
    <cellStyle name="Note 2 2 4 3" xfId="14287"/>
    <cellStyle name="Note 2 2 4 3 2" xfId="14288"/>
    <cellStyle name="Note 2 2 4 3 2 2" xfId="14289"/>
    <cellStyle name="Note 2 2 4 3 3" xfId="14290"/>
    <cellStyle name="Note 2 2 4 4" xfId="14291"/>
    <cellStyle name="Note 2 2 4 4 2" xfId="14292"/>
    <cellStyle name="Note 2 2 4 5" xfId="14293"/>
    <cellStyle name="Note 2 2 5" xfId="14294"/>
    <cellStyle name="Note 2 2 5 2" xfId="14295"/>
    <cellStyle name="Note 2 2 5 2 2" xfId="14296"/>
    <cellStyle name="Note 2 2 5 2 2 2" xfId="14297"/>
    <cellStyle name="Note 2 2 5 2 2 2 2" xfId="14298"/>
    <cellStyle name="Note 2 2 5 2 2 3" xfId="14299"/>
    <cellStyle name="Note 2 2 5 2 3" xfId="14300"/>
    <cellStyle name="Note 2 2 5 2 3 2" xfId="14301"/>
    <cellStyle name="Note 2 2 5 2 4" xfId="14302"/>
    <cellStyle name="Note 2 2 5 3" xfId="14303"/>
    <cellStyle name="Note 2 2 5 3 2" xfId="14304"/>
    <cellStyle name="Note 2 2 5 3 2 2" xfId="14305"/>
    <cellStyle name="Note 2 2 5 3 3" xfId="14306"/>
    <cellStyle name="Note 2 2 5 4" xfId="14307"/>
    <cellStyle name="Note 2 2 5 4 2" xfId="14308"/>
    <cellStyle name="Note 2 2 5 5" xfId="14309"/>
    <cellStyle name="Note 2 2 6" xfId="14310"/>
    <cellStyle name="Note 2 2 6 2" xfId="14311"/>
    <cellStyle name="Note 2 2 7" xfId="14312"/>
    <cellStyle name="Note 2 2 7 2" xfId="14313"/>
    <cellStyle name="Note 2 2 7 2 2" xfId="14314"/>
    <cellStyle name="Note 2 2 7 2 2 2" xfId="14315"/>
    <cellStyle name="Note 2 2 7 2 3" xfId="14316"/>
    <cellStyle name="Note 2 2 7 3" xfId="14317"/>
    <cellStyle name="Note 2 2 7 3 2" xfId="14318"/>
    <cellStyle name="Note 2 2 7 4" xfId="14319"/>
    <cellStyle name="Note 2 2 8" xfId="14320"/>
    <cellStyle name="Note 2 2 8 2" xfId="14321"/>
    <cellStyle name="Note 2 2 8 2 2" xfId="14322"/>
    <cellStyle name="Note 2 2 8 3" xfId="14323"/>
    <cellStyle name="Note 2 2 9" xfId="14324"/>
    <cellStyle name="Note 2 2 9 2" xfId="14325"/>
    <cellStyle name="Note 2 2 9 2 2" xfId="14326"/>
    <cellStyle name="Note 2 2 9 3" xfId="14327"/>
    <cellStyle name="Note 2 3" xfId="597"/>
    <cellStyle name="Note 2 3 10" xfId="14328"/>
    <cellStyle name="Note 2 3 10 2" xfId="14329"/>
    <cellStyle name="Note 2 3 11" xfId="14330"/>
    <cellStyle name="Note 2 3 11 2" xfId="14331"/>
    <cellStyle name="Note 2 3 12" xfId="14332"/>
    <cellStyle name="Note 2 3 12 2" xfId="14333"/>
    <cellStyle name="Note 2 3 13" xfId="14334"/>
    <cellStyle name="Note 2 3 14" xfId="15756"/>
    <cellStyle name="Note 2 3 14 2" xfId="20591"/>
    <cellStyle name="Note 2 3 14 2 2" xfId="30304"/>
    <cellStyle name="Note 2 3 14 2 2 2" xfId="50057"/>
    <cellStyle name="Note 2 3 14 2 3" xfId="40413"/>
    <cellStyle name="Note 2 3 14 3" xfId="25492"/>
    <cellStyle name="Note 2 3 14 3 2" xfId="45246"/>
    <cellStyle name="Note 2 3 14 4" xfId="35602"/>
    <cellStyle name="Note 2 3 15" xfId="30744"/>
    <cellStyle name="Note 2 3 15 2" xfId="50483"/>
    <cellStyle name="Note 2 3 2" xfId="598"/>
    <cellStyle name="Note 2 3 2 10" xfId="14335"/>
    <cellStyle name="Note 2 3 2 10 2" xfId="14336"/>
    <cellStyle name="Note 2 3 2 11" xfId="14337"/>
    <cellStyle name="Note 2 3 2 12" xfId="15757"/>
    <cellStyle name="Note 2 3 2 12 2" xfId="20592"/>
    <cellStyle name="Note 2 3 2 12 2 2" xfId="30305"/>
    <cellStyle name="Note 2 3 2 12 2 2 2" xfId="50058"/>
    <cellStyle name="Note 2 3 2 12 2 3" xfId="40414"/>
    <cellStyle name="Note 2 3 2 12 3" xfId="25493"/>
    <cellStyle name="Note 2 3 2 12 3 2" xfId="45247"/>
    <cellStyle name="Note 2 3 2 12 4" xfId="35603"/>
    <cellStyle name="Note 2 3 2 13" xfId="30745"/>
    <cellStyle name="Note 2 3 2 13 2" xfId="50484"/>
    <cellStyle name="Note 2 3 2 2" xfId="599"/>
    <cellStyle name="Note 2 3 2 2 2" xfId="600"/>
    <cellStyle name="Note 2 3 2 2 3" xfId="15758"/>
    <cellStyle name="Note 2 3 2 2 3 2" xfId="20593"/>
    <cellStyle name="Note 2 3 2 2 3 2 2" xfId="30306"/>
    <cellStyle name="Note 2 3 2 2 3 2 2 2" xfId="50059"/>
    <cellStyle name="Note 2 3 2 2 3 2 3" xfId="40415"/>
    <cellStyle name="Note 2 3 2 2 3 3" xfId="25494"/>
    <cellStyle name="Note 2 3 2 2 3 3 2" xfId="45248"/>
    <cellStyle name="Note 2 3 2 2 3 4" xfId="35604"/>
    <cellStyle name="Note 2 3 2 2 4" xfId="30746"/>
    <cellStyle name="Note 2 3 2 2 4 2" xfId="50485"/>
    <cellStyle name="Note 2 3 2 3" xfId="601"/>
    <cellStyle name="Note 2 3 2 3 2" xfId="14338"/>
    <cellStyle name="Note 2 3 2 3 2 2" xfId="14339"/>
    <cellStyle name="Note 2 3 2 3 2 2 2" xfId="14340"/>
    <cellStyle name="Note 2 3 2 3 2 2 2 2" xfId="14341"/>
    <cellStyle name="Note 2 3 2 3 2 2 3" xfId="14342"/>
    <cellStyle name="Note 2 3 2 3 2 3" xfId="14343"/>
    <cellStyle name="Note 2 3 2 3 2 3 2" xfId="14344"/>
    <cellStyle name="Note 2 3 2 3 2 4" xfId="14345"/>
    <cellStyle name="Note 2 3 2 3 3" xfId="14346"/>
    <cellStyle name="Note 2 3 2 3 3 2" xfId="14347"/>
    <cellStyle name="Note 2 3 2 3 3 2 2" xfId="14348"/>
    <cellStyle name="Note 2 3 2 3 3 3" xfId="14349"/>
    <cellStyle name="Note 2 3 2 3 4" xfId="14350"/>
    <cellStyle name="Note 2 3 2 3 4 2" xfId="14351"/>
    <cellStyle name="Note 2 3 2 3 5" xfId="14352"/>
    <cellStyle name="Note 2 3 2 4" xfId="14353"/>
    <cellStyle name="Note 2 3 2 4 2" xfId="14354"/>
    <cellStyle name="Note 2 3 2 4 2 2" xfId="14355"/>
    <cellStyle name="Note 2 3 2 4 2 2 2" xfId="14356"/>
    <cellStyle name="Note 2 3 2 4 2 2 2 2" xfId="14357"/>
    <cellStyle name="Note 2 3 2 4 2 2 3" xfId="14358"/>
    <cellStyle name="Note 2 3 2 4 2 3" xfId="14359"/>
    <cellStyle name="Note 2 3 2 4 2 3 2" xfId="14360"/>
    <cellStyle name="Note 2 3 2 4 2 4" xfId="14361"/>
    <cellStyle name="Note 2 3 2 4 3" xfId="14362"/>
    <cellStyle name="Note 2 3 2 4 3 2" xfId="14363"/>
    <cellStyle name="Note 2 3 2 4 3 2 2" xfId="14364"/>
    <cellStyle name="Note 2 3 2 4 3 3" xfId="14365"/>
    <cellStyle name="Note 2 3 2 4 4" xfId="14366"/>
    <cellStyle name="Note 2 3 2 4 4 2" xfId="14367"/>
    <cellStyle name="Note 2 3 2 4 5" xfId="14368"/>
    <cellStyle name="Note 2 3 2 5" xfId="14369"/>
    <cellStyle name="Note 2 3 2 5 2" xfId="14370"/>
    <cellStyle name="Note 2 3 2 6" xfId="14371"/>
    <cellStyle name="Note 2 3 2 6 2" xfId="14372"/>
    <cellStyle name="Note 2 3 2 6 2 2" xfId="14373"/>
    <cellStyle name="Note 2 3 2 6 2 2 2" xfId="14374"/>
    <cellStyle name="Note 2 3 2 6 2 3" xfId="14375"/>
    <cellStyle name="Note 2 3 2 6 3" xfId="14376"/>
    <cellStyle name="Note 2 3 2 6 3 2" xfId="14377"/>
    <cellStyle name="Note 2 3 2 6 4" xfId="14378"/>
    <cellStyle name="Note 2 3 2 7" xfId="14379"/>
    <cellStyle name="Note 2 3 2 7 2" xfId="14380"/>
    <cellStyle name="Note 2 3 2 7 2 2" xfId="14381"/>
    <cellStyle name="Note 2 3 2 7 3" xfId="14382"/>
    <cellStyle name="Note 2 3 2 8" xfId="14383"/>
    <cellStyle name="Note 2 3 2 8 2" xfId="14384"/>
    <cellStyle name="Note 2 3 2 9" xfId="14385"/>
    <cellStyle name="Note 2 3 2 9 2" xfId="14386"/>
    <cellStyle name="Note 2 3 3" xfId="602"/>
    <cellStyle name="Note 2 3 3 2" xfId="603"/>
    <cellStyle name="Note 2 3 3 2 2" xfId="14387"/>
    <cellStyle name="Note 2 3 3 3" xfId="14388"/>
    <cellStyle name="Note 2 3 3 3 2" xfId="14389"/>
    <cellStyle name="Note 2 3 3 3 2 2" xfId="14390"/>
    <cellStyle name="Note 2 3 3 3 2 2 2" xfId="14391"/>
    <cellStyle name="Note 2 3 3 3 2 3" xfId="14392"/>
    <cellStyle name="Note 2 3 3 3 3" xfId="14393"/>
    <cellStyle name="Note 2 3 3 3 3 2" xfId="14394"/>
    <cellStyle name="Note 2 3 3 3 4" xfId="14395"/>
    <cellStyle name="Note 2 3 3 4" xfId="14396"/>
    <cellStyle name="Note 2 3 3 4 2" xfId="14397"/>
    <cellStyle name="Note 2 3 3 4 2 2" xfId="14398"/>
    <cellStyle name="Note 2 3 3 4 3" xfId="14399"/>
    <cellStyle name="Note 2 3 3 5" xfId="14400"/>
    <cellStyle name="Note 2 3 3 5 2" xfId="14401"/>
    <cellStyle name="Note 2 3 3 6" xfId="14402"/>
    <cellStyle name="Note 2 3 3 7" xfId="15759"/>
    <cellStyle name="Note 2 3 3 7 2" xfId="20594"/>
    <cellStyle name="Note 2 3 3 7 2 2" xfId="30307"/>
    <cellStyle name="Note 2 3 3 7 2 2 2" xfId="50060"/>
    <cellStyle name="Note 2 3 3 7 2 3" xfId="40416"/>
    <cellStyle name="Note 2 3 3 7 3" xfId="25495"/>
    <cellStyle name="Note 2 3 3 7 3 2" xfId="45249"/>
    <cellStyle name="Note 2 3 3 7 4" xfId="35605"/>
    <cellStyle name="Note 2 3 3 8" xfId="30747"/>
    <cellStyle name="Note 2 3 3 8 2" xfId="50486"/>
    <cellStyle name="Note 2 3 4" xfId="604"/>
    <cellStyle name="Note 2 3 4 2" xfId="14403"/>
    <cellStyle name="Note 2 3 4 2 2" xfId="14404"/>
    <cellStyle name="Note 2 3 4 2 2 2" xfId="14405"/>
    <cellStyle name="Note 2 3 4 2 2 2 2" xfId="14406"/>
    <cellStyle name="Note 2 3 4 2 2 3" xfId="14407"/>
    <cellStyle name="Note 2 3 4 2 3" xfId="14408"/>
    <cellStyle name="Note 2 3 4 2 3 2" xfId="14409"/>
    <cellStyle name="Note 2 3 4 2 4" xfId="14410"/>
    <cellStyle name="Note 2 3 4 3" xfId="14411"/>
    <cellStyle name="Note 2 3 4 3 2" xfId="14412"/>
    <cellStyle name="Note 2 3 4 3 2 2" xfId="14413"/>
    <cellStyle name="Note 2 3 4 3 3" xfId="14414"/>
    <cellStyle name="Note 2 3 4 4" xfId="14415"/>
    <cellStyle name="Note 2 3 4 4 2" xfId="14416"/>
    <cellStyle name="Note 2 3 4 5" xfId="14417"/>
    <cellStyle name="Note 2 3 5" xfId="14418"/>
    <cellStyle name="Note 2 3 5 2" xfId="14419"/>
    <cellStyle name="Note 2 3 5 2 2" xfId="14420"/>
    <cellStyle name="Note 2 3 5 2 2 2" xfId="14421"/>
    <cellStyle name="Note 2 3 5 2 2 2 2" xfId="14422"/>
    <cellStyle name="Note 2 3 5 2 2 3" xfId="14423"/>
    <cellStyle name="Note 2 3 5 2 3" xfId="14424"/>
    <cellStyle name="Note 2 3 5 2 3 2" xfId="14425"/>
    <cellStyle name="Note 2 3 5 2 4" xfId="14426"/>
    <cellStyle name="Note 2 3 5 3" xfId="14427"/>
    <cellStyle name="Note 2 3 5 3 2" xfId="14428"/>
    <cellStyle name="Note 2 3 5 3 2 2" xfId="14429"/>
    <cellStyle name="Note 2 3 5 3 3" xfId="14430"/>
    <cellStyle name="Note 2 3 5 4" xfId="14431"/>
    <cellStyle name="Note 2 3 5 4 2" xfId="14432"/>
    <cellStyle name="Note 2 3 5 5" xfId="14433"/>
    <cellStyle name="Note 2 3 6" xfId="14434"/>
    <cellStyle name="Note 2 3 6 2" xfId="14435"/>
    <cellStyle name="Note 2 3 7" xfId="14436"/>
    <cellStyle name="Note 2 3 7 2" xfId="14437"/>
    <cellStyle name="Note 2 3 7 2 2" xfId="14438"/>
    <cellStyle name="Note 2 3 7 2 2 2" xfId="14439"/>
    <cellStyle name="Note 2 3 7 2 3" xfId="14440"/>
    <cellStyle name="Note 2 3 7 3" xfId="14441"/>
    <cellStyle name="Note 2 3 7 3 2" xfId="14442"/>
    <cellStyle name="Note 2 3 7 4" xfId="14443"/>
    <cellStyle name="Note 2 3 8" xfId="14444"/>
    <cellStyle name="Note 2 3 8 2" xfId="14445"/>
    <cellStyle name="Note 2 3 8 2 2" xfId="14446"/>
    <cellStyle name="Note 2 3 8 3" xfId="14447"/>
    <cellStyle name="Note 2 3 9" xfId="14448"/>
    <cellStyle name="Note 2 3 9 2" xfId="14449"/>
    <cellStyle name="Note 2 3 9 2 2" xfId="14450"/>
    <cellStyle name="Note 2 3 9 3" xfId="14451"/>
    <cellStyle name="Note 2 4" xfId="605"/>
    <cellStyle name="Note 2 4 10" xfId="14452"/>
    <cellStyle name="Note 2 4 10 2" xfId="14453"/>
    <cellStyle name="Note 2 4 11" xfId="14454"/>
    <cellStyle name="Note 2 4 12" xfId="15760"/>
    <cellStyle name="Note 2 4 12 2" xfId="20595"/>
    <cellStyle name="Note 2 4 12 2 2" xfId="30308"/>
    <cellStyle name="Note 2 4 12 2 2 2" xfId="50061"/>
    <cellStyle name="Note 2 4 12 2 3" xfId="40417"/>
    <cellStyle name="Note 2 4 12 3" xfId="25496"/>
    <cellStyle name="Note 2 4 12 3 2" xfId="45250"/>
    <cellStyle name="Note 2 4 12 4" xfId="35606"/>
    <cellStyle name="Note 2 4 13" xfId="30748"/>
    <cellStyle name="Note 2 4 13 2" xfId="50487"/>
    <cellStyle name="Note 2 4 2" xfId="606"/>
    <cellStyle name="Note 2 4 2 2" xfId="607"/>
    <cellStyle name="Note 2 4 2 3" xfId="15761"/>
    <cellStyle name="Note 2 4 2 3 2" xfId="20596"/>
    <cellStyle name="Note 2 4 2 3 2 2" xfId="30309"/>
    <cellStyle name="Note 2 4 2 3 2 2 2" xfId="50062"/>
    <cellStyle name="Note 2 4 2 3 2 3" xfId="40418"/>
    <cellStyle name="Note 2 4 2 3 3" xfId="25497"/>
    <cellStyle name="Note 2 4 2 3 3 2" xfId="45251"/>
    <cellStyle name="Note 2 4 2 3 4" xfId="35607"/>
    <cellStyle name="Note 2 4 2 4" xfId="30749"/>
    <cellStyle name="Note 2 4 2 4 2" xfId="50488"/>
    <cellStyle name="Note 2 4 3" xfId="608"/>
    <cellStyle name="Note 2 4 3 2" xfId="14455"/>
    <cellStyle name="Note 2 4 3 2 2" xfId="14456"/>
    <cellStyle name="Note 2 4 3 2 2 2" xfId="14457"/>
    <cellStyle name="Note 2 4 3 2 2 2 2" xfId="14458"/>
    <cellStyle name="Note 2 4 3 2 2 3" xfId="14459"/>
    <cellStyle name="Note 2 4 3 2 3" xfId="14460"/>
    <cellStyle name="Note 2 4 3 2 3 2" xfId="14461"/>
    <cellStyle name="Note 2 4 3 2 4" xfId="14462"/>
    <cellStyle name="Note 2 4 3 3" xfId="14463"/>
    <cellStyle name="Note 2 4 3 3 2" xfId="14464"/>
    <cellStyle name="Note 2 4 3 3 2 2" xfId="14465"/>
    <cellStyle name="Note 2 4 3 3 3" xfId="14466"/>
    <cellStyle name="Note 2 4 3 4" xfId="14467"/>
    <cellStyle name="Note 2 4 3 4 2" xfId="14468"/>
    <cellStyle name="Note 2 4 3 5" xfId="14469"/>
    <cellStyle name="Note 2 4 4" xfId="14470"/>
    <cellStyle name="Note 2 4 4 2" xfId="14471"/>
    <cellStyle name="Note 2 4 4 2 2" xfId="14472"/>
    <cellStyle name="Note 2 4 4 2 2 2" xfId="14473"/>
    <cellStyle name="Note 2 4 4 2 2 2 2" xfId="14474"/>
    <cellStyle name="Note 2 4 4 2 2 3" xfId="14475"/>
    <cellStyle name="Note 2 4 4 2 3" xfId="14476"/>
    <cellStyle name="Note 2 4 4 2 3 2" xfId="14477"/>
    <cellStyle name="Note 2 4 4 2 4" xfId="14478"/>
    <cellStyle name="Note 2 4 4 3" xfId="14479"/>
    <cellStyle name="Note 2 4 4 3 2" xfId="14480"/>
    <cellStyle name="Note 2 4 4 3 2 2" xfId="14481"/>
    <cellStyle name="Note 2 4 4 3 3" xfId="14482"/>
    <cellStyle name="Note 2 4 4 4" xfId="14483"/>
    <cellStyle name="Note 2 4 4 4 2" xfId="14484"/>
    <cellStyle name="Note 2 4 4 5" xfId="14485"/>
    <cellStyle name="Note 2 4 5" xfId="14486"/>
    <cellStyle name="Note 2 4 5 2" xfId="14487"/>
    <cellStyle name="Note 2 4 6" xfId="14488"/>
    <cellStyle name="Note 2 4 6 2" xfId="14489"/>
    <cellStyle name="Note 2 4 6 2 2" xfId="14490"/>
    <cellStyle name="Note 2 4 6 2 2 2" xfId="14491"/>
    <cellStyle name="Note 2 4 6 2 3" xfId="14492"/>
    <cellStyle name="Note 2 4 6 3" xfId="14493"/>
    <cellStyle name="Note 2 4 6 3 2" xfId="14494"/>
    <cellStyle name="Note 2 4 6 4" xfId="14495"/>
    <cellStyle name="Note 2 4 7" xfId="14496"/>
    <cellStyle name="Note 2 4 7 2" xfId="14497"/>
    <cellStyle name="Note 2 4 7 2 2" xfId="14498"/>
    <cellStyle name="Note 2 4 7 3" xfId="14499"/>
    <cellStyle name="Note 2 4 8" xfId="14500"/>
    <cellStyle name="Note 2 4 8 2" xfId="14501"/>
    <cellStyle name="Note 2 4 9" xfId="14502"/>
    <cellStyle name="Note 2 4 9 2" xfId="14503"/>
    <cellStyle name="Note 2 5" xfId="609"/>
    <cellStyle name="Note 2 5 10" xfId="31032"/>
    <cellStyle name="Note 2 5 2" xfId="1148"/>
    <cellStyle name="Note 2 5 2 2" xfId="14504"/>
    <cellStyle name="Note 2 5 2 2 2" xfId="14505"/>
    <cellStyle name="Note 2 5 2 2 2 2" xfId="14506"/>
    <cellStyle name="Note 2 5 2 2 3" xfId="14507"/>
    <cellStyle name="Note 2 5 2 3" xfId="14508"/>
    <cellStyle name="Note 2 5 2 3 2" xfId="14509"/>
    <cellStyle name="Note 2 5 2 4" xfId="14510"/>
    <cellStyle name="Note 2 5 2 5" xfId="16459"/>
    <cellStyle name="Note 2 5 2 5 2" xfId="26175"/>
    <cellStyle name="Note 2 5 2 5 2 2" xfId="45929"/>
    <cellStyle name="Note 2 5 2 5 3" xfId="36285"/>
    <cellStyle name="Note 2 5 2 6" xfId="21365"/>
    <cellStyle name="Note 2 5 2 6 2" xfId="41120"/>
    <cellStyle name="Note 2 5 2 7" xfId="31476"/>
    <cellStyle name="Note 2 5 3" xfId="14511"/>
    <cellStyle name="Note 2 5 3 2" xfId="14512"/>
    <cellStyle name="Note 2 5 3 2 2" xfId="14513"/>
    <cellStyle name="Note 2 5 3 3" xfId="14514"/>
    <cellStyle name="Note 2 5 4" xfId="14515"/>
    <cellStyle name="Note 2 5 4 2" xfId="14516"/>
    <cellStyle name="Note 2 5 5" xfId="14517"/>
    <cellStyle name="Note 2 5 6" xfId="15762"/>
    <cellStyle name="Note 2 5 6 2" xfId="20597"/>
    <cellStyle name="Note 2 5 6 2 2" xfId="30310"/>
    <cellStyle name="Note 2 5 6 2 2 2" xfId="50063"/>
    <cellStyle name="Note 2 5 6 2 3" xfId="40419"/>
    <cellStyle name="Note 2 5 6 3" xfId="25498"/>
    <cellStyle name="Note 2 5 6 3 2" xfId="45252"/>
    <cellStyle name="Note 2 5 6 4" xfId="35608"/>
    <cellStyle name="Note 2 5 7" xfId="16018"/>
    <cellStyle name="Note 2 5 7 2" xfId="25734"/>
    <cellStyle name="Note 2 5 7 2 2" xfId="45488"/>
    <cellStyle name="Note 2 5 7 3" xfId="35844"/>
    <cellStyle name="Note 2 5 8" xfId="20921"/>
    <cellStyle name="Note 2 5 8 2" xfId="40679"/>
    <cellStyle name="Note 2 5 9" xfId="30750"/>
    <cellStyle name="Note 2 5 9 2" xfId="50489"/>
    <cellStyle name="Note 2 6" xfId="1149"/>
    <cellStyle name="Note 2 6 2" xfId="14518"/>
    <cellStyle name="Note 2 6 2 2" xfId="14519"/>
    <cellStyle name="Note 2 6 2 2 2" xfId="14520"/>
    <cellStyle name="Note 2 6 2 2 2 2" xfId="14521"/>
    <cellStyle name="Note 2 6 2 2 3" xfId="14522"/>
    <cellStyle name="Note 2 6 2 3" xfId="14523"/>
    <cellStyle name="Note 2 6 2 3 2" xfId="14524"/>
    <cellStyle name="Note 2 6 2 4" xfId="14525"/>
    <cellStyle name="Note 2 6 3" xfId="14526"/>
    <cellStyle name="Note 2 6 3 2" xfId="14527"/>
    <cellStyle name="Note 2 6 3 2 2" xfId="14528"/>
    <cellStyle name="Note 2 6 3 3" xfId="14529"/>
    <cellStyle name="Note 2 6 4" xfId="14530"/>
    <cellStyle name="Note 2 6 4 2" xfId="14531"/>
    <cellStyle name="Note 2 6 5" xfId="14532"/>
    <cellStyle name="Note 2 6 6" xfId="16460"/>
    <cellStyle name="Note 2 6 6 2" xfId="26176"/>
    <cellStyle name="Note 2 6 6 2 2" xfId="45930"/>
    <cellStyle name="Note 2 6 6 3" xfId="36286"/>
    <cellStyle name="Note 2 6 7" xfId="21366"/>
    <cellStyle name="Note 2 6 7 2" xfId="41121"/>
    <cellStyle name="Note 2 6 8" xfId="31477"/>
    <cellStyle name="Note 2 7" xfId="14533"/>
    <cellStyle name="Note 2 7 2" xfId="14534"/>
    <cellStyle name="Note 2 8" xfId="14535"/>
    <cellStyle name="Note 2 8 2" xfId="14536"/>
    <cellStyle name="Note 2 8 2 2" xfId="14537"/>
    <cellStyle name="Note 2 8 2 2 2" xfId="14538"/>
    <cellStyle name="Note 2 8 2 3" xfId="14539"/>
    <cellStyle name="Note 2 8 3" xfId="14540"/>
    <cellStyle name="Note 2 8 3 2" xfId="14541"/>
    <cellStyle name="Note 2 8 4" xfId="14542"/>
    <cellStyle name="Note 2 9" xfId="14543"/>
    <cellStyle name="Note 2 9 2" xfId="14544"/>
    <cellStyle name="Note 2 9 2 2" xfId="14545"/>
    <cellStyle name="Note 2 9 3" xfId="14546"/>
    <cellStyle name="Note 2_Table 22-23" xfId="1150"/>
    <cellStyle name="Note 3" xfId="610"/>
    <cellStyle name="Note 3 10" xfId="14547"/>
    <cellStyle name="Note 3 10 2" xfId="14548"/>
    <cellStyle name="Note 3 10 2 2" xfId="14549"/>
    <cellStyle name="Note 3 10 3" xfId="14550"/>
    <cellStyle name="Note 3 11" xfId="14551"/>
    <cellStyle name="Note 3 11 2" xfId="14552"/>
    <cellStyle name="Note 3 12" xfId="14553"/>
    <cellStyle name="Note 3 12 2" xfId="14554"/>
    <cellStyle name="Note 3 13" xfId="14555"/>
    <cellStyle name="Note 3 13 2" xfId="14556"/>
    <cellStyle name="Note 3 14" xfId="14557"/>
    <cellStyle name="Note 3 2" xfId="611"/>
    <cellStyle name="Note 3 2 10" xfId="14558"/>
    <cellStyle name="Note 3 2 10 2" xfId="14559"/>
    <cellStyle name="Note 3 2 11" xfId="14560"/>
    <cellStyle name="Note 3 2 11 2" xfId="14561"/>
    <cellStyle name="Note 3 2 12" xfId="14562"/>
    <cellStyle name="Note 3 2 12 2" xfId="14563"/>
    <cellStyle name="Note 3 2 13" xfId="14564"/>
    <cellStyle name="Note 3 2 2" xfId="14565"/>
    <cellStyle name="Note 3 2 2 10" xfId="14566"/>
    <cellStyle name="Note 3 2 2 10 2" xfId="14567"/>
    <cellStyle name="Note 3 2 2 11" xfId="14568"/>
    <cellStyle name="Note 3 2 2 2" xfId="14569"/>
    <cellStyle name="Note 3 2 2 2 2" xfId="14570"/>
    <cellStyle name="Note 3 2 2 2 2 2" xfId="14571"/>
    <cellStyle name="Note 3 2 2 2 2 2 2" xfId="14572"/>
    <cellStyle name="Note 3 2 2 2 2 2 2 2" xfId="14573"/>
    <cellStyle name="Note 3 2 2 2 2 2 2 2 2" xfId="14574"/>
    <cellStyle name="Note 3 2 2 2 2 2 2 3" xfId="14575"/>
    <cellStyle name="Note 3 2 2 2 2 2 3" xfId="14576"/>
    <cellStyle name="Note 3 2 2 2 2 2 3 2" xfId="14577"/>
    <cellStyle name="Note 3 2 2 2 2 2 4" xfId="14578"/>
    <cellStyle name="Note 3 2 2 2 2 3" xfId="14579"/>
    <cellStyle name="Note 3 2 2 2 2 3 2" xfId="14580"/>
    <cellStyle name="Note 3 2 2 2 2 3 2 2" xfId="14581"/>
    <cellStyle name="Note 3 2 2 2 2 3 3" xfId="14582"/>
    <cellStyle name="Note 3 2 2 2 2 4" xfId="14583"/>
    <cellStyle name="Note 3 2 2 2 2 4 2" xfId="14584"/>
    <cellStyle name="Note 3 2 2 2 2 5" xfId="14585"/>
    <cellStyle name="Note 3 2 2 2 3" xfId="14586"/>
    <cellStyle name="Note 3 2 2 2 3 2" xfId="14587"/>
    <cellStyle name="Note 3 2 2 2 3 2 2" xfId="14588"/>
    <cellStyle name="Note 3 2 2 2 3 2 2 2" xfId="14589"/>
    <cellStyle name="Note 3 2 2 2 3 2 3" xfId="14590"/>
    <cellStyle name="Note 3 2 2 2 3 3" xfId="14591"/>
    <cellStyle name="Note 3 2 2 2 3 3 2" xfId="14592"/>
    <cellStyle name="Note 3 2 2 2 3 4" xfId="14593"/>
    <cellStyle name="Note 3 2 2 2 4" xfId="14594"/>
    <cellStyle name="Note 3 2 2 2 4 2" xfId="14595"/>
    <cellStyle name="Note 3 2 2 2 4 2 2" xfId="14596"/>
    <cellStyle name="Note 3 2 2 2 4 3" xfId="14597"/>
    <cellStyle name="Note 3 2 2 2 5" xfId="14598"/>
    <cellStyle name="Note 3 2 2 2 5 2" xfId="14599"/>
    <cellStyle name="Note 3 2 2 2 6" xfId="14600"/>
    <cellStyle name="Note 3 2 2 2 6 2" xfId="14601"/>
    <cellStyle name="Note 3 2 2 2 7" xfId="14602"/>
    <cellStyle name="Note 3 2 2 2 7 2" xfId="14603"/>
    <cellStyle name="Note 3 2 2 2 8" xfId="14604"/>
    <cellStyle name="Note 3 2 2 3" xfId="14605"/>
    <cellStyle name="Note 3 2 2 3 2" xfId="14606"/>
    <cellStyle name="Note 3 2 2 3 2 2" xfId="14607"/>
    <cellStyle name="Note 3 2 2 3 2 2 2" xfId="14608"/>
    <cellStyle name="Note 3 2 2 3 2 2 2 2" xfId="14609"/>
    <cellStyle name="Note 3 2 2 3 2 2 3" xfId="14610"/>
    <cellStyle name="Note 3 2 2 3 2 3" xfId="14611"/>
    <cellStyle name="Note 3 2 2 3 2 3 2" xfId="14612"/>
    <cellStyle name="Note 3 2 2 3 2 4" xfId="14613"/>
    <cellStyle name="Note 3 2 2 3 3" xfId="14614"/>
    <cellStyle name="Note 3 2 2 3 3 2" xfId="14615"/>
    <cellStyle name="Note 3 2 2 3 3 2 2" xfId="14616"/>
    <cellStyle name="Note 3 2 2 3 3 3" xfId="14617"/>
    <cellStyle name="Note 3 2 2 3 4" xfId="14618"/>
    <cellStyle name="Note 3 2 2 3 4 2" xfId="14619"/>
    <cellStyle name="Note 3 2 2 3 5" xfId="14620"/>
    <cellStyle name="Note 3 2 2 4" xfId="14621"/>
    <cellStyle name="Note 3 2 2 4 2" xfId="14622"/>
    <cellStyle name="Note 3 2 2 4 2 2" xfId="14623"/>
    <cellStyle name="Note 3 2 2 4 2 2 2" xfId="14624"/>
    <cellStyle name="Note 3 2 2 4 2 2 2 2" xfId="14625"/>
    <cellStyle name="Note 3 2 2 4 2 2 3" xfId="14626"/>
    <cellStyle name="Note 3 2 2 4 2 3" xfId="14627"/>
    <cellStyle name="Note 3 2 2 4 2 3 2" xfId="14628"/>
    <cellStyle name="Note 3 2 2 4 2 4" xfId="14629"/>
    <cellStyle name="Note 3 2 2 4 3" xfId="14630"/>
    <cellStyle name="Note 3 2 2 4 3 2" xfId="14631"/>
    <cellStyle name="Note 3 2 2 4 3 2 2" xfId="14632"/>
    <cellStyle name="Note 3 2 2 4 3 3" xfId="14633"/>
    <cellStyle name="Note 3 2 2 4 4" xfId="14634"/>
    <cellStyle name="Note 3 2 2 4 4 2" xfId="14635"/>
    <cellStyle name="Note 3 2 2 4 5" xfId="14636"/>
    <cellStyle name="Note 3 2 2 5" xfId="14637"/>
    <cellStyle name="Note 3 2 2 5 2" xfId="14638"/>
    <cellStyle name="Note 3 2 2 5 2 2" xfId="14639"/>
    <cellStyle name="Note 3 2 2 5 2 2 2" xfId="14640"/>
    <cellStyle name="Note 3 2 2 5 2 3" xfId="14641"/>
    <cellStyle name="Note 3 2 2 5 3" xfId="14642"/>
    <cellStyle name="Note 3 2 2 5 3 2" xfId="14643"/>
    <cellStyle name="Note 3 2 2 5 4" xfId="14644"/>
    <cellStyle name="Note 3 2 2 6" xfId="14645"/>
    <cellStyle name="Note 3 2 2 6 2" xfId="14646"/>
    <cellStyle name="Note 3 2 2 6 2 2" xfId="14647"/>
    <cellStyle name="Note 3 2 2 6 3" xfId="14648"/>
    <cellStyle name="Note 3 2 2 7" xfId="14649"/>
    <cellStyle name="Note 3 2 2 7 2" xfId="14650"/>
    <cellStyle name="Note 3 2 2 7 2 2" xfId="14651"/>
    <cellStyle name="Note 3 2 2 7 3" xfId="14652"/>
    <cellStyle name="Note 3 2 2 8" xfId="14653"/>
    <cellStyle name="Note 3 2 2 8 2" xfId="14654"/>
    <cellStyle name="Note 3 2 2 9" xfId="14655"/>
    <cellStyle name="Note 3 2 2 9 2" xfId="14656"/>
    <cellStyle name="Note 3 2 3" xfId="14657"/>
    <cellStyle name="Note 3 2 3 2" xfId="14658"/>
    <cellStyle name="Note 3 2 3 2 2" xfId="14659"/>
    <cellStyle name="Note 3 2 3 2 2 2" xfId="14660"/>
    <cellStyle name="Note 3 2 3 2 2 2 2" xfId="14661"/>
    <cellStyle name="Note 3 2 3 2 2 2 2 2" xfId="14662"/>
    <cellStyle name="Note 3 2 3 2 2 2 3" xfId="14663"/>
    <cellStyle name="Note 3 2 3 2 2 3" xfId="14664"/>
    <cellStyle name="Note 3 2 3 2 2 3 2" xfId="14665"/>
    <cellStyle name="Note 3 2 3 2 2 4" xfId="14666"/>
    <cellStyle name="Note 3 2 3 2 3" xfId="14667"/>
    <cellStyle name="Note 3 2 3 2 3 2" xfId="14668"/>
    <cellStyle name="Note 3 2 3 2 3 2 2" xfId="14669"/>
    <cellStyle name="Note 3 2 3 2 3 3" xfId="14670"/>
    <cellStyle name="Note 3 2 3 2 4" xfId="14671"/>
    <cellStyle name="Note 3 2 3 2 4 2" xfId="14672"/>
    <cellStyle name="Note 3 2 3 2 5" xfId="14673"/>
    <cellStyle name="Note 3 2 3 3" xfId="14674"/>
    <cellStyle name="Note 3 2 3 3 2" xfId="14675"/>
    <cellStyle name="Note 3 2 3 3 2 2" xfId="14676"/>
    <cellStyle name="Note 3 2 3 3 2 2 2" xfId="14677"/>
    <cellStyle name="Note 3 2 3 3 2 3" xfId="14678"/>
    <cellStyle name="Note 3 2 3 3 3" xfId="14679"/>
    <cellStyle name="Note 3 2 3 3 3 2" xfId="14680"/>
    <cellStyle name="Note 3 2 3 3 4" xfId="14681"/>
    <cellStyle name="Note 3 2 3 4" xfId="14682"/>
    <cellStyle name="Note 3 2 3 4 2" xfId="14683"/>
    <cellStyle name="Note 3 2 3 4 2 2" xfId="14684"/>
    <cellStyle name="Note 3 2 3 4 3" xfId="14685"/>
    <cellStyle name="Note 3 2 3 5" xfId="14686"/>
    <cellStyle name="Note 3 2 3 5 2" xfId="14687"/>
    <cellStyle name="Note 3 2 3 6" xfId="14688"/>
    <cellStyle name="Note 3 2 3 6 2" xfId="14689"/>
    <cellStyle name="Note 3 2 3 7" xfId="14690"/>
    <cellStyle name="Note 3 2 3 7 2" xfId="14691"/>
    <cellStyle name="Note 3 2 3 8" xfId="14692"/>
    <cellStyle name="Note 3 2 4" xfId="14693"/>
    <cellStyle name="Note 3 2 4 2" xfId="14694"/>
    <cellStyle name="Note 3 2 4 2 2" xfId="14695"/>
    <cellStyle name="Note 3 2 4 2 2 2" xfId="14696"/>
    <cellStyle name="Note 3 2 4 2 2 2 2" xfId="14697"/>
    <cellStyle name="Note 3 2 4 2 2 3" xfId="14698"/>
    <cellStyle name="Note 3 2 4 2 3" xfId="14699"/>
    <cellStyle name="Note 3 2 4 2 3 2" xfId="14700"/>
    <cellStyle name="Note 3 2 4 2 4" xfId="14701"/>
    <cellStyle name="Note 3 2 4 3" xfId="14702"/>
    <cellStyle name="Note 3 2 4 3 2" xfId="14703"/>
    <cellStyle name="Note 3 2 4 3 2 2" xfId="14704"/>
    <cellStyle name="Note 3 2 4 3 3" xfId="14705"/>
    <cellStyle name="Note 3 2 4 4" xfId="14706"/>
    <cellStyle name="Note 3 2 4 4 2" xfId="14707"/>
    <cellStyle name="Note 3 2 4 5" xfId="14708"/>
    <cellStyle name="Note 3 2 5" xfId="14709"/>
    <cellStyle name="Note 3 2 5 2" xfId="14710"/>
    <cellStyle name="Note 3 2 5 2 2" xfId="14711"/>
    <cellStyle name="Note 3 2 5 2 2 2" xfId="14712"/>
    <cellStyle name="Note 3 2 5 2 2 2 2" xfId="14713"/>
    <cellStyle name="Note 3 2 5 2 2 3" xfId="14714"/>
    <cellStyle name="Note 3 2 5 2 3" xfId="14715"/>
    <cellStyle name="Note 3 2 5 2 3 2" xfId="14716"/>
    <cellStyle name="Note 3 2 5 2 4" xfId="14717"/>
    <cellStyle name="Note 3 2 5 3" xfId="14718"/>
    <cellStyle name="Note 3 2 5 3 2" xfId="14719"/>
    <cellStyle name="Note 3 2 5 3 2 2" xfId="14720"/>
    <cellStyle name="Note 3 2 5 3 3" xfId="14721"/>
    <cellStyle name="Note 3 2 5 4" xfId="14722"/>
    <cellStyle name="Note 3 2 5 4 2" xfId="14723"/>
    <cellStyle name="Note 3 2 5 5" xfId="14724"/>
    <cellStyle name="Note 3 2 6" xfId="14725"/>
    <cellStyle name="Note 3 2 6 2" xfId="14726"/>
    <cellStyle name="Note 3 2 7" xfId="14727"/>
    <cellStyle name="Note 3 2 7 2" xfId="14728"/>
    <cellStyle name="Note 3 2 7 2 2" xfId="14729"/>
    <cellStyle name="Note 3 2 7 2 2 2" xfId="14730"/>
    <cellStyle name="Note 3 2 7 2 3" xfId="14731"/>
    <cellStyle name="Note 3 2 7 3" xfId="14732"/>
    <cellStyle name="Note 3 2 7 3 2" xfId="14733"/>
    <cellStyle name="Note 3 2 7 4" xfId="14734"/>
    <cellStyle name="Note 3 2 8" xfId="14735"/>
    <cellStyle name="Note 3 2 8 2" xfId="14736"/>
    <cellStyle name="Note 3 2 8 2 2" xfId="14737"/>
    <cellStyle name="Note 3 2 8 3" xfId="14738"/>
    <cellStyle name="Note 3 2 9" xfId="14739"/>
    <cellStyle name="Note 3 2 9 2" xfId="14740"/>
    <cellStyle name="Note 3 2 9 2 2" xfId="14741"/>
    <cellStyle name="Note 3 2 9 3" xfId="14742"/>
    <cellStyle name="Note 3 3" xfId="14743"/>
    <cellStyle name="Note 3 3 10" xfId="14744"/>
    <cellStyle name="Note 3 3 10 2" xfId="14745"/>
    <cellStyle name="Note 3 3 11" xfId="14746"/>
    <cellStyle name="Note 3 3 2" xfId="14747"/>
    <cellStyle name="Note 3 3 2 2" xfId="14748"/>
    <cellStyle name="Note 3 3 2 2 2" xfId="14749"/>
    <cellStyle name="Note 3 3 2 2 2 2" xfId="14750"/>
    <cellStyle name="Note 3 3 2 2 2 2 2" xfId="14751"/>
    <cellStyle name="Note 3 3 2 2 2 2 2 2" xfId="14752"/>
    <cellStyle name="Note 3 3 2 2 2 2 3" xfId="14753"/>
    <cellStyle name="Note 3 3 2 2 2 3" xfId="14754"/>
    <cellStyle name="Note 3 3 2 2 2 3 2" xfId="14755"/>
    <cellStyle name="Note 3 3 2 2 2 4" xfId="14756"/>
    <cellStyle name="Note 3 3 2 2 3" xfId="14757"/>
    <cellStyle name="Note 3 3 2 2 3 2" xfId="14758"/>
    <cellStyle name="Note 3 3 2 2 3 2 2" xfId="14759"/>
    <cellStyle name="Note 3 3 2 2 3 3" xfId="14760"/>
    <cellStyle name="Note 3 3 2 2 4" xfId="14761"/>
    <cellStyle name="Note 3 3 2 2 4 2" xfId="14762"/>
    <cellStyle name="Note 3 3 2 2 5" xfId="14763"/>
    <cellStyle name="Note 3 3 2 3" xfId="14764"/>
    <cellStyle name="Note 3 3 2 3 2" xfId="14765"/>
    <cellStyle name="Note 3 3 2 3 2 2" xfId="14766"/>
    <cellStyle name="Note 3 3 2 3 2 2 2" xfId="14767"/>
    <cellStyle name="Note 3 3 2 3 2 3" xfId="14768"/>
    <cellStyle name="Note 3 3 2 3 3" xfId="14769"/>
    <cellStyle name="Note 3 3 2 3 3 2" xfId="14770"/>
    <cellStyle name="Note 3 3 2 3 4" xfId="14771"/>
    <cellStyle name="Note 3 3 2 4" xfId="14772"/>
    <cellStyle name="Note 3 3 2 4 2" xfId="14773"/>
    <cellStyle name="Note 3 3 2 4 2 2" xfId="14774"/>
    <cellStyle name="Note 3 3 2 4 3" xfId="14775"/>
    <cellStyle name="Note 3 3 2 5" xfId="14776"/>
    <cellStyle name="Note 3 3 2 5 2" xfId="14777"/>
    <cellStyle name="Note 3 3 2 6" xfId="14778"/>
    <cellStyle name="Note 3 3 2 6 2" xfId="14779"/>
    <cellStyle name="Note 3 3 2 7" xfId="14780"/>
    <cellStyle name="Note 3 3 2 7 2" xfId="14781"/>
    <cellStyle name="Note 3 3 2 8" xfId="14782"/>
    <cellStyle name="Note 3 3 3" xfId="14783"/>
    <cellStyle name="Note 3 3 3 2" xfId="14784"/>
    <cellStyle name="Note 3 3 3 2 2" xfId="14785"/>
    <cellStyle name="Note 3 3 3 2 2 2" xfId="14786"/>
    <cellStyle name="Note 3 3 3 2 2 2 2" xfId="14787"/>
    <cellStyle name="Note 3 3 3 2 2 3" xfId="14788"/>
    <cellStyle name="Note 3 3 3 2 3" xfId="14789"/>
    <cellStyle name="Note 3 3 3 2 3 2" xfId="14790"/>
    <cellStyle name="Note 3 3 3 2 4" xfId="14791"/>
    <cellStyle name="Note 3 3 3 3" xfId="14792"/>
    <cellStyle name="Note 3 3 3 3 2" xfId="14793"/>
    <cellStyle name="Note 3 3 3 3 2 2" xfId="14794"/>
    <cellStyle name="Note 3 3 3 3 3" xfId="14795"/>
    <cellStyle name="Note 3 3 3 4" xfId="14796"/>
    <cellStyle name="Note 3 3 3 4 2" xfId="14797"/>
    <cellStyle name="Note 3 3 3 5" xfId="14798"/>
    <cellStyle name="Note 3 3 4" xfId="14799"/>
    <cellStyle name="Note 3 3 4 2" xfId="14800"/>
    <cellStyle name="Note 3 3 4 2 2" xfId="14801"/>
    <cellStyle name="Note 3 3 4 2 2 2" xfId="14802"/>
    <cellStyle name="Note 3 3 4 2 2 2 2" xfId="14803"/>
    <cellStyle name="Note 3 3 4 2 2 3" xfId="14804"/>
    <cellStyle name="Note 3 3 4 2 3" xfId="14805"/>
    <cellStyle name="Note 3 3 4 2 3 2" xfId="14806"/>
    <cellStyle name="Note 3 3 4 2 4" xfId="14807"/>
    <cellStyle name="Note 3 3 4 3" xfId="14808"/>
    <cellStyle name="Note 3 3 4 3 2" xfId="14809"/>
    <cellStyle name="Note 3 3 4 3 2 2" xfId="14810"/>
    <cellStyle name="Note 3 3 4 3 3" xfId="14811"/>
    <cellStyle name="Note 3 3 4 4" xfId="14812"/>
    <cellStyle name="Note 3 3 4 4 2" xfId="14813"/>
    <cellStyle name="Note 3 3 4 5" xfId="14814"/>
    <cellStyle name="Note 3 3 5" xfId="14815"/>
    <cellStyle name="Note 3 3 5 2" xfId="14816"/>
    <cellStyle name="Note 3 3 5 2 2" xfId="14817"/>
    <cellStyle name="Note 3 3 5 2 2 2" xfId="14818"/>
    <cellStyle name="Note 3 3 5 2 3" xfId="14819"/>
    <cellStyle name="Note 3 3 5 3" xfId="14820"/>
    <cellStyle name="Note 3 3 5 3 2" xfId="14821"/>
    <cellStyle name="Note 3 3 5 4" xfId="14822"/>
    <cellStyle name="Note 3 3 6" xfId="14823"/>
    <cellStyle name="Note 3 3 6 2" xfId="14824"/>
    <cellStyle name="Note 3 3 6 2 2" xfId="14825"/>
    <cellStyle name="Note 3 3 6 3" xfId="14826"/>
    <cellStyle name="Note 3 3 7" xfId="14827"/>
    <cellStyle name="Note 3 3 7 2" xfId="14828"/>
    <cellStyle name="Note 3 3 7 2 2" xfId="14829"/>
    <cellStyle name="Note 3 3 7 3" xfId="14830"/>
    <cellStyle name="Note 3 3 8" xfId="14831"/>
    <cellStyle name="Note 3 3 8 2" xfId="14832"/>
    <cellStyle name="Note 3 3 9" xfId="14833"/>
    <cellStyle name="Note 3 3 9 2" xfId="14834"/>
    <cellStyle name="Note 3 4" xfId="14835"/>
    <cellStyle name="Note 3 4 2" xfId="14836"/>
    <cellStyle name="Note 3 4 2 2" xfId="14837"/>
    <cellStyle name="Note 3 4 2 2 2" xfId="14838"/>
    <cellStyle name="Note 3 4 2 2 2 2" xfId="14839"/>
    <cellStyle name="Note 3 4 2 2 2 2 2" xfId="14840"/>
    <cellStyle name="Note 3 4 2 2 2 3" xfId="14841"/>
    <cellStyle name="Note 3 4 2 2 3" xfId="14842"/>
    <cellStyle name="Note 3 4 2 2 3 2" xfId="14843"/>
    <cellStyle name="Note 3 4 2 2 4" xfId="14844"/>
    <cellStyle name="Note 3 4 2 3" xfId="14845"/>
    <cellStyle name="Note 3 4 2 3 2" xfId="14846"/>
    <cellStyle name="Note 3 4 2 3 2 2" xfId="14847"/>
    <cellStyle name="Note 3 4 2 3 3" xfId="14848"/>
    <cellStyle name="Note 3 4 2 4" xfId="14849"/>
    <cellStyle name="Note 3 4 2 4 2" xfId="14850"/>
    <cellStyle name="Note 3 4 2 5" xfId="14851"/>
    <cellStyle name="Note 3 4 3" xfId="14852"/>
    <cellStyle name="Note 3 4 3 2" xfId="14853"/>
    <cellStyle name="Note 3 4 3 2 2" xfId="14854"/>
    <cellStyle name="Note 3 4 3 2 2 2" xfId="14855"/>
    <cellStyle name="Note 3 4 3 2 3" xfId="14856"/>
    <cellStyle name="Note 3 4 3 3" xfId="14857"/>
    <cellStyle name="Note 3 4 3 3 2" xfId="14858"/>
    <cellStyle name="Note 3 4 3 4" xfId="14859"/>
    <cellStyle name="Note 3 4 4" xfId="14860"/>
    <cellStyle name="Note 3 4 4 2" xfId="14861"/>
    <cellStyle name="Note 3 4 4 2 2" xfId="14862"/>
    <cellStyle name="Note 3 4 4 3" xfId="14863"/>
    <cellStyle name="Note 3 4 5" xfId="14864"/>
    <cellStyle name="Note 3 4 5 2" xfId="14865"/>
    <cellStyle name="Note 3 4 6" xfId="14866"/>
    <cellStyle name="Note 3 4 6 2" xfId="14867"/>
    <cellStyle name="Note 3 4 7" xfId="14868"/>
    <cellStyle name="Note 3 4 7 2" xfId="14869"/>
    <cellStyle name="Note 3 4 8" xfId="14870"/>
    <cellStyle name="Note 3 5" xfId="14871"/>
    <cellStyle name="Note 3 5 2" xfId="14872"/>
    <cellStyle name="Note 3 5 2 2" xfId="14873"/>
    <cellStyle name="Note 3 5 2 2 2" xfId="14874"/>
    <cellStyle name="Note 3 5 2 2 2 2" xfId="14875"/>
    <cellStyle name="Note 3 5 2 2 3" xfId="14876"/>
    <cellStyle name="Note 3 5 2 3" xfId="14877"/>
    <cellStyle name="Note 3 5 2 3 2" xfId="14878"/>
    <cellStyle name="Note 3 5 2 4" xfId="14879"/>
    <cellStyle name="Note 3 5 3" xfId="14880"/>
    <cellStyle name="Note 3 5 3 2" xfId="14881"/>
    <cellStyle name="Note 3 5 3 2 2" xfId="14882"/>
    <cellStyle name="Note 3 5 3 3" xfId="14883"/>
    <cellStyle name="Note 3 5 4" xfId="14884"/>
    <cellStyle name="Note 3 5 4 2" xfId="14885"/>
    <cellStyle name="Note 3 5 5" xfId="14886"/>
    <cellStyle name="Note 3 6" xfId="14887"/>
    <cellStyle name="Note 3 6 2" xfId="14888"/>
    <cellStyle name="Note 3 6 2 2" xfId="14889"/>
    <cellStyle name="Note 3 6 2 2 2" xfId="14890"/>
    <cellStyle name="Note 3 6 2 2 2 2" xfId="14891"/>
    <cellStyle name="Note 3 6 2 2 3" xfId="14892"/>
    <cellStyle name="Note 3 6 2 3" xfId="14893"/>
    <cellStyle name="Note 3 6 2 3 2" xfId="14894"/>
    <cellStyle name="Note 3 6 2 4" xfId="14895"/>
    <cellStyle name="Note 3 6 3" xfId="14896"/>
    <cellStyle name="Note 3 6 3 2" xfId="14897"/>
    <cellStyle name="Note 3 6 3 2 2" xfId="14898"/>
    <cellStyle name="Note 3 6 3 3" xfId="14899"/>
    <cellStyle name="Note 3 6 4" xfId="14900"/>
    <cellStyle name="Note 3 6 4 2" xfId="14901"/>
    <cellStyle name="Note 3 6 5" xfId="14902"/>
    <cellStyle name="Note 3 7" xfId="14903"/>
    <cellStyle name="Note 3 7 2" xfId="14904"/>
    <cellStyle name="Note 3 8" xfId="14905"/>
    <cellStyle name="Note 3 8 2" xfId="14906"/>
    <cellStyle name="Note 3 8 2 2" xfId="14907"/>
    <cellStyle name="Note 3 8 2 2 2" xfId="14908"/>
    <cellStyle name="Note 3 8 2 3" xfId="14909"/>
    <cellStyle name="Note 3 8 3" xfId="14910"/>
    <cellStyle name="Note 3 8 3 2" xfId="14911"/>
    <cellStyle name="Note 3 8 4" xfId="14912"/>
    <cellStyle name="Note 3 9" xfId="14913"/>
    <cellStyle name="Note 3 9 2" xfId="14914"/>
    <cellStyle name="Note 3 9 2 2" xfId="14915"/>
    <cellStyle name="Note 3 9 3" xfId="14916"/>
    <cellStyle name="Note 4" xfId="612"/>
    <cellStyle name="Note 4 10" xfId="14917"/>
    <cellStyle name="Note 4 10 2" xfId="14918"/>
    <cellStyle name="Note 4 10 2 2" xfId="14919"/>
    <cellStyle name="Note 4 10 3" xfId="14920"/>
    <cellStyle name="Note 4 11" xfId="14921"/>
    <cellStyle name="Note 4 11 2" xfId="14922"/>
    <cellStyle name="Note 4 12" xfId="14923"/>
    <cellStyle name="Note 4 12 2" xfId="14924"/>
    <cellStyle name="Note 4 13" xfId="14925"/>
    <cellStyle name="Note 4 13 2" xfId="14926"/>
    <cellStyle name="Note 4 14" xfId="14927"/>
    <cellStyle name="Note 4 15" xfId="15763"/>
    <cellStyle name="Note 4 15 2" xfId="20598"/>
    <cellStyle name="Note 4 15 2 2" xfId="30311"/>
    <cellStyle name="Note 4 15 2 2 2" xfId="50064"/>
    <cellStyle name="Note 4 15 2 3" xfId="40420"/>
    <cellStyle name="Note 4 15 3" xfId="25499"/>
    <cellStyle name="Note 4 15 3 2" xfId="45253"/>
    <cellStyle name="Note 4 15 4" xfId="35609"/>
    <cellStyle name="Note 4 16" xfId="30751"/>
    <cellStyle name="Note 4 16 2" xfId="50490"/>
    <cellStyle name="Note 4 2" xfId="613"/>
    <cellStyle name="Note 4 2 10" xfId="14928"/>
    <cellStyle name="Note 4 2 10 2" xfId="14929"/>
    <cellStyle name="Note 4 2 11" xfId="14930"/>
    <cellStyle name="Note 4 2 11 2" xfId="14931"/>
    <cellStyle name="Note 4 2 12" xfId="14932"/>
    <cellStyle name="Note 4 2 12 2" xfId="14933"/>
    <cellStyle name="Note 4 2 13" xfId="14934"/>
    <cellStyle name="Note 4 2 14" xfId="15764"/>
    <cellStyle name="Note 4 2 14 2" xfId="20599"/>
    <cellStyle name="Note 4 2 14 2 2" xfId="30312"/>
    <cellStyle name="Note 4 2 14 2 2 2" xfId="50065"/>
    <cellStyle name="Note 4 2 14 2 3" xfId="40421"/>
    <cellStyle name="Note 4 2 14 3" xfId="25500"/>
    <cellStyle name="Note 4 2 14 3 2" xfId="45254"/>
    <cellStyle name="Note 4 2 14 4" xfId="35610"/>
    <cellStyle name="Note 4 2 15" xfId="30752"/>
    <cellStyle name="Note 4 2 15 2" xfId="50491"/>
    <cellStyle name="Note 4 2 2" xfId="614"/>
    <cellStyle name="Note 4 2 2 10" xfId="14935"/>
    <cellStyle name="Note 4 2 2 10 2" xfId="14936"/>
    <cellStyle name="Note 4 2 2 11" xfId="14937"/>
    <cellStyle name="Note 4 2 2 11 2" xfId="14938"/>
    <cellStyle name="Note 4 2 2 12" xfId="14939"/>
    <cellStyle name="Note 4 2 2 13" xfId="15765"/>
    <cellStyle name="Note 4 2 2 13 2" xfId="20600"/>
    <cellStyle name="Note 4 2 2 13 2 2" xfId="30313"/>
    <cellStyle name="Note 4 2 2 13 2 2 2" xfId="50066"/>
    <cellStyle name="Note 4 2 2 13 2 3" xfId="40422"/>
    <cellStyle name="Note 4 2 2 13 3" xfId="25501"/>
    <cellStyle name="Note 4 2 2 13 3 2" xfId="45255"/>
    <cellStyle name="Note 4 2 2 13 4" xfId="35611"/>
    <cellStyle name="Note 4 2 2 14" xfId="30753"/>
    <cellStyle name="Note 4 2 2 14 2" xfId="50492"/>
    <cellStyle name="Note 4 2 2 2" xfId="615"/>
    <cellStyle name="Note 4 2 2 2 2" xfId="14940"/>
    <cellStyle name="Note 4 2 2 2 2 2" xfId="14941"/>
    <cellStyle name="Note 4 2 2 2 2 2 2" xfId="14942"/>
    <cellStyle name="Note 4 2 2 2 2 2 2 2" xfId="14943"/>
    <cellStyle name="Note 4 2 2 2 2 2 2 2 2" xfId="14944"/>
    <cellStyle name="Note 4 2 2 2 2 2 2 3" xfId="14945"/>
    <cellStyle name="Note 4 2 2 2 2 2 3" xfId="14946"/>
    <cellStyle name="Note 4 2 2 2 2 2 3 2" xfId="14947"/>
    <cellStyle name="Note 4 2 2 2 2 2 4" xfId="14948"/>
    <cellStyle name="Note 4 2 2 2 2 3" xfId="14949"/>
    <cellStyle name="Note 4 2 2 2 2 3 2" xfId="14950"/>
    <cellStyle name="Note 4 2 2 2 2 3 2 2" xfId="14951"/>
    <cellStyle name="Note 4 2 2 2 2 3 3" xfId="14952"/>
    <cellStyle name="Note 4 2 2 2 2 4" xfId="14953"/>
    <cellStyle name="Note 4 2 2 2 2 4 2" xfId="14954"/>
    <cellStyle name="Note 4 2 2 2 2 5" xfId="14955"/>
    <cellStyle name="Note 4 2 2 2 3" xfId="14956"/>
    <cellStyle name="Note 4 2 2 2 3 2" xfId="14957"/>
    <cellStyle name="Note 4 2 2 2 3 2 2" xfId="14958"/>
    <cellStyle name="Note 4 2 2 2 3 2 2 2" xfId="14959"/>
    <cellStyle name="Note 4 2 2 2 3 2 3" xfId="14960"/>
    <cellStyle name="Note 4 2 2 2 3 3" xfId="14961"/>
    <cellStyle name="Note 4 2 2 2 3 3 2" xfId="14962"/>
    <cellStyle name="Note 4 2 2 2 3 4" xfId="14963"/>
    <cellStyle name="Note 4 2 2 2 4" xfId="14964"/>
    <cellStyle name="Note 4 2 2 2 4 2" xfId="14965"/>
    <cellStyle name="Note 4 2 2 2 4 2 2" xfId="14966"/>
    <cellStyle name="Note 4 2 2 2 4 3" xfId="14967"/>
    <cellStyle name="Note 4 2 2 2 5" xfId="14968"/>
    <cellStyle name="Note 4 2 2 2 5 2" xfId="14969"/>
    <cellStyle name="Note 4 2 2 2 6" xfId="14970"/>
    <cellStyle name="Note 4 2 2 2 6 2" xfId="14971"/>
    <cellStyle name="Note 4 2 2 2 7" xfId="14972"/>
    <cellStyle name="Note 4 2 2 2 7 2" xfId="14973"/>
    <cellStyle name="Note 4 2 2 2 8" xfId="14974"/>
    <cellStyle name="Note 4 2 2 3" xfId="14975"/>
    <cellStyle name="Note 4 2 2 3 2" xfId="14976"/>
    <cellStyle name="Note 4 2 2 3 2 2" xfId="14977"/>
    <cellStyle name="Note 4 2 2 3 2 2 2" xfId="14978"/>
    <cellStyle name="Note 4 2 2 3 2 2 2 2" xfId="14979"/>
    <cellStyle name="Note 4 2 2 3 2 2 3" xfId="14980"/>
    <cellStyle name="Note 4 2 2 3 2 3" xfId="14981"/>
    <cellStyle name="Note 4 2 2 3 2 3 2" xfId="14982"/>
    <cellStyle name="Note 4 2 2 3 2 4" xfId="14983"/>
    <cellStyle name="Note 4 2 2 3 3" xfId="14984"/>
    <cellStyle name="Note 4 2 2 3 3 2" xfId="14985"/>
    <cellStyle name="Note 4 2 2 3 3 2 2" xfId="14986"/>
    <cellStyle name="Note 4 2 2 3 3 3" xfId="14987"/>
    <cellStyle name="Note 4 2 2 3 4" xfId="14988"/>
    <cellStyle name="Note 4 2 2 3 4 2" xfId="14989"/>
    <cellStyle name="Note 4 2 2 3 5" xfId="14990"/>
    <cellStyle name="Note 4 2 2 4" xfId="14991"/>
    <cellStyle name="Note 4 2 2 4 2" xfId="14992"/>
    <cellStyle name="Note 4 2 2 4 2 2" xfId="14993"/>
    <cellStyle name="Note 4 2 2 4 2 2 2" xfId="14994"/>
    <cellStyle name="Note 4 2 2 4 2 2 2 2" xfId="14995"/>
    <cellStyle name="Note 4 2 2 4 2 2 3" xfId="14996"/>
    <cellStyle name="Note 4 2 2 4 2 3" xfId="14997"/>
    <cellStyle name="Note 4 2 2 4 2 3 2" xfId="14998"/>
    <cellStyle name="Note 4 2 2 4 2 4" xfId="14999"/>
    <cellStyle name="Note 4 2 2 4 3" xfId="15000"/>
    <cellStyle name="Note 4 2 2 4 3 2" xfId="15001"/>
    <cellStyle name="Note 4 2 2 4 3 2 2" xfId="15002"/>
    <cellStyle name="Note 4 2 2 4 3 3" xfId="15003"/>
    <cellStyle name="Note 4 2 2 4 4" xfId="15004"/>
    <cellStyle name="Note 4 2 2 4 4 2" xfId="15005"/>
    <cellStyle name="Note 4 2 2 4 5" xfId="15006"/>
    <cellStyle name="Note 4 2 2 5" xfId="15007"/>
    <cellStyle name="Note 4 2 2 5 2" xfId="15008"/>
    <cellStyle name="Note 4 2 2 6" xfId="15009"/>
    <cellStyle name="Note 4 2 2 6 2" xfId="15010"/>
    <cellStyle name="Note 4 2 2 6 2 2" xfId="15011"/>
    <cellStyle name="Note 4 2 2 6 2 2 2" xfId="15012"/>
    <cellStyle name="Note 4 2 2 6 2 3" xfId="15013"/>
    <cellStyle name="Note 4 2 2 6 3" xfId="15014"/>
    <cellStyle name="Note 4 2 2 6 3 2" xfId="15015"/>
    <cellStyle name="Note 4 2 2 6 4" xfId="15016"/>
    <cellStyle name="Note 4 2 2 7" xfId="15017"/>
    <cellStyle name="Note 4 2 2 7 2" xfId="15018"/>
    <cellStyle name="Note 4 2 2 7 2 2" xfId="15019"/>
    <cellStyle name="Note 4 2 2 7 3" xfId="15020"/>
    <cellStyle name="Note 4 2 2 8" xfId="15021"/>
    <cellStyle name="Note 4 2 2 8 2" xfId="15022"/>
    <cellStyle name="Note 4 2 2 8 2 2" xfId="15023"/>
    <cellStyle name="Note 4 2 2 8 3" xfId="15024"/>
    <cellStyle name="Note 4 2 2 9" xfId="15025"/>
    <cellStyle name="Note 4 2 2 9 2" xfId="15026"/>
    <cellStyle name="Note 4 2 3" xfId="616"/>
    <cellStyle name="Note 4 2 3 2" xfId="15027"/>
    <cellStyle name="Note 4 2 3 2 2" xfId="15028"/>
    <cellStyle name="Note 4 2 3 2 2 2" xfId="15029"/>
    <cellStyle name="Note 4 2 3 2 2 2 2" xfId="15030"/>
    <cellStyle name="Note 4 2 3 2 2 2 2 2" xfId="15031"/>
    <cellStyle name="Note 4 2 3 2 2 2 3" xfId="15032"/>
    <cellStyle name="Note 4 2 3 2 2 3" xfId="15033"/>
    <cellStyle name="Note 4 2 3 2 2 3 2" xfId="15034"/>
    <cellStyle name="Note 4 2 3 2 2 4" xfId="15035"/>
    <cellStyle name="Note 4 2 3 2 3" xfId="15036"/>
    <cellStyle name="Note 4 2 3 2 3 2" xfId="15037"/>
    <cellStyle name="Note 4 2 3 2 3 2 2" xfId="15038"/>
    <cellStyle name="Note 4 2 3 2 3 3" xfId="15039"/>
    <cellStyle name="Note 4 2 3 2 4" xfId="15040"/>
    <cellStyle name="Note 4 2 3 2 4 2" xfId="15041"/>
    <cellStyle name="Note 4 2 3 2 5" xfId="15042"/>
    <cellStyle name="Note 4 2 3 3" xfId="15043"/>
    <cellStyle name="Note 4 2 3 3 2" xfId="15044"/>
    <cellStyle name="Note 4 2 3 3 2 2" xfId="15045"/>
    <cellStyle name="Note 4 2 3 3 2 2 2" xfId="15046"/>
    <cellStyle name="Note 4 2 3 3 2 3" xfId="15047"/>
    <cellStyle name="Note 4 2 3 3 3" xfId="15048"/>
    <cellStyle name="Note 4 2 3 3 3 2" xfId="15049"/>
    <cellStyle name="Note 4 2 3 3 4" xfId="15050"/>
    <cellStyle name="Note 4 2 3 4" xfId="15051"/>
    <cellStyle name="Note 4 2 3 4 2" xfId="15052"/>
    <cellStyle name="Note 4 2 3 4 2 2" xfId="15053"/>
    <cellStyle name="Note 4 2 3 4 3" xfId="15054"/>
    <cellStyle name="Note 4 2 3 5" xfId="15055"/>
    <cellStyle name="Note 4 2 3 5 2" xfId="15056"/>
    <cellStyle name="Note 4 2 3 6" xfId="15057"/>
    <cellStyle name="Note 4 2 3 6 2" xfId="15058"/>
    <cellStyle name="Note 4 2 3 7" xfId="15059"/>
    <cellStyle name="Note 4 2 3 7 2" xfId="15060"/>
    <cellStyle name="Note 4 2 3 8" xfId="15061"/>
    <cellStyle name="Note 4 2 4" xfId="15062"/>
    <cellStyle name="Note 4 2 4 2" xfId="15063"/>
    <cellStyle name="Note 4 2 4 2 2" xfId="15064"/>
    <cellStyle name="Note 4 2 4 2 2 2" xfId="15065"/>
    <cellStyle name="Note 4 2 4 2 2 2 2" xfId="15066"/>
    <cellStyle name="Note 4 2 4 2 2 3" xfId="15067"/>
    <cellStyle name="Note 4 2 4 2 3" xfId="15068"/>
    <cellStyle name="Note 4 2 4 2 3 2" xfId="15069"/>
    <cellStyle name="Note 4 2 4 2 4" xfId="15070"/>
    <cellStyle name="Note 4 2 4 3" xfId="15071"/>
    <cellStyle name="Note 4 2 4 3 2" xfId="15072"/>
    <cellStyle name="Note 4 2 4 3 2 2" xfId="15073"/>
    <cellStyle name="Note 4 2 4 3 3" xfId="15074"/>
    <cellStyle name="Note 4 2 4 4" xfId="15075"/>
    <cellStyle name="Note 4 2 4 4 2" xfId="15076"/>
    <cellStyle name="Note 4 2 4 5" xfId="15077"/>
    <cellStyle name="Note 4 2 5" xfId="15078"/>
    <cellStyle name="Note 4 2 5 2" xfId="15079"/>
    <cellStyle name="Note 4 2 5 2 2" xfId="15080"/>
    <cellStyle name="Note 4 2 5 2 2 2" xfId="15081"/>
    <cellStyle name="Note 4 2 5 2 2 2 2" xfId="15082"/>
    <cellStyle name="Note 4 2 5 2 2 3" xfId="15083"/>
    <cellStyle name="Note 4 2 5 2 3" xfId="15084"/>
    <cellStyle name="Note 4 2 5 2 3 2" xfId="15085"/>
    <cellStyle name="Note 4 2 5 2 4" xfId="15086"/>
    <cellStyle name="Note 4 2 5 3" xfId="15087"/>
    <cellStyle name="Note 4 2 5 3 2" xfId="15088"/>
    <cellStyle name="Note 4 2 5 3 2 2" xfId="15089"/>
    <cellStyle name="Note 4 2 5 3 3" xfId="15090"/>
    <cellStyle name="Note 4 2 5 4" xfId="15091"/>
    <cellStyle name="Note 4 2 5 4 2" xfId="15092"/>
    <cellStyle name="Note 4 2 5 5" xfId="15093"/>
    <cellStyle name="Note 4 2 6" xfId="15094"/>
    <cellStyle name="Note 4 2 6 2" xfId="15095"/>
    <cellStyle name="Note 4 2 7" xfId="15096"/>
    <cellStyle name="Note 4 2 7 2" xfId="15097"/>
    <cellStyle name="Note 4 2 7 2 2" xfId="15098"/>
    <cellStyle name="Note 4 2 7 2 2 2" xfId="15099"/>
    <cellStyle name="Note 4 2 7 2 3" xfId="15100"/>
    <cellStyle name="Note 4 2 7 3" xfId="15101"/>
    <cellStyle name="Note 4 2 7 3 2" xfId="15102"/>
    <cellStyle name="Note 4 2 7 4" xfId="15103"/>
    <cellStyle name="Note 4 2 8" xfId="15104"/>
    <cellStyle name="Note 4 2 8 2" xfId="15105"/>
    <cellStyle name="Note 4 2 8 2 2" xfId="15106"/>
    <cellStyle name="Note 4 2 8 3" xfId="15107"/>
    <cellStyle name="Note 4 2 9" xfId="15108"/>
    <cellStyle name="Note 4 2 9 2" xfId="15109"/>
    <cellStyle name="Note 4 2 9 2 2" xfId="15110"/>
    <cellStyle name="Note 4 2 9 3" xfId="15111"/>
    <cellStyle name="Note 4 3" xfId="617"/>
    <cellStyle name="Note 4 3 10" xfId="15112"/>
    <cellStyle name="Note 4 3 10 2" xfId="15113"/>
    <cellStyle name="Note 4 3 11" xfId="15114"/>
    <cellStyle name="Note 4 3 11 2" xfId="15115"/>
    <cellStyle name="Note 4 3 12" xfId="15116"/>
    <cellStyle name="Note 4 3 13" xfId="15766"/>
    <cellStyle name="Note 4 3 13 2" xfId="20601"/>
    <cellStyle name="Note 4 3 13 2 2" xfId="30314"/>
    <cellStyle name="Note 4 3 13 2 2 2" xfId="50067"/>
    <cellStyle name="Note 4 3 13 2 3" xfId="40423"/>
    <cellStyle name="Note 4 3 13 3" xfId="25502"/>
    <cellStyle name="Note 4 3 13 3 2" xfId="45256"/>
    <cellStyle name="Note 4 3 13 4" xfId="35612"/>
    <cellStyle name="Note 4 3 14" xfId="30754"/>
    <cellStyle name="Note 4 3 14 2" xfId="50493"/>
    <cellStyle name="Note 4 3 2" xfId="618"/>
    <cellStyle name="Note 4 3 2 2" xfId="15117"/>
    <cellStyle name="Note 4 3 2 2 2" xfId="15118"/>
    <cellStyle name="Note 4 3 2 2 2 2" xfId="15119"/>
    <cellStyle name="Note 4 3 2 2 2 2 2" xfId="15120"/>
    <cellStyle name="Note 4 3 2 2 2 2 2 2" xfId="15121"/>
    <cellStyle name="Note 4 3 2 2 2 2 3" xfId="15122"/>
    <cellStyle name="Note 4 3 2 2 2 3" xfId="15123"/>
    <cellStyle name="Note 4 3 2 2 2 3 2" xfId="15124"/>
    <cellStyle name="Note 4 3 2 2 2 4" xfId="15125"/>
    <cellStyle name="Note 4 3 2 2 3" xfId="15126"/>
    <cellStyle name="Note 4 3 2 2 3 2" xfId="15127"/>
    <cellStyle name="Note 4 3 2 2 3 2 2" xfId="15128"/>
    <cellStyle name="Note 4 3 2 2 3 3" xfId="15129"/>
    <cellStyle name="Note 4 3 2 2 4" xfId="15130"/>
    <cellStyle name="Note 4 3 2 2 4 2" xfId="15131"/>
    <cellStyle name="Note 4 3 2 2 5" xfId="15132"/>
    <cellStyle name="Note 4 3 2 3" xfId="15133"/>
    <cellStyle name="Note 4 3 2 3 2" xfId="15134"/>
    <cellStyle name="Note 4 3 2 3 2 2" xfId="15135"/>
    <cellStyle name="Note 4 3 2 3 2 2 2" xfId="15136"/>
    <cellStyle name="Note 4 3 2 3 2 3" xfId="15137"/>
    <cellStyle name="Note 4 3 2 3 3" xfId="15138"/>
    <cellStyle name="Note 4 3 2 3 3 2" xfId="15139"/>
    <cellStyle name="Note 4 3 2 3 4" xfId="15140"/>
    <cellStyle name="Note 4 3 2 4" xfId="15141"/>
    <cellStyle name="Note 4 3 2 4 2" xfId="15142"/>
    <cellStyle name="Note 4 3 2 4 2 2" xfId="15143"/>
    <cellStyle name="Note 4 3 2 4 3" xfId="15144"/>
    <cellStyle name="Note 4 3 2 5" xfId="15145"/>
    <cellStyle name="Note 4 3 2 5 2" xfId="15146"/>
    <cellStyle name="Note 4 3 2 6" xfId="15147"/>
    <cellStyle name="Note 4 3 2 6 2" xfId="15148"/>
    <cellStyle name="Note 4 3 2 7" xfId="15149"/>
    <cellStyle name="Note 4 3 2 7 2" xfId="15150"/>
    <cellStyle name="Note 4 3 2 8" xfId="15151"/>
    <cellStyle name="Note 4 3 3" xfId="15152"/>
    <cellStyle name="Note 4 3 3 2" xfId="15153"/>
    <cellStyle name="Note 4 3 3 2 2" xfId="15154"/>
    <cellStyle name="Note 4 3 3 2 2 2" xfId="15155"/>
    <cellStyle name="Note 4 3 3 2 2 2 2" xfId="15156"/>
    <cellStyle name="Note 4 3 3 2 2 3" xfId="15157"/>
    <cellStyle name="Note 4 3 3 2 3" xfId="15158"/>
    <cellStyle name="Note 4 3 3 2 3 2" xfId="15159"/>
    <cellStyle name="Note 4 3 3 2 4" xfId="15160"/>
    <cellStyle name="Note 4 3 3 3" xfId="15161"/>
    <cellStyle name="Note 4 3 3 3 2" xfId="15162"/>
    <cellStyle name="Note 4 3 3 3 2 2" xfId="15163"/>
    <cellStyle name="Note 4 3 3 3 3" xfId="15164"/>
    <cellStyle name="Note 4 3 3 4" xfId="15165"/>
    <cellStyle name="Note 4 3 3 4 2" xfId="15166"/>
    <cellStyle name="Note 4 3 3 5" xfId="15167"/>
    <cellStyle name="Note 4 3 4" xfId="15168"/>
    <cellStyle name="Note 4 3 4 2" xfId="15169"/>
    <cellStyle name="Note 4 3 4 2 2" xfId="15170"/>
    <cellStyle name="Note 4 3 4 2 2 2" xfId="15171"/>
    <cellStyle name="Note 4 3 4 2 2 2 2" xfId="15172"/>
    <cellStyle name="Note 4 3 4 2 2 3" xfId="15173"/>
    <cellStyle name="Note 4 3 4 2 3" xfId="15174"/>
    <cellStyle name="Note 4 3 4 2 3 2" xfId="15175"/>
    <cellStyle name="Note 4 3 4 2 4" xfId="15176"/>
    <cellStyle name="Note 4 3 4 3" xfId="15177"/>
    <cellStyle name="Note 4 3 4 3 2" xfId="15178"/>
    <cellStyle name="Note 4 3 4 3 2 2" xfId="15179"/>
    <cellStyle name="Note 4 3 4 3 3" xfId="15180"/>
    <cellStyle name="Note 4 3 4 4" xfId="15181"/>
    <cellStyle name="Note 4 3 4 4 2" xfId="15182"/>
    <cellStyle name="Note 4 3 4 5" xfId="15183"/>
    <cellStyle name="Note 4 3 5" xfId="15184"/>
    <cellStyle name="Note 4 3 5 2" xfId="15185"/>
    <cellStyle name="Note 4 3 6" xfId="15186"/>
    <cellStyle name="Note 4 3 6 2" xfId="15187"/>
    <cellStyle name="Note 4 3 6 2 2" xfId="15188"/>
    <cellStyle name="Note 4 3 6 2 2 2" xfId="15189"/>
    <cellStyle name="Note 4 3 6 2 3" xfId="15190"/>
    <cellStyle name="Note 4 3 6 3" xfId="15191"/>
    <cellStyle name="Note 4 3 6 3 2" xfId="15192"/>
    <cellStyle name="Note 4 3 6 4" xfId="15193"/>
    <cellStyle name="Note 4 3 7" xfId="15194"/>
    <cellStyle name="Note 4 3 7 2" xfId="15195"/>
    <cellStyle name="Note 4 3 7 2 2" xfId="15196"/>
    <cellStyle name="Note 4 3 7 3" xfId="15197"/>
    <cellStyle name="Note 4 3 8" xfId="15198"/>
    <cellStyle name="Note 4 3 8 2" xfId="15199"/>
    <cellStyle name="Note 4 3 8 2 2" xfId="15200"/>
    <cellStyle name="Note 4 3 8 3" xfId="15201"/>
    <cellStyle name="Note 4 3 9" xfId="15202"/>
    <cellStyle name="Note 4 3 9 2" xfId="15203"/>
    <cellStyle name="Note 4 4" xfId="619"/>
    <cellStyle name="Note 4 4 2" xfId="15204"/>
    <cellStyle name="Note 4 4 2 2" xfId="15205"/>
    <cellStyle name="Note 4 4 2 2 2" xfId="15206"/>
    <cellStyle name="Note 4 4 2 2 2 2" xfId="15207"/>
    <cellStyle name="Note 4 4 2 2 2 2 2" xfId="15208"/>
    <cellStyle name="Note 4 4 2 2 2 3" xfId="15209"/>
    <cellStyle name="Note 4 4 2 2 3" xfId="15210"/>
    <cellStyle name="Note 4 4 2 2 3 2" xfId="15211"/>
    <cellStyle name="Note 4 4 2 2 4" xfId="15212"/>
    <cellStyle name="Note 4 4 2 3" xfId="15213"/>
    <cellStyle name="Note 4 4 2 3 2" xfId="15214"/>
    <cellStyle name="Note 4 4 2 3 2 2" xfId="15215"/>
    <cellStyle name="Note 4 4 2 3 3" xfId="15216"/>
    <cellStyle name="Note 4 4 2 4" xfId="15217"/>
    <cellStyle name="Note 4 4 2 4 2" xfId="15218"/>
    <cellStyle name="Note 4 4 2 5" xfId="15219"/>
    <cellStyle name="Note 4 4 3" xfId="15220"/>
    <cellStyle name="Note 4 4 3 2" xfId="15221"/>
    <cellStyle name="Note 4 4 3 2 2" xfId="15222"/>
    <cellStyle name="Note 4 4 3 2 2 2" xfId="15223"/>
    <cellStyle name="Note 4 4 3 2 3" xfId="15224"/>
    <cellStyle name="Note 4 4 3 3" xfId="15225"/>
    <cellStyle name="Note 4 4 3 3 2" xfId="15226"/>
    <cellStyle name="Note 4 4 3 4" xfId="15227"/>
    <cellStyle name="Note 4 4 4" xfId="15228"/>
    <cellStyle name="Note 4 4 4 2" xfId="15229"/>
    <cellStyle name="Note 4 4 4 2 2" xfId="15230"/>
    <cellStyle name="Note 4 4 4 3" xfId="15231"/>
    <cellStyle name="Note 4 4 5" xfId="15232"/>
    <cellStyle name="Note 4 4 5 2" xfId="15233"/>
    <cellStyle name="Note 4 4 6" xfId="15234"/>
    <cellStyle name="Note 4 4 6 2" xfId="15235"/>
    <cellStyle name="Note 4 4 7" xfId="15236"/>
    <cellStyle name="Note 4 4 7 2" xfId="15237"/>
    <cellStyle name="Note 4 4 8" xfId="15238"/>
    <cellStyle name="Note 4 5" xfId="15239"/>
    <cellStyle name="Note 4 5 2" xfId="15240"/>
    <cellStyle name="Note 4 5 2 2" xfId="15241"/>
    <cellStyle name="Note 4 5 2 2 2" xfId="15242"/>
    <cellStyle name="Note 4 5 2 2 2 2" xfId="15243"/>
    <cellStyle name="Note 4 5 2 2 3" xfId="15244"/>
    <cellStyle name="Note 4 5 2 3" xfId="15245"/>
    <cellStyle name="Note 4 5 2 3 2" xfId="15246"/>
    <cellStyle name="Note 4 5 2 4" xfId="15247"/>
    <cellStyle name="Note 4 5 3" xfId="15248"/>
    <cellStyle name="Note 4 5 3 2" xfId="15249"/>
    <cellStyle name="Note 4 5 3 2 2" xfId="15250"/>
    <cellStyle name="Note 4 5 3 3" xfId="15251"/>
    <cellStyle name="Note 4 5 4" xfId="15252"/>
    <cellStyle name="Note 4 5 4 2" xfId="15253"/>
    <cellStyle name="Note 4 5 5" xfId="15254"/>
    <cellStyle name="Note 4 6" xfId="15255"/>
    <cellStyle name="Note 4 6 2" xfId="15256"/>
    <cellStyle name="Note 4 6 2 2" xfId="15257"/>
    <cellStyle name="Note 4 6 2 2 2" xfId="15258"/>
    <cellStyle name="Note 4 6 2 2 2 2" xfId="15259"/>
    <cellStyle name="Note 4 6 2 2 3" xfId="15260"/>
    <cellStyle name="Note 4 6 2 3" xfId="15261"/>
    <cellStyle name="Note 4 6 2 3 2" xfId="15262"/>
    <cellStyle name="Note 4 6 2 4" xfId="15263"/>
    <cellStyle name="Note 4 6 3" xfId="15264"/>
    <cellStyle name="Note 4 6 3 2" xfId="15265"/>
    <cellStyle name="Note 4 6 3 2 2" xfId="15266"/>
    <cellStyle name="Note 4 6 3 3" xfId="15267"/>
    <cellStyle name="Note 4 6 4" xfId="15268"/>
    <cellStyle name="Note 4 6 4 2" xfId="15269"/>
    <cellStyle name="Note 4 6 5" xfId="15270"/>
    <cellStyle name="Note 4 7" xfId="15271"/>
    <cellStyle name="Note 4 7 2" xfId="15272"/>
    <cellStyle name="Note 4 8" xfId="15273"/>
    <cellStyle name="Note 4 8 2" xfId="15274"/>
    <cellStyle name="Note 4 8 2 2" xfId="15275"/>
    <cellStyle name="Note 4 8 2 2 2" xfId="15276"/>
    <cellStyle name="Note 4 8 2 3" xfId="15277"/>
    <cellStyle name="Note 4 8 3" xfId="15278"/>
    <cellStyle name="Note 4 8 3 2" xfId="15279"/>
    <cellStyle name="Note 4 8 4" xfId="15280"/>
    <cellStyle name="Note 4 9" xfId="15281"/>
    <cellStyle name="Note 4 9 2" xfId="15282"/>
    <cellStyle name="Note 4 9 2 2" xfId="15283"/>
    <cellStyle name="Note 4 9 3" xfId="15284"/>
    <cellStyle name="Note 5" xfId="620"/>
    <cellStyle name="Note 5 2" xfId="621"/>
    <cellStyle name="Note 5 2 2" xfId="622"/>
    <cellStyle name="Note 5 2 3" xfId="15768"/>
    <cellStyle name="Note 5 2 3 2" xfId="20603"/>
    <cellStyle name="Note 5 2 3 2 2" xfId="30316"/>
    <cellStyle name="Note 5 2 3 2 2 2" xfId="50069"/>
    <cellStyle name="Note 5 2 3 2 3" xfId="40425"/>
    <cellStyle name="Note 5 2 3 3" xfId="25504"/>
    <cellStyle name="Note 5 2 3 3 2" xfId="45258"/>
    <cellStyle name="Note 5 2 3 4" xfId="35614"/>
    <cellStyle name="Note 5 2 4" xfId="30756"/>
    <cellStyle name="Note 5 2 4 2" xfId="50495"/>
    <cellStyle name="Note 5 3" xfId="623"/>
    <cellStyle name="Note 5 4" xfId="15767"/>
    <cellStyle name="Note 5 4 2" xfId="20602"/>
    <cellStyle name="Note 5 4 2 2" xfId="30315"/>
    <cellStyle name="Note 5 4 2 2 2" xfId="50068"/>
    <cellStyle name="Note 5 4 2 3" xfId="40424"/>
    <cellStyle name="Note 5 4 3" xfId="25503"/>
    <cellStyle name="Note 5 4 3 2" xfId="45257"/>
    <cellStyle name="Note 5 4 4" xfId="35613"/>
    <cellStyle name="Note 5 5" xfId="30755"/>
    <cellStyle name="Note 5 5 2" xfId="50494"/>
    <cellStyle name="Note 6" xfId="624"/>
    <cellStyle name="Note 6 2" xfId="625"/>
    <cellStyle name="Note 6 2 2" xfId="626"/>
    <cellStyle name="Note 6 2 3" xfId="15770"/>
    <cellStyle name="Note 6 2 3 2" xfId="20605"/>
    <cellStyle name="Note 6 2 3 2 2" xfId="30318"/>
    <cellStyle name="Note 6 2 3 2 2 2" xfId="50071"/>
    <cellStyle name="Note 6 2 3 2 3" xfId="40427"/>
    <cellStyle name="Note 6 2 3 3" xfId="25506"/>
    <cellStyle name="Note 6 2 3 3 2" xfId="45260"/>
    <cellStyle name="Note 6 2 3 4" xfId="35616"/>
    <cellStyle name="Note 6 2 4" xfId="30758"/>
    <cellStyle name="Note 6 2 4 2" xfId="50497"/>
    <cellStyle name="Note 6 3" xfId="627"/>
    <cellStyle name="Note 6 4" xfId="15769"/>
    <cellStyle name="Note 6 4 2" xfId="20604"/>
    <cellStyle name="Note 6 4 2 2" xfId="30317"/>
    <cellStyle name="Note 6 4 2 2 2" xfId="50070"/>
    <cellStyle name="Note 6 4 2 3" xfId="40426"/>
    <cellStyle name="Note 6 4 3" xfId="25505"/>
    <cellStyle name="Note 6 4 3 2" xfId="45259"/>
    <cellStyle name="Note 6 4 4" xfId="35615"/>
    <cellStyle name="Note 6 5" xfId="30757"/>
    <cellStyle name="Note 6 5 2" xfId="50496"/>
    <cellStyle name="Note 7" xfId="628"/>
    <cellStyle name="Note 7 2" xfId="629"/>
    <cellStyle name="Note 7 2 2" xfId="630"/>
    <cellStyle name="Note 7 2 3" xfId="15772"/>
    <cellStyle name="Note 7 2 3 2" xfId="20607"/>
    <cellStyle name="Note 7 2 3 2 2" xfId="30320"/>
    <cellStyle name="Note 7 2 3 2 2 2" xfId="50073"/>
    <cellStyle name="Note 7 2 3 2 3" xfId="40429"/>
    <cellStyle name="Note 7 2 3 3" xfId="25508"/>
    <cellStyle name="Note 7 2 3 3 2" xfId="45262"/>
    <cellStyle name="Note 7 2 3 4" xfId="35618"/>
    <cellStyle name="Note 7 2 4" xfId="30760"/>
    <cellStyle name="Note 7 2 4 2" xfId="50499"/>
    <cellStyle name="Note 7 3" xfId="631"/>
    <cellStyle name="Note 7 4" xfId="15771"/>
    <cellStyle name="Note 7 4 2" xfId="20606"/>
    <cellStyle name="Note 7 4 2 2" xfId="30319"/>
    <cellStyle name="Note 7 4 2 2 2" xfId="50072"/>
    <cellStyle name="Note 7 4 2 3" xfId="40428"/>
    <cellStyle name="Note 7 4 3" xfId="25507"/>
    <cellStyle name="Note 7 4 3 2" xfId="45261"/>
    <cellStyle name="Note 7 4 4" xfId="35617"/>
    <cellStyle name="Note 7 5" xfId="30759"/>
    <cellStyle name="Note 7 5 2" xfId="50498"/>
    <cellStyle name="Note 8" xfId="632"/>
    <cellStyle name="Note 8 2" xfId="633"/>
    <cellStyle name="Note 8 2 2" xfId="634"/>
    <cellStyle name="Note 8 2 3" xfId="15774"/>
    <cellStyle name="Note 8 2 3 2" xfId="20609"/>
    <cellStyle name="Note 8 2 3 2 2" xfId="30322"/>
    <cellStyle name="Note 8 2 3 2 2 2" xfId="50075"/>
    <cellStyle name="Note 8 2 3 2 3" xfId="40431"/>
    <cellStyle name="Note 8 2 3 3" xfId="25510"/>
    <cellStyle name="Note 8 2 3 3 2" xfId="45264"/>
    <cellStyle name="Note 8 2 3 4" xfId="35620"/>
    <cellStyle name="Note 8 2 4" xfId="30762"/>
    <cellStyle name="Note 8 2 4 2" xfId="50501"/>
    <cellStyle name="Note 8 3" xfId="635"/>
    <cellStyle name="Note 8 4" xfId="15773"/>
    <cellStyle name="Note 8 4 2" xfId="20608"/>
    <cellStyle name="Note 8 4 2 2" xfId="30321"/>
    <cellStyle name="Note 8 4 2 2 2" xfId="50074"/>
    <cellStyle name="Note 8 4 2 3" xfId="40430"/>
    <cellStyle name="Note 8 4 3" xfId="25509"/>
    <cellStyle name="Note 8 4 3 2" xfId="45263"/>
    <cellStyle name="Note 8 4 4" xfId="35619"/>
    <cellStyle name="Note 8 5" xfId="30761"/>
    <cellStyle name="Note 8 5 2" xfId="50500"/>
    <cellStyle name="Note 9" xfId="636"/>
    <cellStyle name="Note 9 2" xfId="637"/>
    <cellStyle name="Note 9 2 2" xfId="638"/>
    <cellStyle name="Note 9 2 3" xfId="15776"/>
    <cellStyle name="Note 9 2 3 2" xfId="20611"/>
    <cellStyle name="Note 9 2 3 2 2" xfId="30324"/>
    <cellStyle name="Note 9 2 3 2 2 2" xfId="50077"/>
    <cellStyle name="Note 9 2 3 2 3" xfId="40433"/>
    <cellStyle name="Note 9 2 3 3" xfId="25512"/>
    <cellStyle name="Note 9 2 3 3 2" xfId="45266"/>
    <cellStyle name="Note 9 2 3 4" xfId="35622"/>
    <cellStyle name="Note 9 2 4" xfId="30764"/>
    <cellStyle name="Note 9 2 4 2" xfId="50503"/>
    <cellStyle name="Note 9 3" xfId="639"/>
    <cellStyle name="Note 9 4" xfId="15775"/>
    <cellStyle name="Note 9 4 2" xfId="20610"/>
    <cellStyle name="Note 9 4 2 2" xfId="30323"/>
    <cellStyle name="Note 9 4 2 2 2" xfId="50076"/>
    <cellStyle name="Note 9 4 2 3" xfId="40432"/>
    <cellStyle name="Note 9 4 3" xfId="25511"/>
    <cellStyle name="Note 9 4 3 2" xfId="45265"/>
    <cellStyle name="Note 9 4 4" xfId="35621"/>
    <cellStyle name="Note 9 5" xfId="30763"/>
    <cellStyle name="Note 9 5 2" xfId="50502"/>
    <cellStyle name="Output" xfId="640" builtinId="21" customBuiltin="1"/>
    <cellStyle name="Output 2" xfId="641"/>
    <cellStyle name="Output 2 2" xfId="642"/>
    <cellStyle name="Output 2 2 2" xfId="15285"/>
    <cellStyle name="Output 2 3" xfId="15286"/>
    <cellStyle name="Output 2 4" xfId="15287"/>
    <cellStyle name="Output 2 4 2" xfId="15288"/>
    <cellStyle name="Output 3" xfId="643"/>
    <cellStyle name="Output 3 2" xfId="15289"/>
    <cellStyle name="Output 4" xfId="644"/>
    <cellStyle name="Output 5" xfId="645"/>
    <cellStyle name="Output 6" xfId="15348"/>
    <cellStyle name="Output 7" xfId="20618"/>
    <cellStyle name="Output 8" xfId="20922"/>
    <cellStyle name="Output 9" xfId="31033"/>
    <cellStyle name="Percent 2" xfId="646"/>
    <cellStyle name="Percent 2 2" xfId="647"/>
    <cellStyle name="Percent 2 2 2" xfId="15290"/>
    <cellStyle name="Percent 2 3" xfId="648"/>
    <cellStyle name="Percent 2 3 2" xfId="15291"/>
    <cellStyle name="Percent 2 4" xfId="15292"/>
    <cellStyle name="Percent 2 5" xfId="30369"/>
    <cellStyle name="Percent 3" xfId="1151"/>
    <cellStyle name="Percent 3 2" xfId="15293"/>
    <cellStyle name="Percent 3 2 2" xfId="15777"/>
    <cellStyle name="Percent 4" xfId="15778"/>
    <cellStyle name="Percent 5" xfId="15779"/>
    <cellStyle name="Percent 5 2" xfId="20612"/>
    <cellStyle name="Percent 5 2 2" xfId="30325"/>
    <cellStyle name="Percent 5 2 2 2" xfId="50078"/>
    <cellStyle name="Percent 5 2 3" xfId="40434"/>
    <cellStyle name="Percent 5 3" xfId="25513"/>
    <cellStyle name="Percent 5 3 2" xfId="45267"/>
    <cellStyle name="Percent 5 4" xfId="35623"/>
    <cellStyle name="Percent 6" xfId="20663"/>
    <cellStyle name="Percent 6 2" xfId="30340"/>
    <cellStyle name="Percent 6 2 2" xfId="50089"/>
    <cellStyle name="Percent 6 3" xfId="40445"/>
    <cellStyle name="Title" xfId="649" builtinId="15" customBuiltin="1"/>
    <cellStyle name="Title 2" xfId="650"/>
    <cellStyle name="Title 2 2" xfId="651"/>
    <cellStyle name="Title 2 2 2" xfId="15294"/>
    <cellStyle name="Title 2 3" xfId="15295"/>
    <cellStyle name="Title 3" xfId="652"/>
    <cellStyle name="Title 3 2" xfId="15296"/>
    <cellStyle name="Title 4" xfId="653"/>
    <cellStyle name="Title 4 2" xfId="15297"/>
    <cellStyle name="Title 5" xfId="654"/>
    <cellStyle name="Title 6" xfId="15349"/>
    <cellStyle name="Title 7" xfId="20617"/>
    <cellStyle name="Title 8" xfId="20923"/>
    <cellStyle name="Title 9" xfId="31034"/>
    <cellStyle name="Total" xfId="655" builtinId="25" customBuiltin="1"/>
    <cellStyle name="Total 10" xfId="20616"/>
    <cellStyle name="Total 11" xfId="20924"/>
    <cellStyle name="Total 12" xfId="31035"/>
    <cellStyle name="Total 2" xfId="656"/>
    <cellStyle name="Total 2 2" xfId="657"/>
    <cellStyle name="Total 2 2 2" xfId="15298"/>
    <cellStyle name="Total 2 3" xfId="658"/>
    <cellStyle name="Total 2 3 2" xfId="15299"/>
    <cellStyle name="Total 2 4" xfId="659"/>
    <cellStyle name="Total 2 4 2" xfId="15300"/>
    <cellStyle name="Total 2 5" xfId="15301"/>
    <cellStyle name="Total 2 5 2" xfId="15780"/>
    <cellStyle name="Total 2 6" xfId="15302"/>
    <cellStyle name="Total 2 6 2" xfId="15303"/>
    <cellStyle name="Total 2 6 3" xfId="15781"/>
    <cellStyle name="Total 3" xfId="660"/>
    <cellStyle name="Total 3 2" xfId="661"/>
    <cellStyle name="Total 3 2 2" xfId="15304"/>
    <cellStyle name="Total 3 3" xfId="15305"/>
    <cellStyle name="Total 4" xfId="662"/>
    <cellStyle name="Total 4 2" xfId="15306"/>
    <cellStyle name="Total 5" xfId="663"/>
    <cellStyle name="Total 5 2" xfId="15307"/>
    <cellStyle name="Total 6" xfId="664"/>
    <cellStyle name="Total 6 2" xfId="1152"/>
    <cellStyle name="Total 6 3" xfId="15782"/>
    <cellStyle name="Total 7" xfId="665"/>
    <cellStyle name="Total 7 2" xfId="1153"/>
    <cellStyle name="Total 7 3" xfId="1154"/>
    <cellStyle name="Total 7 4" xfId="1155"/>
    <cellStyle name="Total 8" xfId="666"/>
    <cellStyle name="Total 9" xfId="15350"/>
    <cellStyle name="Warning Text" xfId="667" builtinId="11" customBuiltin="1"/>
    <cellStyle name="Warning Text 2" xfId="668"/>
    <cellStyle name="Warning Text 2 2" xfId="669"/>
    <cellStyle name="Warning Text 2 2 2" xfId="15308"/>
    <cellStyle name="Warning Text 2 3" xfId="15309"/>
    <cellStyle name="Warning Text 2 4" xfId="15310"/>
    <cellStyle name="Warning Text 2 4 2" xfId="15311"/>
    <cellStyle name="Warning Text 3" xfId="670"/>
    <cellStyle name="Warning Text 3 2" xfId="15312"/>
    <cellStyle name="Warning Text 4" xfId="1531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7272FA"/>
      <color rgb="FF7BB0F1"/>
      <color rgb="FF03A5ED"/>
      <color rgb="FF13DEE3"/>
      <color rgb="FFD818DD"/>
      <color rgb="FF66CCFF"/>
      <color rgb="FFCCFFFF"/>
      <color rgb="FFFF0000"/>
      <color rgb="FF0033CC"/>
      <color rgb="FF14027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111.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13.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114.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144.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145.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Auke Creek</a:t>
            </a:r>
          </a:p>
        </c:rich>
      </c:tx>
      <c:layout>
        <c:manualLayout>
          <c:xMode val="edge"/>
          <c:yMode val="edge"/>
          <c:x val="0.40248418804382974"/>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ERfigures!$B$5:$B$42</c:f>
              <c:numCache>
                <c:formatCode>#,##0.0</c:formatCode>
                <c:ptCount val="38"/>
                <c:pt idx="0">
                  <c:v>13.47926267281106</c:v>
                </c:pt>
                <c:pt idx="1">
                  <c:v>28.688524590163933</c:v>
                </c:pt>
                <c:pt idx="2">
                  <c:v>20.162381596752368</c:v>
                </c:pt>
                <c:pt idx="3">
                  <c:v>31.073446327683619</c:v>
                </c:pt>
                <c:pt idx="4">
                  <c:v>33.972602739726028</c:v>
                </c:pt>
                <c:pt idx="5">
                  <c:v>35.294117647058826</c:v>
                </c:pt>
                <c:pt idx="6">
                  <c:v>43.223819301848046</c:v>
                </c:pt>
                <c:pt idx="7">
                  <c:v>37.150127226463106</c:v>
                </c:pt>
                <c:pt idx="8">
                  <c:v>25.478767693588679</c:v>
                </c:pt>
                <c:pt idx="9">
                  <c:v>48.191681735985533</c:v>
                </c:pt>
                <c:pt idx="10">
                  <c:v>42.847503373819166</c:v>
                </c:pt>
                <c:pt idx="11">
                  <c:v>16.963528413910094</c:v>
                </c:pt>
                <c:pt idx="12">
                  <c:v>32.159999999999997</c:v>
                </c:pt>
                <c:pt idx="13">
                  <c:v>38.451856513530522</c:v>
                </c:pt>
                <c:pt idx="14">
                  <c:v>34.828150572831426</c:v>
                </c:pt>
                <c:pt idx="15">
                  <c:v>32.195121951219512</c:v>
                </c:pt>
                <c:pt idx="16">
                  <c:v>39.08851884312007</c:v>
                </c:pt>
                <c:pt idx="17">
                  <c:v>12.417437252311757</c:v>
                </c:pt>
                <c:pt idx="18">
                  <c:v>30.927105449398447</c:v>
                </c:pt>
                <c:pt idx="19">
                  <c:v>33.797909407665507</c:v>
                </c:pt>
                <c:pt idx="20">
                  <c:v>23.52941176470588</c:v>
                </c:pt>
                <c:pt idx="21">
                  <c:v>30.938833570412516</c:v>
                </c:pt>
                <c:pt idx="22">
                  <c:v>18</c:v>
                </c:pt>
                <c:pt idx="23">
                  <c:v>23.340707964601769</c:v>
                </c:pt>
                <c:pt idx="24">
                  <c:v>26.604278074866311</c:v>
                </c:pt>
                <c:pt idx="25">
                  <c:v>33.012379642365886</c:v>
                </c:pt>
                <c:pt idx="26">
                  <c:v>22.272727272727273</c:v>
                </c:pt>
                <c:pt idx="27">
                  <c:v>25</c:v>
                </c:pt>
                <c:pt idx="28">
                  <c:v>29.887410440122824</c:v>
                </c:pt>
                <c:pt idx="29">
                  <c:v>30.185497470489036</c:v>
                </c:pt>
                <c:pt idx="30">
                  <c:v>25.293350717079534</c:v>
                </c:pt>
                <c:pt idx="31">
                  <c:v>17.2544080604534</c:v>
                </c:pt>
                <c:pt idx="32">
                  <c:v>19.684308263695449</c:v>
                </c:pt>
                <c:pt idx="33">
                  <c:v>32.069510268562404</c:v>
                </c:pt>
                <c:pt idx="34">
                  <c:v>13.759086188992731</c:v>
                </c:pt>
                <c:pt idx="35">
                  <c:v>20.289855072463769</c:v>
                </c:pt>
                <c:pt idx="36">
                  <c:v>7.3260073260073266</c:v>
                </c:pt>
                <c:pt idx="37">
                  <c:v>34.029227557411275</c:v>
                </c:pt>
              </c:numCache>
            </c:numRef>
          </c:val>
        </c:ser>
        <c:dLbls>
          <c:showLegendKey val="0"/>
          <c:showVal val="0"/>
          <c:showCatName val="0"/>
          <c:showSerName val="0"/>
          <c:showPercent val="0"/>
          <c:showBubbleSize val="0"/>
        </c:dLbls>
        <c:gapWidth val="60"/>
        <c:axId val="44860928"/>
        <c:axId val="44862464"/>
      </c:barChart>
      <c:catAx>
        <c:axId val="44860928"/>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4862464"/>
        <c:crosses val="autoZero"/>
        <c:auto val="0"/>
        <c:lblAlgn val="ctr"/>
        <c:lblOffset val="100"/>
        <c:tickLblSkip val="2"/>
        <c:tickMarkSkip val="1"/>
        <c:noMultiLvlLbl val="0"/>
      </c:catAx>
      <c:valAx>
        <c:axId val="44862464"/>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860928"/>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Hugh Smith Lake</a:t>
            </a:r>
          </a:p>
        </c:rich>
      </c:tx>
      <c:layout>
        <c:manualLayout>
          <c:xMode val="edge"/>
          <c:yMode val="edge"/>
          <c:x val="0.37574111259015258"/>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ERfigures!$E$5:$E$42</c:f>
              <c:numCache>
                <c:formatCode>General</c:formatCode>
                <c:ptCount val="38"/>
                <c:pt idx="2" formatCode="#,##0.0">
                  <c:v>44.971358149051653</c:v>
                </c:pt>
                <c:pt idx="3" formatCode="#,##0.0">
                  <c:v>35.451558288791006</c:v>
                </c:pt>
                <c:pt idx="4" formatCode="#,##0.0">
                  <c:v>31.463933220894884</c:v>
                </c:pt>
                <c:pt idx="5" formatCode="#,##0.0">
                  <c:v>35.570753097824088</c:v>
                </c:pt>
                <c:pt idx="6" formatCode="#,##0.0">
                  <c:v>36.59944890840687</c:v>
                </c:pt>
                <c:pt idx="7" formatCode="#,##0.0">
                  <c:v>29.293044956349775</c:v>
                </c:pt>
                <c:pt idx="8" formatCode="#,##0.0">
                  <c:v>27.560370521156575</c:v>
                </c:pt>
                <c:pt idx="9" formatCode="#,##0.0">
                  <c:v>50.610087666188022</c:v>
                </c:pt>
                <c:pt idx="10" formatCode="#,##0.0">
                  <c:v>37.617871578491787</c:v>
                </c:pt>
                <c:pt idx="11" formatCode="#,##0.0">
                  <c:v>36.473417723444321</c:v>
                </c:pt>
                <c:pt idx="12" formatCode="#,##0.0">
                  <c:v>37.887486721599522</c:v>
                </c:pt>
                <c:pt idx="13" formatCode="#,##0.0">
                  <c:v>52.504509160135783</c:v>
                </c:pt>
                <c:pt idx="14" formatCode="#,##0.0">
                  <c:v>45.785682432701861</c:v>
                </c:pt>
                <c:pt idx="15" formatCode="#,##0.0">
                  <c:v>30.087215462659433</c:v>
                </c:pt>
                <c:pt idx="16" formatCode="#,##0.0">
                  <c:v>40.157806870121583</c:v>
                </c:pt>
                <c:pt idx="17" formatCode="#,##0.0">
                  <c:v>49.017873451236419</c:v>
                </c:pt>
                <c:pt idx="18" formatCode="#,##0.0">
                  <c:v>40.525601817316598</c:v>
                </c:pt>
                <c:pt idx="19" formatCode="#,##0.0">
                  <c:v>41.613988262821955</c:v>
                </c:pt>
                <c:pt idx="20" formatCode="#,##0.0">
                  <c:v>36.285760235885306</c:v>
                </c:pt>
                <c:pt idx="21" formatCode="#,##0.0">
                  <c:v>22.32574362913661</c:v>
                </c:pt>
                <c:pt idx="22" formatCode="#,##0.0">
                  <c:v>16.491348153576414</c:v>
                </c:pt>
                <c:pt idx="23" formatCode="#,##0.0">
                  <c:v>24.329343891395833</c:v>
                </c:pt>
                <c:pt idx="24" formatCode="#,##0.0">
                  <c:v>40.801279633241485</c:v>
                </c:pt>
                <c:pt idx="25" formatCode="#,##0.0">
                  <c:v>31.83871925484258</c:v>
                </c:pt>
                <c:pt idx="26" formatCode="#,##0.0">
                  <c:v>36.481419829523155</c:v>
                </c:pt>
                <c:pt idx="27" formatCode="#,##0.0">
                  <c:v>38.142954204807687</c:v>
                </c:pt>
                <c:pt idx="28" formatCode="#,##0.0">
                  <c:v>18.961864406779661</c:v>
                </c:pt>
                <c:pt idx="29" formatCode="#,##0.0">
                  <c:v>23.933378964179784</c:v>
                </c:pt>
                <c:pt idx="30" formatCode="#,##0.0">
                  <c:v>22.244784936311611</c:v>
                </c:pt>
                <c:pt idx="31" formatCode="#,##0.0">
                  <c:v>19.761239522479045</c:v>
                </c:pt>
                <c:pt idx="32" formatCode="#,##0.0">
                  <c:v>19.721354792217152</c:v>
                </c:pt>
                <c:pt idx="33" formatCode="#,##0.0">
                  <c:v>25.39820445988995</c:v>
                </c:pt>
                <c:pt idx="34" formatCode="#,##0.0">
                  <c:v>24.302582068249642</c:v>
                </c:pt>
                <c:pt idx="35" formatCode="#,##0.0">
                  <c:v>24.053224155578302</c:v>
                </c:pt>
                <c:pt idx="36" formatCode="#,##0.0">
                  <c:v>31.103000811030007</c:v>
                </c:pt>
                <c:pt idx="37" formatCode="#,##0.0">
                  <c:v>27.793814432989688</c:v>
                </c:pt>
              </c:numCache>
            </c:numRef>
          </c:val>
        </c:ser>
        <c:dLbls>
          <c:showLegendKey val="0"/>
          <c:showVal val="0"/>
          <c:showCatName val="0"/>
          <c:showSerName val="0"/>
          <c:showPercent val="0"/>
          <c:showBubbleSize val="0"/>
        </c:dLbls>
        <c:gapWidth val="60"/>
        <c:axId val="94434048"/>
        <c:axId val="94435584"/>
      </c:barChart>
      <c:catAx>
        <c:axId val="94434048"/>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94435584"/>
        <c:crosses val="autoZero"/>
        <c:auto val="0"/>
        <c:lblAlgn val="ctr"/>
        <c:lblOffset val="100"/>
        <c:tickLblSkip val="2"/>
        <c:tickMarkSkip val="1"/>
        <c:noMultiLvlLbl val="0"/>
      </c:catAx>
      <c:valAx>
        <c:axId val="94435584"/>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94434048"/>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Auke Creek</a:t>
            </a:r>
          </a:p>
        </c:rich>
      </c:tx>
      <c:layout>
        <c:manualLayout>
          <c:xMode val="edge"/>
          <c:yMode val="edge"/>
          <c:x val="0.40248418804382974"/>
          <c:y val="1.9011430022860046E-2"/>
        </c:manualLayout>
      </c:layout>
      <c:overlay val="0"/>
      <c:spPr>
        <a:noFill/>
        <a:ln w="25400">
          <a:noFill/>
        </a:ln>
      </c:spPr>
    </c:title>
    <c:autoTitleDeleted val="0"/>
    <c:plotArea>
      <c:layout>
        <c:manualLayout>
          <c:layoutTarget val="inner"/>
          <c:xMode val="edge"/>
          <c:yMode val="edge"/>
          <c:x val="0.14289195225954923"/>
          <c:y val="0.10727355854711709"/>
          <c:w val="0.79392159074671542"/>
          <c:h val="0.74562323257979846"/>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ERfigures!$O$5:$O$42</c:f>
              <c:numCache>
                <c:formatCode>#,##0.0</c:formatCode>
                <c:ptCount val="38"/>
                <c:pt idx="0">
                  <c:v>19.585253456221199</c:v>
                </c:pt>
                <c:pt idx="1">
                  <c:v>33.811475409836063</c:v>
                </c:pt>
                <c:pt idx="2">
                  <c:v>39.512855209742895</c:v>
                </c:pt>
                <c:pt idx="3">
                  <c:v>43.987086359967712</c:v>
                </c:pt>
                <c:pt idx="4">
                  <c:v>40.547945205479451</c:v>
                </c:pt>
                <c:pt idx="5">
                  <c:v>44.028520499108737</c:v>
                </c:pt>
                <c:pt idx="6">
                  <c:v>53.388090349075981</c:v>
                </c:pt>
                <c:pt idx="7">
                  <c:v>43.341815097540284</c:v>
                </c:pt>
                <c:pt idx="8">
                  <c:v>37.052456286427976</c:v>
                </c:pt>
                <c:pt idx="9">
                  <c:v>54.611211573236893</c:v>
                </c:pt>
                <c:pt idx="10">
                  <c:v>52.968960863697703</c:v>
                </c:pt>
                <c:pt idx="11">
                  <c:v>31.46734520780322</c:v>
                </c:pt>
                <c:pt idx="12">
                  <c:v>45.6</c:v>
                </c:pt>
                <c:pt idx="13">
                  <c:v>45.940843297671492</c:v>
                </c:pt>
                <c:pt idx="14">
                  <c:v>52.962356792144028</c:v>
                </c:pt>
                <c:pt idx="15">
                  <c:v>43.902439024390247</c:v>
                </c:pt>
                <c:pt idx="16">
                  <c:v>54.864154250657315</c:v>
                </c:pt>
                <c:pt idx="17">
                  <c:v>19.550858652575958</c:v>
                </c:pt>
                <c:pt idx="18">
                  <c:v>38.995046001415432</c:v>
                </c:pt>
                <c:pt idx="19">
                  <c:v>41.11498257839721</c:v>
                </c:pt>
                <c:pt idx="20">
                  <c:v>29.51496388028896</c:v>
                </c:pt>
                <c:pt idx="21">
                  <c:v>38.477951635846374</c:v>
                </c:pt>
                <c:pt idx="22">
                  <c:v>26.5</c:v>
                </c:pt>
                <c:pt idx="23">
                  <c:v>35.287610619469028</c:v>
                </c:pt>
                <c:pt idx="24">
                  <c:v>44.385026737967912</c:v>
                </c:pt>
                <c:pt idx="25">
                  <c:v>38.101788170563964</c:v>
                </c:pt>
                <c:pt idx="26">
                  <c:v>33.977272727272727</c:v>
                </c:pt>
                <c:pt idx="27">
                  <c:v>34.328358208955223</c:v>
                </c:pt>
                <c:pt idx="28">
                  <c:v>38.587512794268171</c:v>
                </c:pt>
                <c:pt idx="29">
                  <c:v>39.291736930860033</c:v>
                </c:pt>
                <c:pt idx="30">
                  <c:v>45.632333767926987</c:v>
                </c:pt>
                <c:pt idx="31">
                  <c:v>34.886649874055415</c:v>
                </c:pt>
                <c:pt idx="32">
                  <c:v>22.284122562674096</c:v>
                </c:pt>
                <c:pt idx="33">
                  <c:v>41.864139020537124</c:v>
                </c:pt>
                <c:pt idx="34">
                  <c:v>20.404984423676012</c:v>
                </c:pt>
                <c:pt idx="35">
                  <c:v>25.072463768115945</c:v>
                </c:pt>
                <c:pt idx="36">
                  <c:v>25.274725274725274</c:v>
                </c:pt>
                <c:pt idx="37">
                  <c:v>40.918580375782881</c:v>
                </c:pt>
              </c:numCache>
            </c:numRef>
          </c:val>
        </c:ser>
        <c:dLbls>
          <c:showLegendKey val="0"/>
          <c:showVal val="0"/>
          <c:showCatName val="0"/>
          <c:showSerName val="0"/>
          <c:showPercent val="0"/>
          <c:showBubbleSize val="0"/>
        </c:dLbls>
        <c:gapWidth val="60"/>
        <c:axId val="121538816"/>
        <c:axId val="121540608"/>
      </c:barChart>
      <c:catAx>
        <c:axId val="121538816"/>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21540608"/>
        <c:crosses val="autoZero"/>
        <c:auto val="0"/>
        <c:lblAlgn val="ctr"/>
        <c:lblOffset val="100"/>
        <c:tickLblSkip val="2"/>
        <c:tickMarkSkip val="1"/>
        <c:noMultiLvlLbl val="0"/>
      </c:catAx>
      <c:valAx>
        <c:axId val="121540608"/>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1538816"/>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Berners River</a:t>
            </a:r>
          </a:p>
        </c:rich>
      </c:tx>
      <c:layout>
        <c:manualLayout>
          <c:xMode val="edge"/>
          <c:yMode val="edge"/>
          <c:x val="0.37956155194067792"/>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ERfigures!$P$5:$P$42</c:f>
              <c:numCache>
                <c:formatCode>General</c:formatCode>
                <c:ptCount val="38"/>
                <c:pt idx="9" formatCode="#,##0.0">
                  <c:v>56.78647033407276</c:v>
                </c:pt>
                <c:pt idx="10" formatCode="#,##0.0">
                  <c:v>62.553545414745152</c:v>
                </c:pt>
                <c:pt idx="11" formatCode="#,##0.0">
                  <c:v>62.107938083080626</c:v>
                </c:pt>
                <c:pt idx="12" formatCode="#,##0.0">
                  <c:v>61.777792630108053</c:v>
                </c:pt>
                <c:pt idx="13" formatCode="#,##0.0">
                  <c:v>63.566969159721609</c:v>
                </c:pt>
                <c:pt idx="14" formatCode="#,##0.0">
                  <c:v>74.407091710257419</c:v>
                </c:pt>
                <c:pt idx="15" formatCode="#,##0.0">
                  <c:v>79.545557258650078</c:v>
                </c:pt>
                <c:pt idx="16" formatCode="#,##0.0">
                  <c:v>70.09879305470777</c:v>
                </c:pt>
                <c:pt idx="17" formatCode="#,##0.0">
                  <c:v>29.558031172464684</c:v>
                </c:pt>
                <c:pt idx="18" formatCode="#,##0.0">
                  <c:v>65.925608610014763</c:v>
                </c:pt>
                <c:pt idx="19" formatCode="#,##0.0">
                  <c:v>65.352737384665815</c:v>
                </c:pt>
                <c:pt idx="20" formatCode="#,##0.0">
                  <c:v>44.998093510990358</c:v>
                </c:pt>
                <c:pt idx="21" formatCode="#,##0.0">
                  <c:v>34.947666419039642</c:v>
                </c:pt>
                <c:pt idx="22" formatCode="#,##0.0">
                  <c:v>39.147356128717668</c:v>
                </c:pt>
                <c:pt idx="23" formatCode="#,##0.0">
                  <c:v>60.22506688909872</c:v>
                </c:pt>
                <c:pt idx="24" formatCode="#,##0.0">
                  <c:v>51.074746107909917</c:v>
                </c:pt>
                <c:pt idx="25" formatCode="#,##0.0">
                  <c:v>53.777143431839313</c:v>
                </c:pt>
                <c:pt idx="26" formatCode="#,##0.0">
                  <c:v>60.393680867873591</c:v>
                </c:pt>
                <c:pt idx="27" formatCode="#,##0.0">
                  <c:v>49.728677722396675</c:v>
                </c:pt>
                <c:pt idx="28" formatCode="#,##0.0">
                  <c:v>46.785271252053349</c:v>
                </c:pt>
                <c:pt idx="29" formatCode="#,##0.0">
                  <c:v>49.213761874761239</c:v>
                </c:pt>
                <c:pt idx="30" formatCode="#,##0.0">
                  <c:v>60.500253484686652</c:v>
                </c:pt>
                <c:pt idx="31" formatCode="#,##0.0">
                  <c:v>44.328539707687902</c:v>
                </c:pt>
                <c:pt idx="32" formatCode="#,##0.0">
                  <c:v>30.961731258252144</c:v>
                </c:pt>
                <c:pt idx="33" formatCode="#,##0.0">
                  <c:v>65.482244954497375</c:v>
                </c:pt>
                <c:pt idx="34" formatCode="#,##0.0">
                  <c:v>36.759220180413472</c:v>
                </c:pt>
                <c:pt idx="35" formatCode="#,##0.0">
                  <c:v>31.634066603867677</c:v>
                </c:pt>
                <c:pt idx="36" formatCode="#,##0.0">
                  <c:v>27.783932875194413</c:v>
                </c:pt>
                <c:pt idx="37" formatCode="#,##0.0">
                  <c:v>45.373843460865217</c:v>
                </c:pt>
              </c:numCache>
            </c:numRef>
          </c:val>
        </c:ser>
        <c:dLbls>
          <c:showLegendKey val="0"/>
          <c:showVal val="0"/>
          <c:showCatName val="0"/>
          <c:showSerName val="0"/>
          <c:showPercent val="0"/>
          <c:showBubbleSize val="0"/>
        </c:dLbls>
        <c:gapWidth val="60"/>
        <c:axId val="122961920"/>
        <c:axId val="122963456"/>
      </c:barChart>
      <c:catAx>
        <c:axId val="122961920"/>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22963456"/>
        <c:crosses val="autoZero"/>
        <c:auto val="0"/>
        <c:lblAlgn val="ctr"/>
        <c:lblOffset val="100"/>
        <c:tickLblSkip val="2"/>
        <c:tickMarkSkip val="1"/>
        <c:noMultiLvlLbl val="0"/>
      </c:catAx>
      <c:valAx>
        <c:axId val="122963456"/>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2961920"/>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Ford Arm Creek</a:t>
            </a:r>
          </a:p>
        </c:rich>
      </c:tx>
      <c:layout>
        <c:manualLayout>
          <c:xMode val="edge"/>
          <c:yMode val="edge"/>
          <c:x val="0.37956155194067792"/>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ERfigures!$Q$5:$Q$42</c:f>
              <c:numCache>
                <c:formatCode>General</c:formatCode>
                <c:ptCount val="38"/>
                <c:pt idx="2" formatCode="#,##0.0">
                  <c:v>43.366040955631405</c:v>
                </c:pt>
                <c:pt idx="3" formatCode="#,##0.0">
                  <c:v>68.789397122999844</c:v>
                </c:pt>
                <c:pt idx="5" formatCode="#,##0.0">
                  <c:v>51.643778610070747</c:v>
                </c:pt>
                <c:pt idx="6" formatCode="#,##0.0">
                  <c:v>62.127867252318204</c:v>
                </c:pt>
                <c:pt idx="7" formatCode="#,##0.0">
                  <c:v>47.602845654191157</c:v>
                </c:pt>
                <c:pt idx="8" formatCode="#,##0.0">
                  <c:v>48.120425815036597</c:v>
                </c:pt>
                <c:pt idx="9" formatCode="#,##0.0">
                  <c:v>64.675324675324674</c:v>
                </c:pt>
                <c:pt idx="10" formatCode="#,##0.0">
                  <c:v>58.437618505877886</c:v>
                </c:pt>
                <c:pt idx="11" formatCode="#,##0.0">
                  <c:v>54.120970422067124</c:v>
                </c:pt>
                <c:pt idx="12" formatCode="#,##0.0">
                  <c:v>58.656828146722276</c:v>
                </c:pt>
                <c:pt idx="13" formatCode="#,##0.0">
                  <c:v>66.547249422816662</c:v>
                </c:pt>
                <c:pt idx="14" formatCode="#,##0.0">
                  <c:v>71.907373552711761</c:v>
                </c:pt>
                <c:pt idx="15" formatCode="#,##0.0">
                  <c:v>63.96051274495359</c:v>
                </c:pt>
                <c:pt idx="16" formatCode="#,##0.0">
                  <c:v>57.366984993178718</c:v>
                </c:pt>
                <c:pt idx="17" formatCode="#,##0.0">
                  <c:v>51.714256473237128</c:v>
                </c:pt>
                <c:pt idx="18" formatCode="#,##0.0">
                  <c:v>56.282560158769535</c:v>
                </c:pt>
                <c:pt idx="19" formatCode="#,##0.0">
                  <c:v>62.726826875919571</c:v>
                </c:pt>
                <c:pt idx="20" formatCode="#,##0.0">
                  <c:v>71.375326127469251</c:v>
                </c:pt>
                <c:pt idx="21" formatCode="#,##0.0">
                  <c:v>74.388405797101456</c:v>
                </c:pt>
                <c:pt idx="22" formatCode="#,##0.0">
                  <c:v>52.976584204259822</c:v>
                </c:pt>
                <c:pt idx="23" formatCode="#,##0.0">
                  <c:v>48.634334569115531</c:v>
                </c:pt>
                <c:pt idx="24" formatCode="#,##0.0">
                  <c:v>70.761731658955711</c:v>
                </c:pt>
                <c:pt idx="25" formatCode="#,##0.0">
                  <c:v>57.947248839276902</c:v>
                </c:pt>
                <c:pt idx="26" formatCode="#,##0.0">
                  <c:v>51.732219278581617</c:v>
                </c:pt>
                <c:pt idx="27" formatCode="#,##0.0">
                  <c:v>70.378490653127173</c:v>
                </c:pt>
                <c:pt idx="28" formatCode="#,##0.0">
                  <c:v>53.22784810126582</c:v>
                </c:pt>
                <c:pt idx="29" formatCode="#,##0.0">
                  <c:v>69.393769295537467</c:v>
                </c:pt>
                <c:pt idx="30" formatCode="#,##0.0">
                  <c:v>63.925610575845852</c:v>
                </c:pt>
                <c:pt idx="31" formatCode="#,##0.0">
                  <c:v>82.395275881158881</c:v>
                </c:pt>
                <c:pt idx="32" formatCode="#,##0.0">
                  <c:v>63.068457679236126</c:v>
                </c:pt>
                <c:pt idx="33" formatCode="#,##0.0">
                  <c:v>78.064426160925947</c:v>
                </c:pt>
                <c:pt idx="34" formatCode="#,##0.0">
                  <c:v>71.673377657083989</c:v>
                </c:pt>
                <c:pt idx="35" formatCode="#,##0.0">
                  <c:v>52.15108648096836</c:v>
                </c:pt>
              </c:numCache>
            </c:numRef>
          </c:val>
        </c:ser>
        <c:dLbls>
          <c:showLegendKey val="0"/>
          <c:showVal val="0"/>
          <c:showCatName val="0"/>
          <c:showSerName val="0"/>
          <c:showPercent val="0"/>
          <c:showBubbleSize val="0"/>
        </c:dLbls>
        <c:gapWidth val="60"/>
        <c:axId val="122988416"/>
        <c:axId val="122989952"/>
      </c:barChart>
      <c:catAx>
        <c:axId val="122988416"/>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22989952"/>
        <c:crosses val="autoZero"/>
        <c:auto val="0"/>
        <c:lblAlgn val="ctr"/>
        <c:lblOffset val="100"/>
        <c:tickLblSkip val="2"/>
        <c:tickMarkSkip val="1"/>
        <c:noMultiLvlLbl val="0"/>
      </c:catAx>
      <c:valAx>
        <c:axId val="122989952"/>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2988416"/>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Hugh Smith Lake</a:t>
            </a:r>
          </a:p>
        </c:rich>
      </c:tx>
      <c:layout>
        <c:manualLayout>
          <c:xMode val="edge"/>
          <c:yMode val="edge"/>
          <c:x val="0.3719206732396273"/>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ERfigures!$R$5:$R$42</c:f>
              <c:numCache>
                <c:formatCode>General</c:formatCode>
                <c:ptCount val="38"/>
                <c:pt idx="2" formatCode="#,##0.0">
                  <c:v>65.038147151693522</c:v>
                </c:pt>
                <c:pt idx="3" formatCode="#,##0.0">
                  <c:v>61.622217317712725</c:v>
                </c:pt>
                <c:pt idx="4" formatCode="#,##0.0">
                  <c:v>65.031852357472445</c:v>
                </c:pt>
                <c:pt idx="5" formatCode="#,##0.0">
                  <c:v>62.992764893789285</c:v>
                </c:pt>
                <c:pt idx="6" formatCode="#,##0.0">
                  <c:v>59.177528407526211</c:v>
                </c:pt>
                <c:pt idx="7" formatCode="#,##0.0">
                  <c:v>50.216900220898339</c:v>
                </c:pt>
                <c:pt idx="8" formatCode="#,##0.0">
                  <c:v>65.169366470772999</c:v>
                </c:pt>
                <c:pt idx="9" formatCode="#,##0.0">
                  <c:v>81.989463192472002</c:v>
                </c:pt>
                <c:pt idx="10" formatCode="#,##0.0">
                  <c:v>81.85080035540723</c:v>
                </c:pt>
                <c:pt idx="11" formatCode="#,##0.0">
                  <c:v>68.162405855088466</c:v>
                </c:pt>
                <c:pt idx="12" formatCode="#,##0.0">
                  <c:v>70.866338080638258</c:v>
                </c:pt>
                <c:pt idx="13" formatCode="#,##0.0">
                  <c:v>80.385695816716392</c:v>
                </c:pt>
                <c:pt idx="14" formatCode="#,##0.0">
                  <c:v>81.476704320299291</c:v>
                </c:pt>
                <c:pt idx="15" formatCode="#,##0.0">
                  <c:v>73.450367884350385</c:v>
                </c:pt>
                <c:pt idx="16" formatCode="#,##0.0">
                  <c:v>75.937304663464914</c:v>
                </c:pt>
                <c:pt idx="17" formatCode="#,##0.0">
                  <c:v>72.844676092480483</c:v>
                </c:pt>
                <c:pt idx="18" formatCode="#,##0.0">
                  <c:v>77.512242191583141</c:v>
                </c:pt>
                <c:pt idx="19" formatCode="#,##0.0">
                  <c:v>70.482203418622134</c:v>
                </c:pt>
                <c:pt idx="20" formatCode="#,##0.0">
                  <c:v>55.437680259848911</c:v>
                </c:pt>
                <c:pt idx="21" formatCode="#,##0.0">
                  <c:v>49.349393557994972</c:v>
                </c:pt>
                <c:pt idx="22" formatCode="#,##0.0">
                  <c:v>39.122610306592165</c:v>
                </c:pt>
                <c:pt idx="23" formatCode="#,##0.0">
                  <c:v>58.927236748703514</c:v>
                </c:pt>
                <c:pt idx="24" formatCode="#,##0.0">
                  <c:v>66.28615985433018</c:v>
                </c:pt>
                <c:pt idx="25" formatCode="#,##0.0">
                  <c:v>52.576734727738881</c:v>
                </c:pt>
                <c:pt idx="26" formatCode="#,##0.0">
                  <c:v>53.735464980361016</c:v>
                </c:pt>
                <c:pt idx="27" formatCode="#,##0.0">
                  <c:v>62.406197904982939</c:v>
                </c:pt>
                <c:pt idx="28" formatCode="#,##0.0">
                  <c:v>53.893008474576277</c:v>
                </c:pt>
                <c:pt idx="29" formatCode="#,##0.0">
                  <c:v>47.958019621263972</c:v>
                </c:pt>
                <c:pt idx="30" formatCode="#,##0.0">
                  <c:v>46.870961786966959</c:v>
                </c:pt>
                <c:pt idx="31" formatCode="#,##0.0">
                  <c:v>45.720091440182884</c:v>
                </c:pt>
                <c:pt idx="32" formatCode="#,##0.0">
                  <c:v>54.167667547441745</c:v>
                </c:pt>
                <c:pt idx="33" formatCode="#,##0.0">
                  <c:v>55.864465682015641</c:v>
                </c:pt>
                <c:pt idx="34" formatCode="#,##0.0">
                  <c:v>46.671856753600622</c:v>
                </c:pt>
                <c:pt idx="35" formatCode="#,##0.0">
                  <c:v>51.074718526100305</c:v>
                </c:pt>
                <c:pt idx="36" formatCode="#,##0.0">
                  <c:v>61.557177615571781</c:v>
                </c:pt>
                <c:pt idx="37" formatCode="#,##0.0">
                  <c:v>47.793814432989691</c:v>
                </c:pt>
              </c:numCache>
            </c:numRef>
          </c:val>
        </c:ser>
        <c:dLbls>
          <c:showLegendKey val="0"/>
          <c:showVal val="0"/>
          <c:showCatName val="0"/>
          <c:showSerName val="0"/>
          <c:showPercent val="0"/>
          <c:showBubbleSize val="0"/>
        </c:dLbls>
        <c:gapWidth val="60"/>
        <c:axId val="122998144"/>
        <c:axId val="124265600"/>
      </c:barChart>
      <c:catAx>
        <c:axId val="122998144"/>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24265600"/>
        <c:crosses val="autoZero"/>
        <c:auto val="0"/>
        <c:lblAlgn val="ctr"/>
        <c:lblOffset val="100"/>
        <c:tickLblSkip val="2"/>
        <c:tickMarkSkip val="1"/>
        <c:noMultiLvlLbl val="0"/>
      </c:catAx>
      <c:valAx>
        <c:axId val="124265600"/>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2998144"/>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Alaska</a:t>
            </a:r>
            <a:r>
              <a:rPr lang="en-US" baseline="0"/>
              <a:t> Troll Index</a:t>
            </a:r>
            <a:endParaRPr lang="en-US"/>
          </a:p>
        </c:rich>
      </c:tx>
      <c:layout>
        <c:manualLayout>
          <c:xMode val="edge"/>
          <c:yMode val="edge"/>
          <c:x val="0.36810023388910196"/>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ERfigures!$L$5:$L$42</c:f>
              <c:numCache>
                <c:formatCode>General</c:formatCode>
                <c:ptCount val="38"/>
                <c:pt idx="2" formatCode="#,##0.0">
                  <c:v>34.274485659413756</c:v>
                </c:pt>
                <c:pt idx="3" formatCode="#,##0.0">
                  <c:v>37.419764251632685</c:v>
                </c:pt>
                <c:pt idx="4" formatCode="#,##0.0">
                  <c:v>36.964211142468528</c:v>
                </c:pt>
                <c:pt idx="5" formatCode="#,##0.0">
                  <c:v>38.674704019967315</c:v>
                </c:pt>
                <c:pt idx="6" formatCode="#,##0.0">
                  <c:v>44.047413677464583</c:v>
                </c:pt>
                <c:pt idx="7" formatCode="#,##0.0">
                  <c:v>35.596755418129788</c:v>
                </c:pt>
                <c:pt idx="8" formatCode="#,##0.0">
                  <c:v>30.583586090954658</c:v>
                </c:pt>
                <c:pt idx="9" formatCode="#,##0.0">
                  <c:v>52.030514568933242</c:v>
                </c:pt>
                <c:pt idx="10" formatCode="#,##0.0">
                  <c:v>43.119710961623674</c:v>
                </c:pt>
                <c:pt idx="11" formatCode="#,##0.0">
                  <c:v>32.041663395580095</c:v>
                </c:pt>
                <c:pt idx="12" formatCode="#,##0.0">
                  <c:v>38.986046159575793</c:v>
                </c:pt>
                <c:pt idx="13" formatCode="#,##0.0">
                  <c:v>48.263898347689505</c:v>
                </c:pt>
                <c:pt idx="14" formatCode="#,##0.0">
                  <c:v>44.298707099860131</c:v>
                </c:pt>
                <c:pt idx="15" formatCode="#,##0.0">
                  <c:v>34.871590847392149</c:v>
                </c:pt>
                <c:pt idx="16" formatCode="#,##0.0">
                  <c:v>42.781017405113545</c:v>
                </c:pt>
                <c:pt idx="17" formatCode="#,##0.0">
                  <c:v>34.485326429831105</c:v>
                </c:pt>
                <c:pt idx="18" formatCode="#,##0.0">
                  <c:v>40.528323652406158</c:v>
                </c:pt>
                <c:pt idx="19" formatCode="#,##0.0">
                  <c:v>42.212272942681878</c:v>
                </c:pt>
                <c:pt idx="20" formatCode="#,##0.0">
                  <c:v>34.663413152460507</c:v>
                </c:pt>
                <c:pt idx="21" formatCode="#,##0.0">
                  <c:v>33.405691913488127</c:v>
                </c:pt>
                <c:pt idx="22" formatCode="#,##0.0">
                  <c:v>20.866541475396843</c:v>
                </c:pt>
                <c:pt idx="23" formatCode="#,##0.0">
                  <c:v>25.010778904329289</c:v>
                </c:pt>
                <c:pt idx="24" formatCode="#,##0.0">
                  <c:v>40.288335418067028</c:v>
                </c:pt>
                <c:pt idx="25" formatCode="#,##0.0">
                  <c:v>36.099917615895293</c:v>
                </c:pt>
                <c:pt idx="26" formatCode="#,##0.0">
                  <c:v>31.687882740391853</c:v>
                </c:pt>
                <c:pt idx="27" formatCode="#,##0.0">
                  <c:v>39.42794377459078</c:v>
                </c:pt>
                <c:pt idx="28" formatCode="#,##0.0">
                  <c:v>26.654139277179041</c:v>
                </c:pt>
                <c:pt idx="29" formatCode="#,##0.0">
                  <c:v>33.962286314633339</c:v>
                </c:pt>
                <c:pt idx="30" formatCode="#,##0.0">
                  <c:v>29.055753151626647</c:v>
                </c:pt>
                <c:pt idx="31" formatCode="#,##0.0">
                  <c:v>21.695682326900378</c:v>
                </c:pt>
                <c:pt idx="32" formatCode="#,##0.0">
                  <c:v>25.363978484732769</c:v>
                </c:pt>
                <c:pt idx="33" formatCode="#,##0.0">
                  <c:v>32.788896267388836</c:v>
                </c:pt>
                <c:pt idx="34" formatCode="#,##0.0">
                  <c:v>24.531641745688631</c:v>
                </c:pt>
                <c:pt idx="35" formatCode="#,##0.0">
                  <c:v>26.583362074368562</c:v>
                </c:pt>
                <c:pt idx="36" formatCode="#,##0.0">
                  <c:v>22.535329333432166</c:v>
                </c:pt>
                <c:pt idx="37" formatCode="#,##0.0">
                  <c:v>34.162594638699623</c:v>
                </c:pt>
              </c:numCache>
            </c:numRef>
          </c:val>
        </c:ser>
        <c:dLbls>
          <c:showLegendKey val="0"/>
          <c:showVal val="0"/>
          <c:showCatName val="0"/>
          <c:showSerName val="0"/>
          <c:showPercent val="0"/>
          <c:showBubbleSize val="0"/>
        </c:dLbls>
        <c:gapWidth val="60"/>
        <c:axId val="124276096"/>
        <c:axId val="124306560"/>
      </c:barChart>
      <c:catAx>
        <c:axId val="124276096"/>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24306560"/>
        <c:crosses val="autoZero"/>
        <c:auto val="0"/>
        <c:lblAlgn val="ctr"/>
        <c:lblOffset val="100"/>
        <c:tickLblSkip val="2"/>
        <c:tickMarkSkip val="1"/>
        <c:noMultiLvlLbl val="0"/>
      </c:catAx>
      <c:valAx>
        <c:axId val="124306560"/>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158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4276096"/>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Ford Arm Creek</a:t>
            </a:r>
          </a:p>
        </c:rich>
      </c:tx>
      <c:layout>
        <c:manualLayout>
          <c:xMode val="edge"/>
          <c:yMode val="edge"/>
          <c:x val="0.37574111259015258"/>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ERfigures!$D$5:$D$42</c:f>
              <c:numCache>
                <c:formatCode>General</c:formatCode>
                <c:ptCount val="38"/>
                <c:pt idx="2" formatCode="#,##0.0">
                  <c:v>41.104948805460751</c:v>
                </c:pt>
                <c:pt idx="3" formatCode="#,##0.0">
                  <c:v>54.048812025214154</c:v>
                </c:pt>
                <c:pt idx="5" formatCode="#,##0.0">
                  <c:v>51.643778610070747</c:v>
                </c:pt>
                <c:pt idx="6" formatCode="#,##0.0">
                  <c:v>60.590531966813074</c:v>
                </c:pt>
                <c:pt idx="7" formatCode="#,##0.0">
                  <c:v>45.097432725023204</c:v>
                </c:pt>
                <c:pt idx="8" formatCode="#,##0.0">
                  <c:v>46.839654025282769</c:v>
                </c:pt>
                <c:pt idx="9" formatCode="#,##0.0">
                  <c:v>61.672077922077918</c:v>
                </c:pt>
                <c:pt idx="10" formatCode="#,##0.0">
                  <c:v>56.5415244596132</c:v>
                </c:pt>
                <c:pt idx="11" formatCode="#,##0.0">
                  <c:v>53.223662346294454</c:v>
                </c:pt>
                <c:pt idx="12" formatCode="#,##0.0">
                  <c:v>56.165116030371088</c:v>
                </c:pt>
                <c:pt idx="13" formatCode="#,##0.0">
                  <c:v>61.690948172916173</c:v>
                </c:pt>
                <c:pt idx="14" formatCode="#,##0.0">
                  <c:v>59.684861147383991</c:v>
                </c:pt>
                <c:pt idx="15" formatCode="#,##0.0">
                  <c:v>52.777368498600261</c:v>
                </c:pt>
                <c:pt idx="16" formatCode="#,##0.0">
                  <c:v>52.575034106412012</c:v>
                </c:pt>
                <c:pt idx="17" formatCode="#,##0.0">
                  <c:v>48.12199365469246</c:v>
                </c:pt>
                <c:pt idx="18" formatCode="#,##0.0">
                  <c:v>48.592160754155294</c:v>
                </c:pt>
                <c:pt idx="19" formatCode="#,##0.0">
                  <c:v>57.802844531633156</c:v>
                </c:pt>
                <c:pt idx="20" formatCode="#,##0.0">
                  <c:v>57.199652130699462</c:v>
                </c:pt>
                <c:pt idx="21" formatCode="#,##0.0">
                  <c:v>67.489855072463769</c:v>
                </c:pt>
                <c:pt idx="22" formatCode="#,##0.0">
                  <c:v>38.040746130440532</c:v>
                </c:pt>
                <c:pt idx="23" formatCode="#,##0.0">
                  <c:v>31.4292199440115</c:v>
                </c:pt>
                <c:pt idx="24" formatCode="#,##0.0">
                  <c:v>63.797091870456043</c:v>
                </c:pt>
                <c:pt idx="25" formatCode="#,##0.0">
                  <c:v>50.716190852514075</c:v>
                </c:pt>
                <c:pt idx="26" formatCode="#,##0.0">
                  <c:v>39.39270429997962</c:v>
                </c:pt>
                <c:pt idx="27" formatCode="#,##0.0">
                  <c:v>65.462727902146327</c:v>
                </c:pt>
                <c:pt idx="28" formatCode="#,##0.0">
                  <c:v>41.256781193490056</c:v>
                </c:pt>
                <c:pt idx="29" formatCode="#,##0.0">
                  <c:v>64.60847600336794</c:v>
                </c:pt>
                <c:pt idx="30" formatCode="#,##0.0">
                  <c:v>48.196280528792293</c:v>
                </c:pt>
                <c:pt idx="31" formatCode="#,##0.0">
                  <c:v>24.109614319985237</c:v>
                </c:pt>
                <c:pt idx="32" formatCode="#,##0.0">
                  <c:v>46.674219129308945</c:v>
                </c:pt>
                <c:pt idx="33" formatCode="#,##0.0">
                  <c:v>47.775763491842142</c:v>
                </c:pt>
                <c:pt idx="34" formatCode="#,##0.0">
                  <c:v>46.13727877142054</c:v>
                </c:pt>
                <c:pt idx="35" formatCode="#,##0.0">
                  <c:v>44.88843517573283</c:v>
                </c:pt>
              </c:numCache>
            </c:numRef>
          </c:val>
        </c:ser>
        <c:dLbls>
          <c:showLegendKey val="0"/>
          <c:showVal val="0"/>
          <c:showCatName val="0"/>
          <c:showSerName val="0"/>
          <c:showPercent val="0"/>
          <c:showBubbleSize val="0"/>
        </c:dLbls>
        <c:gapWidth val="60"/>
        <c:axId val="124335232"/>
        <c:axId val="124336768"/>
      </c:barChart>
      <c:catAx>
        <c:axId val="124335232"/>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24336768"/>
        <c:crosses val="autoZero"/>
        <c:auto val="0"/>
        <c:lblAlgn val="ctr"/>
        <c:lblOffset val="100"/>
        <c:tickLblSkip val="2"/>
        <c:tickMarkSkip val="1"/>
        <c:noMultiLvlLbl val="0"/>
      </c:catAx>
      <c:valAx>
        <c:axId val="124336768"/>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4335232"/>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a:t>Berners River</a:t>
            </a:r>
          </a:p>
        </c:rich>
      </c:tx>
      <c:layout>
        <c:manualLayout>
          <c:xMode val="edge"/>
          <c:yMode val="edge"/>
          <c:x val="0.40248418804382974"/>
          <c:y val="1.9011430022860046E-2"/>
        </c:manualLayout>
      </c:layout>
      <c:overlay val="0"/>
      <c:spPr>
        <a:noFill/>
        <a:ln w="25400">
          <a:noFill/>
        </a:ln>
      </c:spPr>
    </c:title>
    <c:autoTitleDeleted val="0"/>
    <c:plotArea>
      <c:layout>
        <c:manualLayout>
          <c:layoutTarget val="inner"/>
          <c:xMode val="edge"/>
          <c:yMode val="edge"/>
          <c:x val="0.14289195225954923"/>
          <c:y val="0.1115746338159343"/>
          <c:w val="0.79392159074671542"/>
          <c:h val="0.74132215731098128"/>
        </c:manualLayout>
      </c:layout>
      <c:barChart>
        <c:barDir val="col"/>
        <c:grouping val="clustered"/>
        <c:varyColors val="0"/>
        <c:ser>
          <c:idx val="0"/>
          <c:order val="0"/>
          <c:spPr>
            <a:solidFill>
              <a:srgbClr val="000000"/>
            </a:solidFill>
            <a:ln w="12700">
              <a:solidFill>
                <a:srgbClr val="000000"/>
              </a:solidFill>
              <a:prstDash val="solid"/>
            </a:ln>
          </c:spPr>
          <c:invertIfNegative val="0"/>
          <c:cat>
            <c:numRef>
              <c:f>ERfigures!$A$5:$A$42</c:f>
              <c:numCache>
                <c:formatCode>0</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ERfigures!$C$5:$C$42</c:f>
              <c:numCache>
                <c:formatCode>General</c:formatCode>
                <c:ptCount val="38"/>
                <c:pt idx="9" formatCode="#,##0.0">
                  <c:v>49.068637854226758</c:v>
                </c:pt>
                <c:pt idx="10" formatCode="#,##0.0">
                  <c:v>40.973783817702433</c:v>
                </c:pt>
                <c:pt idx="11" formatCode="#,##0.0">
                  <c:v>17.07429077080727</c:v>
                </c:pt>
                <c:pt idx="12" formatCode="#,##0.0">
                  <c:v>30.83014132430884</c:v>
                </c:pt>
                <c:pt idx="13" formatCode="#,##0.0">
                  <c:v>36.167668731729286</c:v>
                </c:pt>
                <c:pt idx="14" formatCode="#,##0.0">
                  <c:v>35.409158913681516</c:v>
                </c:pt>
                <c:pt idx="15" formatCode="#,##0.0">
                  <c:v>29.211032861822105</c:v>
                </c:pt>
                <c:pt idx="16" formatCode="#,##0.0">
                  <c:v>41.925920335792469</c:v>
                </c:pt>
                <c:pt idx="17" formatCode="#,##0.0">
                  <c:v>13.851454339678471</c:v>
                </c:pt>
                <c:pt idx="18" formatCode="#,##0.0">
                  <c:v>42.071148423843844</c:v>
                </c:pt>
                <c:pt idx="19" formatCode="#,##0.0">
                  <c:v>36.23263424846683</c:v>
                </c:pt>
                <c:pt idx="20" formatCode="#,##0.0">
                  <c:v>20.016481395126611</c:v>
                </c:pt>
                <c:pt idx="21" formatCode="#,##0.0">
                  <c:v>23.948283666291143</c:v>
                </c:pt>
                <c:pt idx="22" formatCode="#,##0.0">
                  <c:v>15.309264939390863</c:v>
                </c:pt>
                <c:pt idx="23" formatCode="#,##0.0">
                  <c:v>21.625278830241506</c:v>
                </c:pt>
                <c:pt idx="24" formatCode="#,##0.0">
                  <c:v>29.437747878529823</c:v>
                </c:pt>
                <c:pt idx="25" formatCode="#,##0.0">
                  <c:v>33.093579074911332</c:v>
                </c:pt>
                <c:pt idx="26" formatCode="#,##0.0">
                  <c:v>23.811142470206079</c:v>
                </c:pt>
                <c:pt idx="27" formatCode="#,##0.0">
                  <c:v>30.391082561192199</c:v>
                </c:pt>
                <c:pt idx="28" formatCode="#,##0.0">
                  <c:v>24.202775938723001</c:v>
                </c:pt>
                <c:pt idx="29" formatCode="#,##0.0">
                  <c:v>27.150700170950149</c:v>
                </c:pt>
                <c:pt idx="30" formatCode="#,##0.0">
                  <c:v>27.299564639638174</c:v>
                </c:pt>
                <c:pt idx="31" formatCode="#,##0.0">
                  <c:v>27.591910209105169</c:v>
                </c:pt>
                <c:pt idx="32" formatCode="#,##0.0">
                  <c:v>21.01865544622515</c:v>
                </c:pt>
                <c:pt idx="33" formatCode="#,##0.0">
                  <c:v>33.302798656759755</c:v>
                </c:pt>
                <c:pt idx="34" formatCode="#,##0.0">
                  <c:v>14.156679631530601</c:v>
                </c:pt>
                <c:pt idx="35" formatCode="#,##0.0">
                  <c:v>19.63207181248961</c:v>
                </c:pt>
                <c:pt idx="36" formatCode="#,##0.0">
                  <c:v>7.9449282338973735</c:v>
                </c:pt>
                <c:pt idx="37" formatCode="#,##0.0">
                  <c:v>27.850712678169543</c:v>
                </c:pt>
              </c:numCache>
            </c:numRef>
          </c:val>
        </c:ser>
        <c:dLbls>
          <c:showLegendKey val="0"/>
          <c:showVal val="0"/>
          <c:showCatName val="0"/>
          <c:showSerName val="0"/>
          <c:showPercent val="0"/>
          <c:showBubbleSize val="0"/>
        </c:dLbls>
        <c:gapWidth val="60"/>
        <c:axId val="124360960"/>
        <c:axId val="124375040"/>
      </c:barChart>
      <c:catAx>
        <c:axId val="124360960"/>
        <c:scaling>
          <c:orientation val="minMax"/>
        </c:scaling>
        <c:delete val="0"/>
        <c:axPos val="b"/>
        <c:numFmt formatCode="0"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24375040"/>
        <c:crosses val="autoZero"/>
        <c:auto val="0"/>
        <c:lblAlgn val="ctr"/>
        <c:lblOffset val="100"/>
        <c:tickLblSkip val="2"/>
        <c:tickMarkSkip val="1"/>
        <c:noMultiLvlLbl val="0"/>
      </c:catAx>
      <c:valAx>
        <c:axId val="124375040"/>
        <c:scaling>
          <c:orientation val="minMax"/>
          <c:max val="100"/>
        </c:scaling>
        <c:delete val="0"/>
        <c:axPos val="l"/>
        <c:title>
          <c:tx>
            <c:rich>
              <a:bodyPr/>
              <a:lstStyle/>
              <a:p>
                <a:pPr>
                  <a:defRPr sz="900" b="0" i="0" u="none" strike="noStrike" baseline="0">
                    <a:solidFill>
                      <a:srgbClr val="000000"/>
                    </a:solidFill>
                    <a:latin typeface="Arial"/>
                    <a:ea typeface="Arial"/>
                    <a:cs typeface="Arial"/>
                  </a:defRPr>
                </a:pPr>
                <a:r>
                  <a:rPr lang="en-US" sz="900"/>
                  <a:t>Exploitation Rate (%)</a:t>
                </a:r>
              </a:p>
            </c:rich>
          </c:tx>
          <c:layout>
            <c:manualLayout>
              <c:xMode val="edge"/>
              <c:yMode val="edge"/>
              <c:x val="1.5576323987538939E-2"/>
              <c:y val="0.273764258555126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4360960"/>
        <c:crosses val="autoZero"/>
        <c:crossBetween val="between"/>
      </c:valAx>
      <c:spPr>
        <a:noFill/>
        <a:ln w="12700">
          <a:solidFill>
            <a:srgbClr val="000000"/>
          </a:solidFill>
          <a:prstDash val="solid"/>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966" r="0.75000000000000966"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aseline="0"/>
            </a:pPr>
            <a:r>
              <a:rPr lang="en-US" sz="1600" baseline="0"/>
              <a:t>Outer Coastal System (Presmolts)</a:t>
            </a:r>
          </a:p>
        </c:rich>
      </c:tx>
      <c:layout>
        <c:manualLayout>
          <c:xMode val="edge"/>
          <c:yMode val="edge"/>
          <c:x val="0.50048287998091145"/>
          <c:y val="5.4495161779664521E-2"/>
        </c:manualLayout>
      </c:layout>
      <c:overlay val="0"/>
    </c:title>
    <c:autoTitleDeleted val="0"/>
    <c:plotArea>
      <c:layout>
        <c:manualLayout>
          <c:layoutTarget val="inner"/>
          <c:xMode val="edge"/>
          <c:yMode val="edge"/>
          <c:x val="0.10589954664757814"/>
          <c:y val="6.2380461670657431E-2"/>
          <c:w val="0.86439736936292055"/>
          <c:h val="0.71016143404636722"/>
        </c:manualLayout>
      </c:layout>
      <c:lineChart>
        <c:grouping val="standard"/>
        <c:varyColors val="0"/>
        <c:ser>
          <c:idx val="1"/>
          <c:order val="0"/>
          <c:tx>
            <c:v>Ford Arm Creek</c:v>
          </c:tx>
          <c:spPr>
            <a:ln w="44450">
              <a:solidFill>
                <a:schemeClr val="tx1"/>
              </a:solidFill>
            </a:ln>
          </c:spPr>
          <c:marker>
            <c:symbol val="none"/>
          </c:marker>
          <c:cat>
            <c:numRef>
              <c:f>Survival!$N$7:$N$45</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Survival!$K$6:$K$44</c:f>
              <c:numCache>
                <c:formatCode>General_)</c:formatCode>
                <c:ptCount val="39"/>
                <c:pt idx="2" formatCode="0.0">
                  <c:v>5.9297273910349526</c:v>
                </c:pt>
                <c:pt idx="3" formatCode="0.0">
                  <c:v>9.7149160284844118</c:v>
                </c:pt>
                <c:pt idx="5" formatCode="0.0">
                  <c:v>12.480208337346241</c:v>
                </c:pt>
                <c:pt idx="6" formatCode="0.0">
                  <c:v>8.9576888712520777</c:v>
                </c:pt>
                <c:pt idx="7" formatCode="0.0">
                  <c:v>4.59744481669766</c:v>
                </c:pt>
                <c:pt idx="8" formatCode="0.0">
                  <c:v>6.7563595996085688</c:v>
                </c:pt>
                <c:pt idx="9" formatCode="0.0">
                  <c:v>11.924648474928366</c:v>
                </c:pt>
                <c:pt idx="10" formatCode="0.0">
                  <c:v>9.6151171545462581</c:v>
                </c:pt>
                <c:pt idx="11" formatCode="0.0">
                  <c:v>10.692286369685787</c:v>
                </c:pt>
                <c:pt idx="12" formatCode="0.0">
                  <c:v>15.148770291749312</c:v>
                </c:pt>
                <c:pt idx="13" formatCode="0.0">
                  <c:v>21.883076605714233</c:v>
                </c:pt>
                <c:pt idx="14" formatCode="0.0">
                  <c:v>13.85761737506234</c:v>
                </c:pt>
                <c:pt idx="15" formatCode="0.0">
                  <c:v>5.0408526039673518</c:v>
                </c:pt>
                <c:pt idx="16" formatCode="0.0">
                  <c:v>6.4013922326118893</c:v>
                </c:pt>
                <c:pt idx="17" formatCode="0.0">
                  <c:v>14.633458751047639</c:v>
                </c:pt>
                <c:pt idx="18" formatCode="0.0">
                  <c:v>20.025640811823926</c:v>
                </c:pt>
                <c:pt idx="19" formatCode="0.0">
                  <c:v>7.6853771592799127</c:v>
                </c:pt>
                <c:pt idx="20" formatCode="0.0">
                  <c:v>12.889865937256644</c:v>
                </c:pt>
                <c:pt idx="21" formatCode="0.0">
                  <c:v>8.4056228884092761</c:v>
                </c:pt>
                <c:pt idx="22" formatCode="0.0">
                  <c:v>14.689380783739431</c:v>
                </c:pt>
                <c:pt idx="23" formatCode="0.0">
                  <c:v>17.146848280568619</c:v>
                </c:pt>
                <c:pt idx="24" formatCode="0.0">
                  <c:v>11.915898405707013</c:v>
                </c:pt>
                <c:pt idx="25" formatCode="0.0">
                  <c:v>8.3916681141519334</c:v>
                </c:pt>
                <c:pt idx="26" formatCode="0.0">
                  <c:v>9.9665028962744291</c:v>
                </c:pt>
                <c:pt idx="27" formatCode="0.0">
                  <c:v>10.314531669520019</c:v>
                </c:pt>
                <c:pt idx="28" formatCode="0.0">
                  <c:v>15.294184096588287</c:v>
                </c:pt>
                <c:pt idx="29" formatCode="0.0">
                  <c:v>7.4090539264438728</c:v>
                </c:pt>
                <c:pt idx="30" formatCode="0.0">
                  <c:v>6.9356382714207561</c:v>
                </c:pt>
                <c:pt idx="31" formatCode="0.0">
                  <c:v>12.458082124422578</c:v>
                </c:pt>
                <c:pt idx="32" formatCode="0.0">
                  <c:v>7.1703657208618461</c:v>
                </c:pt>
                <c:pt idx="33" formatCode="0.0">
                  <c:v>7.232889423836629</c:v>
                </c:pt>
                <c:pt idx="34" formatCode="0.0">
                  <c:v>7.1627930456607665</c:v>
                </c:pt>
                <c:pt idx="35" formatCode="0.0">
                  <c:v>6.5623270185970917</c:v>
                </c:pt>
              </c:numCache>
            </c:numRef>
          </c:val>
          <c:smooth val="0"/>
        </c:ser>
        <c:dLbls>
          <c:showLegendKey val="0"/>
          <c:showVal val="0"/>
          <c:showCatName val="0"/>
          <c:showSerName val="0"/>
          <c:showPercent val="0"/>
          <c:showBubbleSize val="0"/>
        </c:dLbls>
        <c:marker val="1"/>
        <c:smooth val="0"/>
        <c:axId val="127841024"/>
        <c:axId val="127842944"/>
      </c:lineChart>
      <c:catAx>
        <c:axId val="127841024"/>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Return Year</a:t>
                </a:r>
              </a:p>
            </c:rich>
          </c:tx>
          <c:layout>
            <c:manualLayout>
              <c:xMode val="edge"/>
              <c:yMode val="edge"/>
              <c:x val="0.46040712240515391"/>
              <c:y val="0.91790021497738439"/>
            </c:manualLayout>
          </c:layout>
          <c:overlay val="0"/>
        </c:title>
        <c:numFmt formatCode="General" sourceLinked="1"/>
        <c:majorTickMark val="out"/>
        <c:minorTickMark val="none"/>
        <c:tickLblPos val="nextTo"/>
        <c:spPr>
          <a:ln w="15875">
            <a:solidFill>
              <a:sysClr val="windowText" lastClr="000000"/>
            </a:solidFill>
          </a:ln>
        </c:spPr>
        <c:txPr>
          <a:bodyPr rot="-5400000" vert="horz"/>
          <a:lstStyle/>
          <a:p>
            <a:pPr>
              <a:defRPr sz="1200" b="0" i="0" u="none" strike="noStrike" baseline="0">
                <a:solidFill>
                  <a:srgbClr val="000000"/>
                </a:solidFill>
                <a:latin typeface="Arial"/>
                <a:ea typeface="Arial"/>
                <a:cs typeface="Arial"/>
              </a:defRPr>
            </a:pPr>
            <a:endParaRPr lang="en-US"/>
          </a:p>
        </c:txPr>
        <c:crossAx val="127842944"/>
        <c:crosses val="autoZero"/>
        <c:auto val="1"/>
        <c:lblAlgn val="ctr"/>
        <c:lblOffset val="100"/>
        <c:noMultiLvlLbl val="0"/>
      </c:catAx>
      <c:valAx>
        <c:axId val="127842944"/>
        <c:scaling>
          <c:orientation val="minMax"/>
          <c:max val="25"/>
          <c:min val="0"/>
        </c:scaling>
        <c:delete val="0"/>
        <c:axPos val="l"/>
        <c:title>
          <c:tx>
            <c:rich>
              <a:bodyPr/>
              <a:lstStyle/>
              <a:p>
                <a:pPr>
                  <a:defRPr sz="1400" b="0" i="0" u="none" strike="noStrike" baseline="0">
                    <a:solidFill>
                      <a:srgbClr val="000000"/>
                    </a:solidFill>
                    <a:latin typeface="Arial"/>
                    <a:ea typeface="Arial"/>
                    <a:cs typeface="Arial"/>
                  </a:defRPr>
                </a:pPr>
                <a:r>
                  <a:rPr lang="en-US"/>
                  <a:t>Survival (%)</a:t>
                </a:r>
              </a:p>
            </c:rich>
          </c:tx>
          <c:layout>
            <c:manualLayout>
              <c:xMode val="edge"/>
              <c:yMode val="edge"/>
              <c:x val="1.191422094965402E-2"/>
              <c:y val="0.26288543763377303"/>
            </c:manualLayout>
          </c:layout>
          <c:overlay val="0"/>
        </c:title>
        <c:numFmt formatCode="0" sourceLinked="0"/>
        <c:majorTickMark val="out"/>
        <c:minorTickMark val="none"/>
        <c:tickLblPos val="nextTo"/>
        <c:spPr>
          <a:ln w="15875">
            <a:solidFill>
              <a:schemeClr val="tx1"/>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27841024"/>
        <c:crosses val="autoZero"/>
        <c:crossBetween val="between"/>
      </c:valAx>
    </c:plotArea>
    <c:legend>
      <c:legendPos val="r"/>
      <c:layout>
        <c:manualLayout>
          <c:xMode val="edge"/>
          <c:yMode val="edge"/>
          <c:x val="0.6716847112860892"/>
          <c:y val="0.66494474592438102"/>
          <c:w val="0.24537908613696016"/>
          <c:h val="7.8911421392982878E-2"/>
        </c:manualLayout>
      </c:layout>
      <c:overlay val="1"/>
      <c:txPr>
        <a:bodyPr/>
        <a:lstStyle/>
        <a:p>
          <a:pPr>
            <a:defRPr sz="1400"/>
          </a:pPr>
          <a:endParaRPr lang="en-US"/>
        </a:p>
      </c:txPr>
    </c:legend>
    <c:plotVisOnly val="1"/>
    <c:dispBlanksAs val="gap"/>
    <c:showDLblsOverMax val="0"/>
  </c:chart>
  <c:spPr>
    <a:ln w="3175">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167" l="0.70000000000000062" r="0.70000000000000062" t="0.75000000000000167" header="0.30000000000000032" footer="0.30000000000000032"/>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89073076391767"/>
          <c:y val="5.9935215487219605E-2"/>
          <c:w val="0.79660511734278827"/>
          <c:h val="0.72146046618133941"/>
        </c:manualLayout>
      </c:layout>
      <c:barChart>
        <c:barDir val="col"/>
        <c:grouping val="clustered"/>
        <c:varyColors val="0"/>
        <c:ser>
          <c:idx val="0"/>
          <c:order val="0"/>
          <c:tx>
            <c:v>Size @ time</c:v>
          </c:tx>
          <c:spPr>
            <a:solidFill>
              <a:schemeClr val="accent1">
                <a:lumMod val="40000"/>
                <a:lumOff val="60000"/>
              </a:schemeClr>
            </a:solidFill>
            <a:ln>
              <a:solidFill>
                <a:schemeClr val="tx1"/>
              </a:solidFill>
            </a:ln>
            <a:effectLst/>
          </c:spPr>
          <c:invertIfNegative val="0"/>
          <c:cat>
            <c:numRef>
              <c:f>Survival!$N$24:$N$43</c:f>
              <c:numCache>
                <c:formatCode>General</c:formatCode>
                <c:ptCount val="20"/>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numCache>
            </c:numRef>
          </c:cat>
          <c:val>
            <c:numRef>
              <c:f>Survival!$X$24:$X$43</c:f>
              <c:numCache>
                <c:formatCode>0.0</c:formatCode>
                <c:ptCount val="20"/>
                <c:pt idx="0">
                  <c:v>222.1</c:v>
                </c:pt>
                <c:pt idx="1">
                  <c:v>215.42</c:v>
                </c:pt>
                <c:pt idx="2">
                  <c:v>205.1</c:v>
                </c:pt>
                <c:pt idx="3">
                  <c:v>205.83</c:v>
                </c:pt>
                <c:pt idx="4">
                  <c:v>182.99</c:v>
                </c:pt>
                <c:pt idx="5">
                  <c:v>207.59</c:v>
                </c:pt>
                <c:pt idx="6">
                  <c:v>199.79</c:v>
                </c:pt>
                <c:pt idx="7">
                  <c:v>201.92756670556992</c:v>
                </c:pt>
                <c:pt idx="8">
                  <c:v>205.57855881719661</c:v>
                </c:pt>
                <c:pt idx="9">
                  <c:v>190.18258725406486</c:v>
                </c:pt>
                <c:pt idx="10">
                  <c:v>174.97368747990549</c:v>
                </c:pt>
                <c:pt idx="11">
                  <c:v>178.86748853139261</c:v>
                </c:pt>
                <c:pt idx="12">
                  <c:v>207.79171377545572</c:v>
                </c:pt>
                <c:pt idx="13">
                  <c:v>205.87295438386354</c:v>
                </c:pt>
                <c:pt idx="14">
                  <c:v>198.52979989765663</c:v>
                </c:pt>
                <c:pt idx="15">
                  <c:v>205.3090817157572</c:v>
                </c:pt>
                <c:pt idx="16">
                  <c:v>200.5341570011733</c:v>
                </c:pt>
                <c:pt idx="17">
                  <c:v>200.63919024815755</c:v>
                </c:pt>
                <c:pt idx="18">
                  <c:v>222.14</c:v>
                </c:pt>
                <c:pt idx="19">
                  <c:v>228.54828020165587</c:v>
                </c:pt>
              </c:numCache>
            </c:numRef>
          </c:val>
        </c:ser>
        <c:dLbls>
          <c:showLegendKey val="0"/>
          <c:showVal val="0"/>
          <c:showCatName val="0"/>
          <c:showSerName val="0"/>
          <c:showPercent val="0"/>
          <c:showBubbleSize val="0"/>
        </c:dLbls>
        <c:gapWidth val="144"/>
        <c:axId val="125053952"/>
        <c:axId val="125056128"/>
      </c:barChart>
      <c:lineChart>
        <c:grouping val="standard"/>
        <c:varyColors val="0"/>
        <c:ser>
          <c:idx val="1"/>
          <c:order val="1"/>
          <c:tx>
            <c:v>Average Length</c:v>
          </c:tx>
          <c:spPr>
            <a:ln w="19050">
              <a:solidFill>
                <a:schemeClr val="tx1"/>
              </a:solidFill>
              <a:prstDash val="sysDash"/>
            </a:ln>
          </c:spPr>
          <c:marker>
            <c:symbol val="none"/>
          </c:marker>
          <c:cat>
            <c:numRef>
              <c:f>[6]SUMMARY!$A$2:$A$20</c:f>
              <c:numCache>
                <c:formatCode>General</c:formatCode>
                <c:ptCount val="19"/>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Survival!$Y$24:$Y$43</c:f>
              <c:numCache>
                <c:formatCode>0.0</c:formatCode>
                <c:ptCount val="20"/>
                <c:pt idx="0">
                  <c:v>202.05309838151663</c:v>
                </c:pt>
                <c:pt idx="1">
                  <c:v>202.05309838151663</c:v>
                </c:pt>
                <c:pt idx="2">
                  <c:v>202.05309838151663</c:v>
                </c:pt>
                <c:pt idx="3">
                  <c:v>202.05309838151663</c:v>
                </c:pt>
                <c:pt idx="4">
                  <c:v>202.05309838151663</c:v>
                </c:pt>
                <c:pt idx="5">
                  <c:v>202.05309838151663</c:v>
                </c:pt>
                <c:pt idx="6">
                  <c:v>202.05309838151663</c:v>
                </c:pt>
                <c:pt idx="7">
                  <c:v>202.05309838151663</c:v>
                </c:pt>
                <c:pt idx="8">
                  <c:v>202.05309838151663</c:v>
                </c:pt>
                <c:pt idx="9">
                  <c:v>202.05309838151663</c:v>
                </c:pt>
                <c:pt idx="10">
                  <c:v>202.05309838151663</c:v>
                </c:pt>
                <c:pt idx="11">
                  <c:v>202.05309838151663</c:v>
                </c:pt>
                <c:pt idx="12">
                  <c:v>202.05309838151663</c:v>
                </c:pt>
                <c:pt idx="13">
                  <c:v>202.05309838151663</c:v>
                </c:pt>
                <c:pt idx="14">
                  <c:v>202.05309838151663</c:v>
                </c:pt>
                <c:pt idx="15">
                  <c:v>202.05309838151663</c:v>
                </c:pt>
                <c:pt idx="16">
                  <c:v>202.05309838151663</c:v>
                </c:pt>
                <c:pt idx="17">
                  <c:v>202.05309838151663</c:v>
                </c:pt>
                <c:pt idx="18">
                  <c:v>202.05309838151663</c:v>
                </c:pt>
                <c:pt idx="19">
                  <c:v>202.05309838151663</c:v>
                </c:pt>
              </c:numCache>
            </c:numRef>
          </c:val>
          <c:smooth val="0"/>
        </c:ser>
        <c:dLbls>
          <c:showLegendKey val="0"/>
          <c:showVal val="0"/>
          <c:showCatName val="0"/>
          <c:showSerName val="0"/>
          <c:showPercent val="0"/>
          <c:showBubbleSize val="0"/>
        </c:dLbls>
        <c:marker val="1"/>
        <c:smooth val="0"/>
        <c:axId val="125053952"/>
        <c:axId val="125056128"/>
      </c:lineChart>
      <c:lineChart>
        <c:grouping val="standard"/>
        <c:varyColors val="0"/>
        <c:ser>
          <c:idx val="2"/>
          <c:order val="2"/>
          <c:tx>
            <c:v>Marine Survival</c:v>
          </c:tx>
          <c:spPr>
            <a:ln w="38100">
              <a:solidFill>
                <a:schemeClr val="tx1"/>
              </a:solidFill>
            </a:ln>
          </c:spPr>
          <c:marker>
            <c:symbol val="none"/>
          </c:marker>
          <c:dPt>
            <c:idx val="19"/>
            <c:marker>
              <c:symbol val="circle"/>
              <c:size val="4"/>
              <c:spPr>
                <a:solidFill>
                  <a:schemeClr val="tx1"/>
                </a:solidFill>
                <a:ln w="15875">
                  <a:solidFill>
                    <a:schemeClr val="tx1"/>
                  </a:solidFill>
                </a:ln>
              </c:spPr>
            </c:marker>
            <c:bubble3D val="0"/>
            <c:spPr>
              <a:ln w="38100">
                <a:solidFill>
                  <a:schemeClr val="tx1"/>
                </a:solidFill>
                <a:prstDash val="sysDot"/>
              </a:ln>
            </c:spPr>
          </c:dPt>
          <c:val>
            <c:numRef>
              <c:f>Survival!$V$24:$V$43</c:f>
              <c:numCache>
                <c:formatCode>0.00</c:formatCode>
                <c:ptCount val="20"/>
                <c:pt idx="0">
                  <c:v>20.412164824593518</c:v>
                </c:pt>
                <c:pt idx="1">
                  <c:v>16.716193619085509</c:v>
                </c:pt>
                <c:pt idx="2">
                  <c:v>15.824663469564774</c:v>
                </c:pt>
                <c:pt idx="3">
                  <c:v>20.995677408191305</c:v>
                </c:pt>
                <c:pt idx="4">
                  <c:v>24.054060406104316</c:v>
                </c:pt>
                <c:pt idx="5">
                  <c:v>23.122251340219947</c:v>
                </c:pt>
                <c:pt idx="6">
                  <c:v>20.022743188760526</c:v>
                </c:pt>
                <c:pt idx="7">
                  <c:v>12.831567199945045</c:v>
                </c:pt>
                <c:pt idx="8">
                  <c:v>17.171451094206429</c:v>
                </c:pt>
                <c:pt idx="9">
                  <c:v>10.151071485131332</c:v>
                </c:pt>
                <c:pt idx="10">
                  <c:v>21.03781051228367</c:v>
                </c:pt>
                <c:pt idx="11">
                  <c:v>12.823571282756106</c:v>
                </c:pt>
                <c:pt idx="12">
                  <c:v>15.572990962547484</c:v>
                </c:pt>
                <c:pt idx="13">
                  <c:v>11.717597630518775</c:v>
                </c:pt>
                <c:pt idx="14">
                  <c:v>9.547001728258433</c:v>
                </c:pt>
                <c:pt idx="15">
                  <c:v>17.864915764144914</c:v>
                </c:pt>
                <c:pt idx="16">
                  <c:v>16.600103129917915</c:v>
                </c:pt>
                <c:pt idx="17">
                  <c:v>11.208864209568382</c:v>
                </c:pt>
                <c:pt idx="18">
                  <c:v>5.014104418391538</c:v>
                </c:pt>
                <c:pt idx="19" formatCode="General">
                  <c:v>5.2141048782584409</c:v>
                </c:pt>
              </c:numCache>
            </c:numRef>
          </c:val>
          <c:smooth val="0"/>
        </c:ser>
        <c:dLbls>
          <c:showLegendKey val="0"/>
          <c:showVal val="0"/>
          <c:showCatName val="0"/>
          <c:showSerName val="0"/>
          <c:showPercent val="0"/>
          <c:showBubbleSize val="0"/>
        </c:dLbls>
        <c:marker val="1"/>
        <c:smooth val="0"/>
        <c:axId val="125058048"/>
        <c:axId val="125068032"/>
      </c:lineChart>
      <c:catAx>
        <c:axId val="125053952"/>
        <c:scaling>
          <c:orientation val="minMax"/>
        </c:scaling>
        <c:delete val="0"/>
        <c:axPos val="b"/>
        <c:title>
          <c:tx>
            <c:rich>
              <a:bodyPr/>
              <a:lstStyle/>
              <a:p>
                <a:pPr>
                  <a:defRPr sz="1200"/>
                </a:pPr>
                <a:r>
                  <a:rPr lang="en-US" sz="1200"/>
                  <a:t>Sea-entry Year</a:t>
                </a:r>
              </a:p>
            </c:rich>
          </c:tx>
          <c:layout>
            <c:manualLayout>
              <c:xMode val="edge"/>
              <c:yMode val="edge"/>
              <c:x val="0.42216604503384447"/>
              <c:y val="0.87792627541527923"/>
            </c:manualLayout>
          </c:layout>
          <c:overlay val="0"/>
        </c:title>
        <c:numFmt formatCode="General" sourceLinked="1"/>
        <c:majorTickMark val="none"/>
        <c:minorTickMark val="none"/>
        <c:tickLblPos val="nextTo"/>
        <c:spPr>
          <a:ln w="15875">
            <a:solidFill>
              <a:schemeClr val="tx1"/>
            </a:solidFill>
          </a:ln>
        </c:spPr>
        <c:txPr>
          <a:bodyPr rot="-5400000" vert="horz"/>
          <a:lstStyle/>
          <a:p>
            <a:pPr>
              <a:defRPr sz="1000"/>
            </a:pPr>
            <a:endParaRPr lang="en-US"/>
          </a:p>
        </c:txPr>
        <c:crossAx val="125056128"/>
        <c:crosses val="autoZero"/>
        <c:auto val="1"/>
        <c:lblAlgn val="ctr"/>
        <c:lblOffset val="100"/>
        <c:noMultiLvlLbl val="0"/>
      </c:catAx>
      <c:valAx>
        <c:axId val="125056128"/>
        <c:scaling>
          <c:orientation val="minMax"/>
          <c:max val="230"/>
          <c:min val="160"/>
        </c:scaling>
        <c:delete val="0"/>
        <c:axPos val="l"/>
        <c:title>
          <c:tx>
            <c:rich>
              <a:bodyPr/>
              <a:lstStyle/>
              <a:p>
                <a:pPr>
                  <a:defRPr sz="1200"/>
                </a:pPr>
                <a:r>
                  <a:rPr lang="en-US" sz="1200"/>
                  <a:t>Average Length (mm)</a:t>
                </a:r>
              </a:p>
            </c:rich>
          </c:tx>
          <c:layout>
            <c:manualLayout>
              <c:xMode val="edge"/>
              <c:yMode val="edge"/>
              <c:x val="1.3854050166254326E-2"/>
              <c:y val="0.24742944212217671"/>
            </c:manualLayout>
          </c:layout>
          <c:overlay val="0"/>
        </c:title>
        <c:numFmt formatCode="0" sourceLinked="0"/>
        <c:majorTickMark val="out"/>
        <c:minorTickMark val="none"/>
        <c:tickLblPos val="nextTo"/>
        <c:spPr>
          <a:ln w="15875">
            <a:solidFill>
              <a:schemeClr val="tx1"/>
            </a:solidFill>
          </a:ln>
        </c:spPr>
        <c:txPr>
          <a:bodyPr rot="0" vert="horz"/>
          <a:lstStyle/>
          <a:p>
            <a:pPr>
              <a:defRPr sz="900"/>
            </a:pPr>
            <a:endParaRPr lang="en-US"/>
          </a:p>
        </c:txPr>
        <c:crossAx val="125053952"/>
        <c:crosses val="autoZero"/>
        <c:crossBetween val="between"/>
      </c:valAx>
      <c:catAx>
        <c:axId val="125058048"/>
        <c:scaling>
          <c:orientation val="minMax"/>
        </c:scaling>
        <c:delete val="1"/>
        <c:axPos val="b"/>
        <c:majorTickMark val="out"/>
        <c:minorTickMark val="none"/>
        <c:tickLblPos val="nextTo"/>
        <c:crossAx val="125068032"/>
        <c:crosses val="autoZero"/>
        <c:auto val="1"/>
        <c:lblAlgn val="ctr"/>
        <c:lblOffset val="100"/>
        <c:noMultiLvlLbl val="0"/>
      </c:catAx>
      <c:valAx>
        <c:axId val="125068032"/>
        <c:scaling>
          <c:orientation val="minMax"/>
          <c:max val="25"/>
          <c:min val="0"/>
        </c:scaling>
        <c:delete val="0"/>
        <c:axPos val="r"/>
        <c:title>
          <c:tx>
            <c:rich>
              <a:bodyPr rot="-5400000" vert="horz"/>
              <a:lstStyle/>
              <a:p>
                <a:pPr>
                  <a:defRPr sz="1200"/>
                </a:pPr>
                <a:r>
                  <a:rPr lang="en-US" sz="1200"/>
                  <a:t>Marine Survival (%)</a:t>
                </a:r>
              </a:p>
            </c:rich>
          </c:tx>
          <c:layout>
            <c:manualLayout>
              <c:xMode val="edge"/>
              <c:yMode val="edge"/>
              <c:x val="0.95599995481196132"/>
              <c:y val="0.26262868999110489"/>
            </c:manualLayout>
          </c:layout>
          <c:overlay val="0"/>
        </c:title>
        <c:numFmt formatCode="0" sourceLinked="0"/>
        <c:majorTickMark val="out"/>
        <c:minorTickMark val="none"/>
        <c:tickLblPos val="nextTo"/>
        <c:spPr>
          <a:ln w="15875">
            <a:solidFill>
              <a:schemeClr val="tx1"/>
            </a:solidFill>
          </a:ln>
        </c:spPr>
        <c:txPr>
          <a:bodyPr/>
          <a:lstStyle/>
          <a:p>
            <a:pPr>
              <a:defRPr sz="1000"/>
            </a:pPr>
            <a:endParaRPr lang="en-US"/>
          </a:p>
        </c:txPr>
        <c:crossAx val="125058048"/>
        <c:crosses val="max"/>
        <c:crossBetween val="between"/>
      </c:valAx>
      <c:spPr>
        <a:noFill/>
        <a:ln w="25400">
          <a:noFill/>
        </a:ln>
      </c:spPr>
    </c:plotArea>
    <c:legend>
      <c:legendPos val="b"/>
      <c:layout>
        <c:manualLayout>
          <c:xMode val="edge"/>
          <c:yMode val="edge"/>
          <c:x val="3.4393485901981553E-2"/>
          <c:y val="0.92557986432462858"/>
          <c:w val="0.93204490063742029"/>
          <c:h val="7.3052095760757219E-2"/>
        </c:manualLayout>
      </c:layout>
      <c:overlay val="0"/>
      <c:txPr>
        <a:bodyPr/>
        <a:lstStyle/>
        <a:p>
          <a:pPr>
            <a:defRPr sz="1200"/>
          </a:pPr>
          <a:endParaRPr lang="en-US"/>
        </a:p>
      </c:txPr>
    </c:legend>
    <c:plotVisOnly val="1"/>
    <c:dispBlanksAs val="gap"/>
    <c:showDLblsOverMax val="0"/>
  </c:chart>
  <c:spPr>
    <a:solidFill>
      <a:schemeClr val="bg1"/>
    </a:solidFill>
    <a:ln w="3175" cap="flat" cmpd="sng" algn="ctr">
      <a:solidFill>
        <a:schemeClr val="tx1"/>
      </a:solidFill>
      <a:round/>
    </a:ln>
    <a:effectLst/>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925693192879658E-2"/>
          <c:y val="6.2835457059674457E-2"/>
          <c:w val="0.83259694741339707"/>
          <c:h val="0.70413006168948289"/>
        </c:manualLayout>
      </c:layout>
      <c:barChart>
        <c:barDir val="col"/>
        <c:grouping val="clustered"/>
        <c:varyColors val="0"/>
        <c:ser>
          <c:idx val="0"/>
          <c:order val="0"/>
          <c:tx>
            <c:v>Size @ time</c:v>
          </c:tx>
          <c:spPr>
            <a:solidFill>
              <a:schemeClr val="accent1">
                <a:lumMod val="40000"/>
                <a:lumOff val="60000"/>
              </a:schemeClr>
            </a:solidFill>
            <a:ln>
              <a:solidFill>
                <a:schemeClr val="tx1"/>
              </a:solidFill>
            </a:ln>
            <a:effectLst/>
          </c:spPr>
          <c:invertIfNegative val="0"/>
          <c:cat>
            <c:numRef>
              <c:f>Survival!$N$24:$N$44</c:f>
              <c:numCache>
                <c:formatCode>General</c:formatCode>
                <c:ptCount val="2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numCache>
            </c:numRef>
          </c:cat>
          <c:val>
            <c:numRef>
              <c:f>Survival!$X$24:$X$44</c:f>
              <c:numCache>
                <c:formatCode>0.0</c:formatCode>
                <c:ptCount val="21"/>
                <c:pt idx="0">
                  <c:v>222.1</c:v>
                </c:pt>
                <c:pt idx="1">
                  <c:v>215.42</c:v>
                </c:pt>
                <c:pt idx="2">
                  <c:v>205.1</c:v>
                </c:pt>
                <c:pt idx="3">
                  <c:v>205.83</c:v>
                </c:pt>
                <c:pt idx="4">
                  <c:v>182.99</c:v>
                </c:pt>
                <c:pt idx="5">
                  <c:v>207.59</c:v>
                </c:pt>
                <c:pt idx="6">
                  <c:v>199.79</c:v>
                </c:pt>
                <c:pt idx="7">
                  <c:v>201.92756670556992</c:v>
                </c:pt>
                <c:pt idx="8">
                  <c:v>205.57855881719661</c:v>
                </c:pt>
                <c:pt idx="9">
                  <c:v>190.18258725406486</c:v>
                </c:pt>
                <c:pt idx="10">
                  <c:v>174.97368747990549</c:v>
                </c:pt>
                <c:pt idx="11">
                  <c:v>178.86748853139261</c:v>
                </c:pt>
                <c:pt idx="12">
                  <c:v>207.79171377545572</c:v>
                </c:pt>
                <c:pt idx="13">
                  <c:v>205.87295438386354</c:v>
                </c:pt>
                <c:pt idx="14">
                  <c:v>198.52979989765663</c:v>
                </c:pt>
                <c:pt idx="15">
                  <c:v>205.3090817157572</c:v>
                </c:pt>
                <c:pt idx="16">
                  <c:v>200.5341570011733</c:v>
                </c:pt>
                <c:pt idx="17">
                  <c:v>200.63919024815755</c:v>
                </c:pt>
                <c:pt idx="18">
                  <c:v>222.14</c:v>
                </c:pt>
                <c:pt idx="19">
                  <c:v>228.54828020165587</c:v>
                </c:pt>
                <c:pt idx="20">
                  <c:v>183.4</c:v>
                </c:pt>
              </c:numCache>
            </c:numRef>
          </c:val>
        </c:ser>
        <c:dLbls>
          <c:showLegendKey val="0"/>
          <c:showVal val="0"/>
          <c:showCatName val="0"/>
          <c:showSerName val="0"/>
          <c:showPercent val="0"/>
          <c:showBubbleSize val="0"/>
        </c:dLbls>
        <c:gapWidth val="60"/>
        <c:axId val="125095296"/>
        <c:axId val="125101568"/>
      </c:barChart>
      <c:lineChart>
        <c:grouping val="standard"/>
        <c:varyColors val="0"/>
        <c:ser>
          <c:idx val="1"/>
          <c:order val="1"/>
          <c:tx>
            <c:v>Average Length</c:v>
          </c:tx>
          <c:spPr>
            <a:ln w="19050">
              <a:solidFill>
                <a:schemeClr val="tx1"/>
              </a:solidFill>
              <a:prstDash val="sysDash"/>
            </a:ln>
          </c:spPr>
          <c:marker>
            <c:symbol val="none"/>
          </c:marker>
          <c:cat>
            <c:numRef>
              <c:f>[6]SUMMARY!$A$2:$A$20</c:f>
              <c:numCache>
                <c:formatCode>General</c:formatCode>
                <c:ptCount val="19"/>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Survival!$Y$24:$Y$44</c:f>
              <c:numCache>
                <c:formatCode>0.0</c:formatCode>
                <c:ptCount val="21"/>
                <c:pt idx="0">
                  <c:v>202.05309838151663</c:v>
                </c:pt>
                <c:pt idx="1">
                  <c:v>202.05309838151663</c:v>
                </c:pt>
                <c:pt idx="2">
                  <c:v>202.05309838151663</c:v>
                </c:pt>
                <c:pt idx="3">
                  <c:v>202.05309838151663</c:v>
                </c:pt>
                <c:pt idx="4">
                  <c:v>202.05309838151663</c:v>
                </c:pt>
                <c:pt idx="5">
                  <c:v>202.05309838151663</c:v>
                </c:pt>
                <c:pt idx="6">
                  <c:v>202.05309838151663</c:v>
                </c:pt>
                <c:pt idx="7">
                  <c:v>202.05309838151663</c:v>
                </c:pt>
                <c:pt idx="8">
                  <c:v>202.05309838151663</c:v>
                </c:pt>
                <c:pt idx="9">
                  <c:v>202.05309838151663</c:v>
                </c:pt>
                <c:pt idx="10">
                  <c:v>202.05309838151663</c:v>
                </c:pt>
                <c:pt idx="11">
                  <c:v>202.05309838151663</c:v>
                </c:pt>
                <c:pt idx="12">
                  <c:v>202.05309838151663</c:v>
                </c:pt>
                <c:pt idx="13">
                  <c:v>202.05309838151663</c:v>
                </c:pt>
                <c:pt idx="14">
                  <c:v>202.05309838151663</c:v>
                </c:pt>
                <c:pt idx="15">
                  <c:v>202.05309838151663</c:v>
                </c:pt>
                <c:pt idx="16">
                  <c:v>202.05309838151663</c:v>
                </c:pt>
                <c:pt idx="17">
                  <c:v>202.05309838151663</c:v>
                </c:pt>
                <c:pt idx="18">
                  <c:v>202.05309838151663</c:v>
                </c:pt>
                <c:pt idx="19">
                  <c:v>202.05309838151663</c:v>
                </c:pt>
                <c:pt idx="20">
                  <c:v>202.05309838151663</c:v>
                </c:pt>
              </c:numCache>
            </c:numRef>
          </c:val>
          <c:smooth val="0"/>
        </c:ser>
        <c:dLbls>
          <c:showLegendKey val="0"/>
          <c:showVal val="0"/>
          <c:showCatName val="0"/>
          <c:showSerName val="0"/>
          <c:showPercent val="0"/>
          <c:showBubbleSize val="0"/>
        </c:dLbls>
        <c:marker val="1"/>
        <c:smooth val="0"/>
        <c:axId val="125095296"/>
        <c:axId val="125101568"/>
      </c:lineChart>
      <c:lineChart>
        <c:grouping val="standard"/>
        <c:varyColors val="0"/>
        <c:ser>
          <c:idx val="2"/>
          <c:order val="2"/>
          <c:tx>
            <c:v>Marine Survival</c:v>
          </c:tx>
          <c:spPr>
            <a:ln w="38100">
              <a:solidFill>
                <a:schemeClr val="tx1"/>
              </a:solidFill>
            </a:ln>
          </c:spPr>
          <c:marker>
            <c:symbol val="none"/>
          </c:marker>
          <c:dPt>
            <c:idx val="19"/>
            <c:bubble3D val="0"/>
            <c:spPr>
              <a:ln w="38100">
                <a:solidFill>
                  <a:schemeClr val="tx1"/>
                </a:solidFill>
                <a:prstDash val="solid"/>
              </a:ln>
            </c:spPr>
          </c:dPt>
          <c:dPt>
            <c:idx val="20"/>
            <c:marker>
              <c:symbol val="circle"/>
              <c:size val="4"/>
              <c:spPr>
                <a:solidFill>
                  <a:schemeClr val="tx1"/>
                </a:solidFill>
                <a:ln>
                  <a:solidFill>
                    <a:schemeClr val="tx1"/>
                  </a:solidFill>
                </a:ln>
              </c:spPr>
            </c:marker>
            <c:bubble3D val="0"/>
            <c:spPr>
              <a:ln w="44450">
                <a:solidFill>
                  <a:schemeClr val="tx1"/>
                </a:solidFill>
                <a:prstDash val="sysDot"/>
              </a:ln>
            </c:spPr>
          </c:dPt>
          <c:errBars>
            <c:errDir val="y"/>
            <c:errBarType val="both"/>
            <c:errValType val="cust"/>
            <c:noEndCap val="0"/>
            <c:plus>
              <c:numRef>
                <c:f>Survival!$R$24:$R$44</c:f>
                <c:numCache>
                  <c:formatCode>General</c:formatCode>
                  <c:ptCount val="21"/>
                  <c:pt idx="20">
                    <c:v>3.444751565421027</c:v>
                  </c:pt>
                </c:numCache>
              </c:numRef>
            </c:plus>
            <c:minus>
              <c:numRef>
                <c:f>Survival!$Q$24:$Q$44</c:f>
                <c:numCache>
                  <c:formatCode>General</c:formatCode>
                  <c:ptCount val="21"/>
                  <c:pt idx="8">
                    <c:v>0</c:v>
                  </c:pt>
                  <c:pt idx="20">
                    <c:v>1.8866387384649881</c:v>
                  </c:pt>
                </c:numCache>
              </c:numRef>
            </c:minus>
            <c:spPr>
              <a:ln w="28575"/>
            </c:spPr>
          </c:errBars>
          <c:val>
            <c:numRef>
              <c:f>Survival!$P$24:$P$44</c:f>
              <c:numCache>
                <c:formatCode>0.0</c:formatCode>
                <c:ptCount val="21"/>
                <c:pt idx="0">
                  <c:v>23.120417170785039</c:v>
                </c:pt>
                <c:pt idx="1">
                  <c:v>19.33932517444871</c:v>
                </c:pt>
                <c:pt idx="2">
                  <c:v>18.517766497461928</c:v>
                </c:pt>
                <c:pt idx="3">
                  <c:v>28.297570627658363</c:v>
                </c:pt>
                <c:pt idx="4">
                  <c:v>26.75487603618517</c:v>
                </c:pt>
                <c:pt idx="5">
                  <c:v>25.000564615203018</c:v>
                </c:pt>
                <c:pt idx="6">
                  <c:v>20.242688222966915</c:v>
                </c:pt>
                <c:pt idx="7">
                  <c:v>15.981534403165531</c:v>
                </c:pt>
                <c:pt idx="8">
                  <c:v>20.5271751807791</c:v>
                </c:pt>
                <c:pt idx="9">
                  <c:v>11.871539313399779</c:v>
                </c:pt>
                <c:pt idx="10">
                  <c:v>24.105600789538613</c:v>
                </c:pt>
                <c:pt idx="11">
                  <c:v>15.543905635648755</c:v>
                </c:pt>
                <c:pt idx="12">
                  <c:v>16.434540389972145</c:v>
                </c:pt>
                <c:pt idx="13">
                  <c:v>13.117462415331241</c:v>
                </c:pt>
                <c:pt idx="14">
                  <c:v>10.321038207913109</c:v>
                </c:pt>
                <c:pt idx="15">
                  <c:v>20.776031434184674</c:v>
                </c:pt>
                <c:pt idx="16">
                  <c:v>20.10543826220534</c:v>
                </c:pt>
                <c:pt idx="17">
                  <c:v>11.960478419136765</c:v>
                </c:pt>
                <c:pt idx="18">
                  <c:v>4.0660000366615954</c:v>
                </c:pt>
                <c:pt idx="19">
                  <c:v>4.989270386266095</c:v>
                </c:pt>
                <c:pt idx="20">
                  <c:v>3.7171267885608037</c:v>
                </c:pt>
              </c:numCache>
            </c:numRef>
          </c:val>
          <c:smooth val="0"/>
        </c:ser>
        <c:dLbls>
          <c:showLegendKey val="0"/>
          <c:showVal val="0"/>
          <c:showCatName val="0"/>
          <c:showSerName val="0"/>
          <c:showPercent val="0"/>
          <c:showBubbleSize val="0"/>
        </c:dLbls>
        <c:marker val="1"/>
        <c:smooth val="0"/>
        <c:axId val="125103488"/>
        <c:axId val="127804544"/>
      </c:lineChart>
      <c:catAx>
        <c:axId val="125095296"/>
        <c:scaling>
          <c:orientation val="minMax"/>
        </c:scaling>
        <c:delete val="0"/>
        <c:axPos val="b"/>
        <c:title>
          <c:tx>
            <c:rich>
              <a:bodyPr/>
              <a:lstStyle/>
              <a:p>
                <a:pPr>
                  <a:defRPr sz="1400" baseline="0"/>
                </a:pPr>
                <a:r>
                  <a:rPr lang="en-US" sz="1400" baseline="0"/>
                  <a:t>Sea-entry Year</a:t>
                </a:r>
              </a:p>
            </c:rich>
          </c:tx>
          <c:layout>
            <c:manualLayout>
              <c:xMode val="edge"/>
              <c:yMode val="edge"/>
              <c:x val="0.42216598078239004"/>
              <c:y val="0.86348355190042236"/>
            </c:manualLayout>
          </c:layout>
          <c:overlay val="0"/>
        </c:title>
        <c:numFmt formatCode="General" sourceLinked="1"/>
        <c:majorTickMark val="none"/>
        <c:minorTickMark val="none"/>
        <c:tickLblPos val="nextTo"/>
        <c:spPr>
          <a:ln w="15875">
            <a:solidFill>
              <a:schemeClr val="tx1"/>
            </a:solidFill>
          </a:ln>
        </c:spPr>
        <c:txPr>
          <a:bodyPr rot="-5400000" vert="horz"/>
          <a:lstStyle/>
          <a:p>
            <a:pPr>
              <a:defRPr sz="1000"/>
            </a:pPr>
            <a:endParaRPr lang="en-US"/>
          </a:p>
        </c:txPr>
        <c:crossAx val="125101568"/>
        <c:crosses val="autoZero"/>
        <c:auto val="1"/>
        <c:lblAlgn val="ctr"/>
        <c:lblOffset val="100"/>
        <c:noMultiLvlLbl val="0"/>
      </c:catAx>
      <c:valAx>
        <c:axId val="125101568"/>
        <c:scaling>
          <c:orientation val="minMax"/>
          <c:max val="230"/>
          <c:min val="160"/>
        </c:scaling>
        <c:delete val="0"/>
        <c:axPos val="l"/>
        <c:title>
          <c:tx>
            <c:rich>
              <a:bodyPr/>
              <a:lstStyle/>
              <a:p>
                <a:pPr>
                  <a:defRPr sz="1400" baseline="0"/>
                </a:pPr>
                <a:r>
                  <a:rPr lang="en-US" sz="1400" baseline="0"/>
                  <a:t>Length (mm)</a:t>
                </a:r>
              </a:p>
            </c:rich>
          </c:tx>
          <c:layout>
            <c:manualLayout>
              <c:xMode val="edge"/>
              <c:yMode val="edge"/>
              <c:x val="9.7400432329875757E-3"/>
              <c:y val="0.29330497617278734"/>
            </c:manualLayout>
          </c:layout>
          <c:overlay val="0"/>
        </c:title>
        <c:numFmt formatCode="0" sourceLinked="0"/>
        <c:majorTickMark val="out"/>
        <c:minorTickMark val="none"/>
        <c:tickLblPos val="nextTo"/>
        <c:spPr>
          <a:ln w="15875">
            <a:solidFill>
              <a:schemeClr val="tx1"/>
            </a:solidFill>
          </a:ln>
        </c:spPr>
        <c:txPr>
          <a:bodyPr rot="0" vert="horz"/>
          <a:lstStyle/>
          <a:p>
            <a:pPr>
              <a:defRPr sz="1000"/>
            </a:pPr>
            <a:endParaRPr lang="en-US"/>
          </a:p>
        </c:txPr>
        <c:crossAx val="125095296"/>
        <c:crosses val="autoZero"/>
        <c:crossBetween val="between"/>
      </c:valAx>
      <c:catAx>
        <c:axId val="125103488"/>
        <c:scaling>
          <c:orientation val="minMax"/>
        </c:scaling>
        <c:delete val="1"/>
        <c:axPos val="b"/>
        <c:majorTickMark val="out"/>
        <c:minorTickMark val="none"/>
        <c:tickLblPos val="nextTo"/>
        <c:crossAx val="127804544"/>
        <c:crosses val="autoZero"/>
        <c:auto val="1"/>
        <c:lblAlgn val="ctr"/>
        <c:lblOffset val="100"/>
        <c:noMultiLvlLbl val="0"/>
      </c:catAx>
      <c:valAx>
        <c:axId val="127804544"/>
        <c:scaling>
          <c:orientation val="minMax"/>
          <c:max val="30"/>
          <c:min val="0"/>
        </c:scaling>
        <c:delete val="0"/>
        <c:axPos val="r"/>
        <c:title>
          <c:tx>
            <c:rich>
              <a:bodyPr rot="-5400000" vert="horz"/>
              <a:lstStyle/>
              <a:p>
                <a:pPr>
                  <a:defRPr sz="1400" baseline="0"/>
                </a:pPr>
                <a:r>
                  <a:rPr lang="en-US" sz="1400" baseline="0"/>
                  <a:t>Marine Survival (%)</a:t>
                </a:r>
              </a:p>
            </c:rich>
          </c:tx>
          <c:layout>
            <c:manualLayout>
              <c:xMode val="edge"/>
              <c:yMode val="edge"/>
              <c:x val="0.95709724778894678"/>
              <c:y val="0.22152053826169021"/>
            </c:manualLayout>
          </c:layout>
          <c:overlay val="0"/>
        </c:title>
        <c:numFmt formatCode="0" sourceLinked="0"/>
        <c:majorTickMark val="out"/>
        <c:minorTickMark val="none"/>
        <c:tickLblPos val="nextTo"/>
        <c:spPr>
          <a:ln w="15875">
            <a:solidFill>
              <a:schemeClr val="tx1"/>
            </a:solidFill>
          </a:ln>
        </c:spPr>
        <c:txPr>
          <a:bodyPr/>
          <a:lstStyle/>
          <a:p>
            <a:pPr>
              <a:defRPr sz="1000"/>
            </a:pPr>
            <a:endParaRPr lang="en-US"/>
          </a:p>
        </c:txPr>
        <c:crossAx val="125103488"/>
        <c:crosses val="max"/>
        <c:crossBetween val="between"/>
      </c:valAx>
      <c:spPr>
        <a:noFill/>
        <a:ln w="25400">
          <a:noFill/>
        </a:ln>
      </c:spPr>
    </c:plotArea>
    <c:legend>
      <c:legendPos val="b"/>
      <c:layout>
        <c:manualLayout>
          <c:xMode val="edge"/>
          <c:yMode val="edge"/>
          <c:x val="3.4393485901981553E-2"/>
          <c:y val="0.92557986432462858"/>
          <c:w val="0.93204490063742029"/>
          <c:h val="7.3052095760757219E-2"/>
        </c:manualLayout>
      </c:layout>
      <c:overlay val="0"/>
      <c:txPr>
        <a:bodyPr/>
        <a:lstStyle/>
        <a:p>
          <a:pPr>
            <a:defRPr sz="1400" baseline="0"/>
          </a:pPr>
          <a:endParaRPr lang="en-US"/>
        </a:p>
      </c:txPr>
    </c:legend>
    <c:plotVisOnly val="1"/>
    <c:dispBlanksAs val="gap"/>
    <c:showDLblsOverMax val="0"/>
  </c:chart>
  <c:spPr>
    <a:solidFill>
      <a:schemeClr val="bg1"/>
    </a:solidFill>
    <a:ln w="3175" cap="flat" cmpd="sng" algn="ctr">
      <a:solidFill>
        <a:schemeClr val="tx1"/>
      </a:solidFill>
      <a:round/>
    </a:ln>
    <a:effectLst/>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panose="020B0604020202020204" pitchFamily="34" charset="0"/>
                <a:ea typeface="Calibri"/>
                <a:cs typeface="Arial" panose="020B0604020202020204" pitchFamily="34" charset="0"/>
              </a:defRPr>
            </a:pPr>
            <a:r>
              <a:rPr lang="en-US" sz="1400" baseline="0">
                <a:latin typeface="Arial" panose="020B0604020202020204" pitchFamily="34" charset="0"/>
                <a:cs typeface="Arial" panose="020B0604020202020204" pitchFamily="34" charset="0"/>
              </a:rPr>
              <a:t>Jacks vs Adults</a:t>
            </a:r>
          </a:p>
        </c:rich>
      </c:tx>
      <c:layout>
        <c:manualLayout>
          <c:xMode val="edge"/>
          <c:yMode val="edge"/>
          <c:x val="0.37036099451142634"/>
          <c:y val="1.6920300827781141E-2"/>
        </c:manualLayout>
      </c:layout>
      <c:overlay val="0"/>
    </c:title>
    <c:autoTitleDeleted val="0"/>
    <c:plotArea>
      <c:layout>
        <c:manualLayout>
          <c:layoutTarget val="inner"/>
          <c:xMode val="edge"/>
          <c:yMode val="edge"/>
          <c:x val="0.15829883680647303"/>
          <c:y val="5.7922461184889203E-2"/>
          <c:w val="0.77273325394189329"/>
          <c:h val="0.81894886937209777"/>
        </c:manualLayout>
      </c:layout>
      <c:scatterChart>
        <c:scatterStyle val="lineMarker"/>
        <c:varyColors val="0"/>
        <c:ser>
          <c:idx val="0"/>
          <c:order val="0"/>
          <c:tx>
            <c:v>1979-1997</c:v>
          </c:tx>
          <c:spPr>
            <a:ln w="28575">
              <a:noFill/>
            </a:ln>
          </c:spPr>
          <c:marker>
            <c:symbol val="circle"/>
            <c:size val="7"/>
            <c:spPr>
              <a:solidFill>
                <a:schemeClr val="tx1"/>
              </a:solidFill>
              <a:ln>
                <a:solidFill>
                  <a:sysClr val="windowText" lastClr="000000"/>
                </a:solidFill>
              </a:ln>
            </c:spPr>
          </c:marker>
          <c:dPt>
            <c:idx val="26"/>
            <c:bubble3D val="0"/>
          </c:dPt>
          <c:dPt>
            <c:idx val="35"/>
            <c:bubble3D val="0"/>
          </c:dPt>
          <c:xVal>
            <c:numRef>
              <c:f>Survival!$S$7:$S$43</c:f>
              <c:numCache>
                <c:formatCode>0.0</c:formatCode>
                <c:ptCount val="37"/>
                <c:pt idx="0">
                  <c:v>2.7440731752846741</c:v>
                </c:pt>
                <c:pt idx="1">
                  <c:v>3.3156308310607145</c:v>
                </c:pt>
                <c:pt idx="2">
                  <c:v>4.9350270112425179</c:v>
                </c:pt>
                <c:pt idx="3">
                  <c:v>3.7820605709317485</c:v>
                </c:pt>
                <c:pt idx="4">
                  <c:v>4.6066101199181047</c:v>
                </c:pt>
                <c:pt idx="5">
                  <c:v>2.0847573479152426</c:v>
                </c:pt>
                <c:pt idx="6">
                  <c:v>4.5575930211856868</c:v>
                </c:pt>
                <c:pt idx="7">
                  <c:v>2.9369831765041345</c:v>
                </c:pt>
                <c:pt idx="8">
                  <c:v>5.6733897202342227</c:v>
                </c:pt>
                <c:pt idx="9">
                  <c:v>5.4913707031807162</c:v>
                </c:pt>
                <c:pt idx="10">
                  <c:v>3.2119914346895073</c:v>
                </c:pt>
                <c:pt idx="11">
                  <c:v>5.5711775043936731</c:v>
                </c:pt>
                <c:pt idx="12">
                  <c:v>4.1085506367495448</c:v>
                </c:pt>
                <c:pt idx="13">
                  <c:v>10.523881114837517</c:v>
                </c:pt>
                <c:pt idx="14">
                  <c:v>3.0553702468312207</c:v>
                </c:pt>
                <c:pt idx="15">
                  <c:v>5.7944307944307942</c:v>
                </c:pt>
                <c:pt idx="16">
                  <c:v>4.2704626334519578</c:v>
                </c:pt>
                <c:pt idx="17">
                  <c:v>6.2346588119783997</c:v>
                </c:pt>
                <c:pt idx="18">
                  <c:v>6.0512129380053912</c:v>
                </c:pt>
                <c:pt idx="19">
                  <c:v>2.8473151156124596</c:v>
                </c:pt>
                <c:pt idx="20">
                  <c:v>4.1457033608371905</c:v>
                </c:pt>
                <c:pt idx="21">
                  <c:v>2.3745819397993309</c:v>
                </c:pt>
                <c:pt idx="22">
                  <c:v>2.8761061946902653</c:v>
                </c:pt>
                <c:pt idx="23">
                  <c:v>6.6035182679296351</c:v>
                </c:pt>
                <c:pt idx="24">
                  <c:v>4.9681248626071666</c:v>
                </c:pt>
                <c:pt idx="25">
                  <c:v>5.9715418707721017</c:v>
                </c:pt>
                <c:pt idx="26">
                  <c:v>5.0055370985603549</c:v>
                </c:pt>
                <c:pt idx="27">
                  <c:v>2.6153466567974339</c:v>
                </c:pt>
                <c:pt idx="28">
                  <c:v>2.8833551769331587</c:v>
                </c:pt>
                <c:pt idx="29">
                  <c:v>3.2354831797728729</c:v>
                </c:pt>
                <c:pt idx="30">
                  <c:v>6.9221873451181235</c:v>
                </c:pt>
                <c:pt idx="31">
                  <c:v>3.6388270589373848</c:v>
                </c:pt>
                <c:pt idx="32">
                  <c:v>2.9627217971675077</c:v>
                </c:pt>
                <c:pt idx="33">
                  <c:v>2.2350980717464641</c:v>
                </c:pt>
                <c:pt idx="34">
                  <c:v>4.988779561539789</c:v>
                </c:pt>
                <c:pt idx="35">
                  <c:v>1.1374259894047989</c:v>
                </c:pt>
                <c:pt idx="36">
                  <c:v>2.5429184549356223</c:v>
                </c:pt>
              </c:numCache>
            </c:numRef>
          </c:xVal>
          <c:yVal>
            <c:numRef>
              <c:f>Survival!$P$7:$P$43</c:f>
              <c:numCache>
                <c:formatCode>0.0</c:formatCode>
                <c:ptCount val="37"/>
                <c:pt idx="0">
                  <c:v>9.1096535514581731</c:v>
                </c:pt>
                <c:pt idx="1">
                  <c:v>10.606807212792543</c:v>
                </c:pt>
                <c:pt idx="2">
                  <c:v>18.089417377825391</c:v>
                </c:pt>
                <c:pt idx="3">
                  <c:v>15.866221555976182</c:v>
                </c:pt>
                <c:pt idx="4">
                  <c:v>24.612523540600517</c:v>
                </c:pt>
                <c:pt idx="5">
                  <c:v>16.643368636371434</c:v>
                </c:pt>
                <c:pt idx="6">
                  <c:v>20.988338632942511</c:v>
                </c:pt>
                <c:pt idx="7">
                  <c:v>17.123668562470819</c:v>
                </c:pt>
                <c:pt idx="8">
                  <c:v>14.391111506989196</c:v>
                </c:pt>
                <c:pt idx="9">
                  <c:v>21.138611022357672</c:v>
                </c:pt>
                <c:pt idx="10">
                  <c:v>22.952499056451177</c:v>
                </c:pt>
                <c:pt idx="11">
                  <c:v>32.953940906252633</c:v>
                </c:pt>
                <c:pt idx="12">
                  <c:v>24.091164391156344</c:v>
                </c:pt>
                <c:pt idx="13">
                  <c:v>35.330517598883262</c:v>
                </c:pt>
                <c:pt idx="14">
                  <c:v>10.940622714295472</c:v>
                </c:pt>
                <c:pt idx="15">
                  <c:v>23.363972813135174</c:v>
                </c:pt>
                <c:pt idx="16">
                  <c:v>19.241649270166956</c:v>
                </c:pt>
                <c:pt idx="17">
                  <c:v>23.120417170785039</c:v>
                </c:pt>
                <c:pt idx="18">
                  <c:v>19.33932517444871</c:v>
                </c:pt>
                <c:pt idx="19">
                  <c:v>18.517766497461928</c:v>
                </c:pt>
                <c:pt idx="20">
                  <c:v>28.297570627658363</c:v>
                </c:pt>
                <c:pt idx="21">
                  <c:v>26.75487603618517</c:v>
                </c:pt>
                <c:pt idx="22">
                  <c:v>25.000564615203018</c:v>
                </c:pt>
                <c:pt idx="23">
                  <c:v>20.242688222966915</c:v>
                </c:pt>
                <c:pt idx="24">
                  <c:v>15.981534403165531</c:v>
                </c:pt>
                <c:pt idx="25">
                  <c:v>20.5271751807791</c:v>
                </c:pt>
                <c:pt idx="26">
                  <c:v>11.871539313399779</c:v>
                </c:pt>
                <c:pt idx="27">
                  <c:v>24.105600789538613</c:v>
                </c:pt>
                <c:pt idx="28">
                  <c:v>15.543905635648755</c:v>
                </c:pt>
                <c:pt idx="29">
                  <c:v>16.434540389972145</c:v>
                </c:pt>
                <c:pt idx="30">
                  <c:v>13.117462415331241</c:v>
                </c:pt>
                <c:pt idx="31">
                  <c:v>10.321038207913109</c:v>
                </c:pt>
                <c:pt idx="32">
                  <c:v>20.776031434184674</c:v>
                </c:pt>
                <c:pt idx="33">
                  <c:v>20.10543826220534</c:v>
                </c:pt>
                <c:pt idx="34">
                  <c:v>11.960478419136765</c:v>
                </c:pt>
                <c:pt idx="35">
                  <c:v>4.0660000366615954</c:v>
                </c:pt>
                <c:pt idx="36">
                  <c:v>4.989270386266095</c:v>
                </c:pt>
              </c:numCache>
            </c:numRef>
          </c:yVal>
          <c:smooth val="0"/>
        </c:ser>
        <c:ser>
          <c:idx val="1"/>
          <c:order val="1"/>
          <c:spPr>
            <a:ln w="19050">
              <a:solidFill>
                <a:schemeClr val="tx1"/>
              </a:solidFill>
              <a:prstDash val="sysDot"/>
            </a:ln>
          </c:spPr>
          <c:marker>
            <c:symbol val="circle"/>
            <c:size val="7"/>
            <c:spPr>
              <a:solidFill>
                <a:srgbClr val="FF0000"/>
              </a:solidFill>
            </c:spPr>
          </c:marker>
          <c:dPt>
            <c:idx val="0"/>
            <c:marker>
              <c:symbol val="none"/>
            </c:marker>
            <c:bubble3D val="0"/>
          </c:dPt>
          <c:dPt>
            <c:idx val="1"/>
            <c:marker>
              <c:symbol val="none"/>
            </c:marker>
            <c:bubble3D val="0"/>
          </c:dPt>
          <c:xVal>
            <c:numRef>
              <c:f>Survival!$X$53:$X$54</c:f>
              <c:numCache>
                <c:formatCode>0.0</c:formatCode>
                <c:ptCount val="2"/>
                <c:pt idx="0">
                  <c:v>0.45476304451890859</c:v>
                </c:pt>
                <c:pt idx="1">
                  <c:v>0.45476304451890859</c:v>
                </c:pt>
              </c:numCache>
            </c:numRef>
          </c:xVal>
          <c:yVal>
            <c:numRef>
              <c:f>Survival!$Y$53:$Y$54</c:f>
              <c:numCache>
                <c:formatCode>General_)</c:formatCode>
                <c:ptCount val="2"/>
                <c:pt idx="0">
                  <c:v>0</c:v>
                </c:pt>
                <c:pt idx="1">
                  <c:v>35</c:v>
                </c:pt>
              </c:numCache>
            </c:numRef>
          </c:yVal>
          <c:smooth val="0"/>
        </c:ser>
        <c:dLbls>
          <c:showLegendKey val="0"/>
          <c:showVal val="0"/>
          <c:showCatName val="0"/>
          <c:showSerName val="0"/>
          <c:showPercent val="0"/>
          <c:showBubbleSize val="0"/>
        </c:dLbls>
        <c:axId val="128162816"/>
        <c:axId val="128169472"/>
      </c:scatterChart>
      <c:valAx>
        <c:axId val="128162816"/>
        <c:scaling>
          <c:orientation val="minMax"/>
          <c:max val="11"/>
          <c:min val="0"/>
        </c:scaling>
        <c:delete val="0"/>
        <c:axPos val="b"/>
        <c:title>
          <c:tx>
            <c:rich>
              <a:bodyPr/>
              <a:lstStyle/>
              <a:p>
                <a:pPr>
                  <a:defRPr sz="1300" b="0" i="0" u="none" strike="noStrike" baseline="0">
                    <a:solidFill>
                      <a:srgbClr val="000000"/>
                    </a:solidFill>
                    <a:latin typeface="Arial"/>
                    <a:ea typeface="Arial"/>
                    <a:cs typeface="Arial"/>
                  </a:defRPr>
                </a:pPr>
                <a:r>
                  <a:rPr lang="en-US"/>
                  <a:t>Percent Returning as 0-Ocean Jacks</a:t>
                </a:r>
              </a:p>
            </c:rich>
          </c:tx>
          <c:layout>
            <c:manualLayout>
              <c:xMode val="edge"/>
              <c:yMode val="edge"/>
              <c:x val="0.20150383709430231"/>
              <c:y val="0.94142060367454061"/>
            </c:manualLayout>
          </c:layout>
          <c:overlay val="0"/>
        </c:title>
        <c:numFmt formatCode="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28169472"/>
        <c:crosses val="autoZero"/>
        <c:crossBetween val="midCat"/>
        <c:majorUnit val="2"/>
      </c:valAx>
      <c:valAx>
        <c:axId val="128169472"/>
        <c:scaling>
          <c:orientation val="minMax"/>
          <c:max val="40"/>
          <c:min val="0"/>
        </c:scaling>
        <c:delete val="0"/>
        <c:axPos val="l"/>
        <c:title>
          <c:tx>
            <c:rich>
              <a:bodyPr/>
              <a:lstStyle/>
              <a:p>
                <a:pPr>
                  <a:defRPr sz="1300" b="0" i="0" u="none" strike="noStrike" baseline="0">
                    <a:solidFill>
                      <a:srgbClr val="000000"/>
                    </a:solidFill>
                    <a:latin typeface="Arial"/>
                    <a:ea typeface="Arial"/>
                    <a:cs typeface="Arial"/>
                  </a:defRPr>
                </a:pPr>
                <a:r>
                  <a:rPr lang="en-US" sz="1300"/>
                  <a:t>Percent Returning as 1-Ocean Adults</a:t>
                </a:r>
              </a:p>
            </c:rich>
          </c:tx>
          <c:layout>
            <c:manualLayout>
              <c:xMode val="edge"/>
              <c:yMode val="edge"/>
              <c:x val="1.4673865858354031E-2"/>
              <c:y val="0.11280814657783161"/>
            </c:manualLayout>
          </c:layout>
          <c:overlay val="0"/>
        </c:title>
        <c:numFmt formatCode="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28162816"/>
        <c:crosses val="autoZero"/>
        <c:crossBetween val="midCat"/>
      </c:valAx>
    </c:plotArea>
    <c:plotVisOnly val="1"/>
    <c:dispBlanksAs val="gap"/>
    <c:showDLblsOverMax val="0"/>
  </c:chart>
  <c:spPr>
    <a:ln>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144" l="0.70000000000000062" r="0.70000000000000062" t="0.75000000000000144" header="0.30000000000000032" footer="0.30000000000000032"/>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mj-lt"/>
                <a:ea typeface="Arial"/>
                <a:cs typeface="Arial"/>
              </a:defRPr>
            </a:pPr>
            <a:r>
              <a:rPr lang="en-US">
                <a:latin typeface="+mj-lt"/>
              </a:rPr>
              <a:t>Average Jack Length vs Percent of Fish Returning as Jacks</a:t>
            </a:r>
          </a:p>
        </c:rich>
      </c:tx>
      <c:layout>
        <c:manualLayout>
          <c:xMode val="edge"/>
          <c:yMode val="edge"/>
          <c:x val="0.20070793304769055"/>
          <c:y val="3.4155719584896466E-2"/>
        </c:manualLayout>
      </c:layout>
      <c:overlay val="1"/>
    </c:title>
    <c:autoTitleDeleted val="0"/>
    <c:plotArea>
      <c:layout>
        <c:manualLayout>
          <c:layoutTarget val="inner"/>
          <c:xMode val="edge"/>
          <c:yMode val="edge"/>
          <c:x val="0.18280923390485007"/>
          <c:y val="0.10546733210864585"/>
          <c:w val="0.75879622100134214"/>
          <c:h val="0.72066560607087771"/>
        </c:manualLayout>
      </c:layout>
      <c:scatterChart>
        <c:scatterStyle val="lineMarker"/>
        <c:varyColors val="0"/>
        <c:ser>
          <c:idx val="0"/>
          <c:order val="0"/>
          <c:spPr>
            <a:ln w="28575">
              <a:noFill/>
            </a:ln>
          </c:spPr>
          <c:marker>
            <c:symbol val="circle"/>
            <c:size val="6"/>
            <c:spPr>
              <a:solidFill>
                <a:schemeClr val="tx1"/>
              </a:solidFill>
              <a:ln>
                <a:solidFill>
                  <a:prstClr val="black"/>
                </a:solidFill>
              </a:ln>
            </c:spPr>
          </c:marker>
          <c:dPt>
            <c:idx val="34"/>
            <c:bubble3D val="0"/>
          </c:dPt>
          <c:trendline>
            <c:spPr>
              <a:ln w="28575">
                <a:solidFill>
                  <a:schemeClr val="tx1"/>
                </a:solidFill>
              </a:ln>
            </c:spPr>
            <c:trendlineType val="linear"/>
            <c:dispRSqr val="1"/>
            <c:dispEq val="1"/>
            <c:trendlineLbl>
              <c:layout>
                <c:manualLayout>
                  <c:x val="0.22716897939010069"/>
                  <c:y val="0.31522475156034835"/>
                </c:manualLayout>
              </c:layout>
              <c:numFmt formatCode="#,##0.0000000" sourceLinked="0"/>
              <c:txPr>
                <a:bodyPr/>
                <a:lstStyle/>
                <a:p>
                  <a:pPr>
                    <a:defRPr sz="1100" b="0" i="0" u="none" strike="noStrike" baseline="0">
                      <a:solidFill>
                        <a:srgbClr val="000000"/>
                      </a:solidFill>
                      <a:latin typeface="Arial"/>
                      <a:ea typeface="Arial"/>
                      <a:cs typeface="Arial"/>
                    </a:defRPr>
                  </a:pPr>
                  <a:endParaRPr lang="en-US"/>
                </a:p>
              </c:txPr>
            </c:trendlineLbl>
          </c:trendline>
          <c:trendline>
            <c:trendlineType val="linear"/>
            <c:dispRSqr val="0"/>
            <c:dispEq val="0"/>
          </c:trendline>
          <c:xVal>
            <c:numRef>
              <c:f>[7]Dataset!$K$5:$K$41</c:f>
              <c:numCache>
                <c:formatCode>General</c:formatCode>
                <c:ptCount val="37"/>
                <c:pt idx="1">
                  <c:v>5.7901640237162244</c:v>
                </c:pt>
                <c:pt idx="3">
                  <c:v>5.7676958003998537</c:v>
                </c:pt>
                <c:pt idx="4">
                  <c:v>5.762519625873785</c:v>
                </c:pt>
                <c:pt idx="5">
                  <c:v>5.8135333386153203</c:v>
                </c:pt>
                <c:pt idx="7">
                  <c:v>5.7487041620477131</c:v>
                </c:pt>
                <c:pt idx="9">
                  <c:v>5.7802428899996459</c:v>
                </c:pt>
                <c:pt idx="10">
                  <c:v>5.8038939440253587</c:v>
                </c:pt>
                <c:pt idx="11">
                  <c:v>5.7093226550318166</c:v>
                </c:pt>
                <c:pt idx="12">
                  <c:v>5.7181235919268589</c:v>
                </c:pt>
                <c:pt idx="13">
                  <c:v>5.7842921062708186</c:v>
                </c:pt>
                <c:pt idx="14">
                  <c:v>5.8065508177463192</c:v>
                </c:pt>
                <c:pt idx="15">
                  <c:v>5.7259976483577644</c:v>
                </c:pt>
                <c:pt idx="16">
                  <c:v>5.7356589163835716</c:v>
                </c:pt>
                <c:pt idx="17">
                  <c:v>5.7129193499533519</c:v>
                </c:pt>
                <c:pt idx="18">
                  <c:v>5.7821314410671771</c:v>
                </c:pt>
                <c:pt idx="19">
                  <c:v>5.7613940749016823</c:v>
                </c:pt>
                <c:pt idx="20">
                  <c:v>5.7040925041114825</c:v>
                </c:pt>
                <c:pt idx="21">
                  <c:v>5.7404357923042362</c:v>
                </c:pt>
                <c:pt idx="22">
                  <c:v>5.7153031575908715</c:v>
                </c:pt>
                <c:pt idx="23">
                  <c:v>5.7000500275375154</c:v>
                </c:pt>
                <c:pt idx="24">
                  <c:v>5.846484649773882</c:v>
                </c:pt>
                <c:pt idx="25">
                  <c:v>5.7852984555040123</c:v>
                </c:pt>
                <c:pt idx="26">
                  <c:v>5.7794079563283649</c:v>
                </c:pt>
                <c:pt idx="27">
                  <c:v>5.7650029973198258</c:v>
                </c:pt>
                <c:pt idx="28">
                  <c:v>5.7406499938687272</c:v>
                </c:pt>
                <c:pt idx="29">
                  <c:v>5.7409053280902533</c:v>
                </c:pt>
                <c:pt idx="30">
                  <c:v>5.7138506674931229</c:v>
                </c:pt>
                <c:pt idx="31">
                  <c:v>5.7944300202889716</c:v>
                </c:pt>
                <c:pt idx="32">
                  <c:v>5.7582836766211472</c:v>
                </c:pt>
                <c:pt idx="33">
                  <c:v>5.7358436241528263</c:v>
                </c:pt>
                <c:pt idx="34">
                  <c:v>5.6845212392425237</c:v>
                </c:pt>
                <c:pt idx="35">
                  <c:v>5.7759874289750677</c:v>
                </c:pt>
                <c:pt idx="36">
                  <c:v>5.8051349689164882</c:v>
                </c:pt>
              </c:numCache>
            </c:numRef>
          </c:xVal>
          <c:yVal>
            <c:numRef>
              <c:f>[7]Dataset!$J$5:$J$41</c:f>
              <c:numCache>
                <c:formatCode>General</c:formatCode>
                <c:ptCount val="37"/>
                <c:pt idx="0">
                  <c:v>-2.2096086365359411</c:v>
                </c:pt>
                <c:pt idx="1">
                  <c:v>-1.4631924121139552</c:v>
                </c:pt>
                <c:pt idx="2">
                  <c:v>-1.434878360975635</c:v>
                </c:pt>
                <c:pt idx="3">
                  <c:v>-1.5402336914800197</c:v>
                </c:pt>
                <c:pt idx="4">
                  <c:v>-1.6477740611776477</c:v>
                </c:pt>
                <c:pt idx="5">
                  <c:v>-1.8473293203828658</c:v>
                </c:pt>
                <c:pt idx="6">
                  <c:v>-2.1954014227747041</c:v>
                </c:pt>
                <c:pt idx="7">
                  <c:v>-1.723742683714159</c:v>
                </c:pt>
                <c:pt idx="8">
                  <c:v>-1.9213388883248079</c:v>
                </c:pt>
                <c:pt idx="9">
                  <c:v>-1.2631933107742406</c:v>
                </c:pt>
                <c:pt idx="10">
                  <c:v>-1.5788448092539384</c:v>
                </c:pt>
                <c:pt idx="11">
                  <c:v>-2.0974600471825142</c:v>
                </c:pt>
                <c:pt idx="12">
                  <c:v>-1.9336678741906257</c:v>
                </c:pt>
                <c:pt idx="13">
                  <c:v>-1.9262129458275461</c:v>
                </c:pt>
                <c:pt idx="14">
                  <c:v>-1.4718165345580527</c:v>
                </c:pt>
                <c:pt idx="15">
                  <c:v>-1.5218706048420576</c:v>
                </c:pt>
                <c:pt idx="16">
                  <c:v>-1.6157781943286835</c:v>
                </c:pt>
                <c:pt idx="17">
                  <c:v>-1.7058297581091661</c:v>
                </c:pt>
                <c:pt idx="18">
                  <c:v>-1.5494036674920404</c:v>
                </c:pt>
                <c:pt idx="19">
                  <c:v>-1.4341295673940542</c:v>
                </c:pt>
                <c:pt idx="20">
                  <c:v>-2.0153503477695853</c:v>
                </c:pt>
                <c:pt idx="21">
                  <c:v>-2.0573547542769925</c:v>
                </c:pt>
                <c:pt idx="22">
                  <c:v>-2.5069620998111874</c:v>
                </c:pt>
                <c:pt idx="23">
                  <c:v>-2.2713325494899412</c:v>
                </c:pt>
                <c:pt idx="24">
                  <c:v>-1.4025548819916709</c:v>
                </c:pt>
                <c:pt idx="25">
                  <c:v>-1.4390799043819162</c:v>
                </c:pt>
                <c:pt idx="26">
                  <c:v>-1.4900911548015341</c:v>
                </c:pt>
                <c:pt idx="27">
                  <c:v>-1.2154115564143606</c:v>
                </c:pt>
                <c:pt idx="28">
                  <c:v>-2.3240511528889232</c:v>
                </c:pt>
                <c:pt idx="29">
                  <c:v>-1.8548765260182485</c:v>
                </c:pt>
                <c:pt idx="30">
                  <c:v>-1.804917553805566</c:v>
                </c:pt>
                <c:pt idx="31">
                  <c:v>-1.0629809890219122</c:v>
                </c:pt>
                <c:pt idx="32">
                  <c:v>-1.3517965201803883</c:v>
                </c:pt>
                <c:pt idx="33">
                  <c:v>-2.0739318858688662</c:v>
                </c:pt>
                <c:pt idx="34">
                  <c:v>-2.3025850929940455</c:v>
                </c:pt>
                <c:pt idx="35">
                  <c:v>-1.2201049544180782</c:v>
                </c:pt>
                <c:pt idx="36">
                  <c:v>-1.5559793339093331</c:v>
                </c:pt>
              </c:numCache>
            </c:numRef>
          </c:yVal>
          <c:smooth val="0"/>
        </c:ser>
        <c:ser>
          <c:idx val="1"/>
          <c:order val="1"/>
          <c:spPr>
            <a:ln w="19050">
              <a:solidFill>
                <a:prstClr val="black"/>
              </a:solidFill>
              <a:prstDash val="dash"/>
            </a:ln>
          </c:spPr>
          <c:marker>
            <c:symbol val="none"/>
          </c:marker>
          <c:xVal>
            <c:numRef>
              <c:f>'[8]Auke Creek'!$FC$44:$FC$45</c:f>
              <c:numCache>
                <c:formatCode>General</c:formatCode>
                <c:ptCount val="2"/>
              </c:numCache>
            </c:numRef>
          </c:xVal>
          <c:yVal>
            <c:numRef>
              <c:f>'[8]Auke Creek'!$FD$44:$FD$45</c:f>
              <c:numCache>
                <c:formatCode>General</c:formatCode>
                <c:ptCount val="2"/>
              </c:numCache>
            </c:numRef>
          </c:yVal>
          <c:smooth val="0"/>
        </c:ser>
        <c:ser>
          <c:idx val="2"/>
          <c:order val="2"/>
          <c:spPr>
            <a:ln w="19050">
              <a:solidFill>
                <a:prstClr val="black"/>
              </a:solidFill>
              <a:prstDash val="dash"/>
            </a:ln>
          </c:spPr>
          <c:marker>
            <c:symbol val="none"/>
          </c:marker>
          <c:xVal>
            <c:numRef>
              <c:f>'[8]Auke Creek'!$FC$46:$FC$47</c:f>
              <c:numCache>
                <c:formatCode>General</c:formatCode>
                <c:ptCount val="2"/>
              </c:numCache>
            </c:numRef>
          </c:xVal>
          <c:yVal>
            <c:numRef>
              <c:f>'[8]Auke Creek'!$FD$46:$FD$47</c:f>
              <c:numCache>
                <c:formatCode>General</c:formatCode>
                <c:ptCount val="2"/>
              </c:numCache>
            </c:numRef>
          </c:yVal>
          <c:smooth val="0"/>
        </c:ser>
        <c:ser>
          <c:idx val="4"/>
          <c:order val="3"/>
          <c:tx>
            <c:v>Regression CI Lower</c:v>
          </c:tx>
          <c:spPr>
            <a:ln w="28575">
              <a:solidFill>
                <a:schemeClr val="bg1">
                  <a:lumMod val="65000"/>
                </a:schemeClr>
              </a:solidFill>
              <a:prstDash val="sysDash"/>
            </a:ln>
          </c:spPr>
          <c:marker>
            <c:symbol val="none"/>
          </c:marker>
          <c:xVal>
            <c:numRef>
              <c:f>[7]Dataset!$M$5:$M$11</c:f>
              <c:numCache>
                <c:formatCode>General</c:formatCode>
                <c:ptCount val="7"/>
                <c:pt idx="0">
                  <c:v>5.65</c:v>
                </c:pt>
                <c:pt idx="1">
                  <c:v>5.7</c:v>
                </c:pt>
                <c:pt idx="2">
                  <c:v>5.75</c:v>
                </c:pt>
                <c:pt idx="3">
                  <c:v>5.8</c:v>
                </c:pt>
                <c:pt idx="4">
                  <c:v>5.85</c:v>
                </c:pt>
                <c:pt idx="5">
                  <c:v>5.9</c:v>
                </c:pt>
                <c:pt idx="6">
                  <c:v>5.95</c:v>
                </c:pt>
              </c:numCache>
            </c:numRef>
          </c:xVal>
          <c:yVal>
            <c:numRef>
              <c:f>[7]Dataset!$N$5:$N$11</c:f>
              <c:numCache>
                <c:formatCode>General</c:formatCode>
                <c:ptCount val="7"/>
                <c:pt idx="0">
                  <c:v>-2.7221419999999998</c:v>
                </c:pt>
                <c:pt idx="1">
                  <c:v>-2.2739120000000002</c:v>
                </c:pt>
                <c:pt idx="2">
                  <c:v>-1.8745069999999999</c:v>
                </c:pt>
                <c:pt idx="3">
                  <c:v>-1.6322559999999999</c:v>
                </c:pt>
                <c:pt idx="4">
                  <c:v>-1.469463</c:v>
                </c:pt>
                <c:pt idx="5">
                  <c:v>-1.32114</c:v>
                </c:pt>
                <c:pt idx="6">
                  <c:v>-1.1768810000000001</c:v>
                </c:pt>
              </c:numCache>
            </c:numRef>
          </c:yVal>
          <c:smooth val="0"/>
        </c:ser>
        <c:ser>
          <c:idx val="5"/>
          <c:order val="4"/>
          <c:tx>
            <c:v>Regression CI Upper</c:v>
          </c:tx>
          <c:spPr>
            <a:ln w="28575">
              <a:solidFill>
                <a:schemeClr val="bg1">
                  <a:lumMod val="65000"/>
                </a:schemeClr>
              </a:solidFill>
              <a:prstDash val="sysDash"/>
            </a:ln>
          </c:spPr>
          <c:marker>
            <c:symbol val="none"/>
          </c:marker>
          <c:xVal>
            <c:numRef>
              <c:f>[7]Dataset!$M$5:$M$11</c:f>
              <c:numCache>
                <c:formatCode>General</c:formatCode>
                <c:ptCount val="7"/>
                <c:pt idx="0">
                  <c:v>5.65</c:v>
                </c:pt>
                <c:pt idx="1">
                  <c:v>5.7</c:v>
                </c:pt>
                <c:pt idx="2">
                  <c:v>5.75</c:v>
                </c:pt>
                <c:pt idx="3">
                  <c:v>5.8</c:v>
                </c:pt>
                <c:pt idx="4">
                  <c:v>5.85</c:v>
                </c:pt>
                <c:pt idx="5">
                  <c:v>5.9</c:v>
                </c:pt>
                <c:pt idx="6">
                  <c:v>5.95</c:v>
                </c:pt>
              </c:numCache>
            </c:numRef>
          </c:xVal>
          <c:yVal>
            <c:numRef>
              <c:f>[7]Dataset!$O$5:$O$11</c:f>
              <c:numCache>
                <c:formatCode>General</c:formatCode>
                <c:ptCount val="7"/>
                <c:pt idx="0">
                  <c:v>-1.9844869999999999</c:v>
                </c:pt>
                <c:pt idx="1">
                  <c:v>-1.828292</c:v>
                </c:pt>
                <c:pt idx="2">
                  <c:v>-1.623273</c:v>
                </c:pt>
                <c:pt idx="3">
                  <c:v>-1.2611000000000001</c:v>
                </c:pt>
                <c:pt idx="4">
                  <c:v>-0.81946799999999997</c:v>
                </c:pt>
                <c:pt idx="5">
                  <c:v>-0.363367</c:v>
                </c:pt>
                <c:pt idx="6">
                  <c:v>9.6798999999999996E-2</c:v>
                </c:pt>
              </c:numCache>
            </c:numRef>
          </c:yVal>
          <c:smooth val="0"/>
        </c:ser>
        <c:ser>
          <c:idx val="6"/>
          <c:order val="5"/>
          <c:tx>
            <c:v>forecast</c:v>
          </c:tx>
          <c:spPr>
            <a:ln w="28575">
              <a:solidFill>
                <a:srgbClr val="FF0000"/>
              </a:solidFill>
            </a:ln>
          </c:spPr>
          <c:marker>
            <c:symbol val="circle"/>
            <c:size val="7"/>
            <c:spPr>
              <a:solidFill>
                <a:srgbClr val="FF0000"/>
              </a:solidFill>
              <a:ln>
                <a:solidFill>
                  <a:srgbClr val="FF0000"/>
                </a:solidFill>
              </a:ln>
            </c:spPr>
          </c:marker>
          <c:trendline>
            <c:trendlineType val="linear"/>
            <c:dispRSqr val="0"/>
            <c:dispEq val="0"/>
          </c:trendline>
          <c:trendline>
            <c:trendlineType val="linear"/>
            <c:dispRSqr val="0"/>
            <c:dispEq val="0"/>
          </c:trendline>
          <c:xVal>
            <c:numRef>
              <c:f>[7]Dataset!$K$42</c:f>
              <c:numCache>
                <c:formatCode>General</c:formatCode>
                <c:ptCount val="1"/>
                <c:pt idx="0">
                  <c:v>5.8562173976999565</c:v>
                </c:pt>
              </c:numCache>
            </c:numRef>
          </c:xVal>
          <c:yVal>
            <c:numRef>
              <c:f>[7]Dataset!$J$42</c:f>
              <c:numCache>
                <c:formatCode>General</c:formatCode>
                <c:ptCount val="1"/>
                <c:pt idx="0">
                  <c:v>-1.1068860383144496</c:v>
                </c:pt>
              </c:numCache>
            </c:numRef>
          </c:yVal>
          <c:smooth val="0"/>
        </c:ser>
        <c:dLbls>
          <c:showLegendKey val="0"/>
          <c:showVal val="0"/>
          <c:showCatName val="0"/>
          <c:showSerName val="0"/>
          <c:showPercent val="0"/>
          <c:showBubbleSize val="0"/>
        </c:dLbls>
        <c:axId val="132430464"/>
        <c:axId val="132514560"/>
      </c:scatterChart>
      <c:valAx>
        <c:axId val="132430464"/>
        <c:scaling>
          <c:orientation val="minMax"/>
          <c:max val="5.9"/>
          <c:min val="5.6499999999999995"/>
        </c:scaling>
        <c:delete val="0"/>
        <c:axPos val="b"/>
        <c:title>
          <c:tx>
            <c:rich>
              <a:bodyPr/>
              <a:lstStyle/>
              <a:p>
                <a:pPr>
                  <a:defRPr sz="1300" b="0" i="0" u="none" strike="noStrike" baseline="0">
                    <a:solidFill>
                      <a:srgbClr val="000000"/>
                    </a:solidFill>
                    <a:latin typeface="Arial"/>
                    <a:ea typeface="Arial"/>
                    <a:cs typeface="Arial"/>
                  </a:defRPr>
                </a:pPr>
                <a:r>
                  <a:rPr lang="en-US"/>
                  <a:t>Log (Jack Length)</a:t>
                </a:r>
              </a:p>
            </c:rich>
          </c:tx>
          <c:layout>
            <c:manualLayout>
              <c:xMode val="edge"/>
              <c:yMode val="edge"/>
              <c:x val="0.3763895302560864"/>
              <c:y val="0.92918867659025139"/>
            </c:manualLayout>
          </c:layout>
          <c:overlay val="0"/>
        </c:title>
        <c:numFmt formatCode="0.00" sourceLinked="0"/>
        <c:majorTickMark val="out"/>
        <c:minorTickMark val="none"/>
        <c:tickLblPos val="nextTo"/>
        <c:spPr>
          <a:ln w="15875">
            <a:solidFill>
              <a:schemeClr val="tx1"/>
            </a:solidFill>
          </a:ln>
        </c:spPr>
        <c:txPr>
          <a:bodyPr rot="0" vert="horz"/>
          <a:lstStyle/>
          <a:p>
            <a:pPr>
              <a:defRPr sz="1100" b="0" i="0" u="none" strike="noStrike" baseline="0">
                <a:solidFill>
                  <a:srgbClr val="000000"/>
                </a:solidFill>
                <a:latin typeface="Arial"/>
                <a:ea typeface="Arial"/>
                <a:cs typeface="Arial"/>
              </a:defRPr>
            </a:pPr>
            <a:endParaRPr lang="en-US"/>
          </a:p>
        </c:txPr>
        <c:crossAx val="132514560"/>
        <c:crossesAt val="-3"/>
        <c:crossBetween val="midCat"/>
        <c:majorUnit val="5.000000000000001E-2"/>
      </c:valAx>
      <c:valAx>
        <c:axId val="132514560"/>
        <c:scaling>
          <c:orientation val="minMax"/>
        </c:scaling>
        <c:delete val="0"/>
        <c:axPos val="l"/>
        <c:title>
          <c:tx>
            <c:rich>
              <a:bodyPr/>
              <a:lstStyle/>
              <a:p>
                <a:pPr>
                  <a:defRPr sz="1300" b="0" i="0" u="none" strike="noStrike" baseline="0">
                    <a:solidFill>
                      <a:srgbClr val="000000"/>
                    </a:solidFill>
                    <a:latin typeface="Arial"/>
                    <a:ea typeface="Arial"/>
                    <a:cs typeface="Arial"/>
                  </a:defRPr>
                </a:pPr>
                <a:r>
                  <a:rPr lang="en-US"/>
                  <a:t> Log (Proportion Jacks)</a:t>
                </a:r>
              </a:p>
            </c:rich>
          </c:tx>
          <c:layout>
            <c:manualLayout>
              <c:xMode val="edge"/>
              <c:yMode val="edge"/>
              <c:x val="1.0686558916977484E-2"/>
              <c:y val="0.30283036298784333"/>
            </c:manualLayout>
          </c:layout>
          <c:overlay val="0"/>
        </c:title>
        <c:numFmt formatCode="#,##0.0" sourceLinked="0"/>
        <c:majorTickMark val="out"/>
        <c:minorTickMark val="none"/>
        <c:tickLblPos val="nextTo"/>
        <c:spPr>
          <a:ln w="15875">
            <a:solidFill>
              <a:schemeClr val="tx1"/>
            </a:solidFill>
          </a:ln>
        </c:spPr>
        <c:txPr>
          <a:bodyPr rot="0" vert="horz"/>
          <a:lstStyle/>
          <a:p>
            <a:pPr>
              <a:defRPr sz="1100" b="0" i="0" u="none" strike="noStrike" baseline="0">
                <a:solidFill>
                  <a:srgbClr val="000000"/>
                </a:solidFill>
                <a:latin typeface="Arial"/>
                <a:ea typeface="Arial"/>
                <a:cs typeface="Arial"/>
              </a:defRPr>
            </a:pPr>
            <a:endParaRPr lang="en-US"/>
          </a:p>
        </c:txPr>
        <c:crossAx val="132430464"/>
        <c:crosses val="autoZero"/>
        <c:crossBetween val="midCat"/>
      </c:valAx>
    </c:plotArea>
    <c:plotVisOnly val="1"/>
    <c:dispBlanksAs val="gap"/>
    <c:showDLblsOverMax val="0"/>
  </c:chart>
  <c:spPr>
    <a:ln>
      <a:solidFill>
        <a:schemeClr val="tx1">
          <a:tint val="75000"/>
          <a:shade val="95000"/>
          <a:satMod val="105000"/>
        </a:schemeClr>
      </a:solid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233" l="0.70000000000000062" r="0.70000000000000062" t="0.75000000000000233"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a:ea typeface="Arial"/>
                <a:cs typeface="Arial"/>
              </a:defRPr>
            </a:pPr>
            <a:r>
              <a:rPr lang="en-US" sz="1400"/>
              <a:t>Average Jack Length vs Proportion</a:t>
            </a:r>
            <a:r>
              <a:rPr lang="en-US" sz="1400" baseline="0"/>
              <a:t> Jacks</a:t>
            </a:r>
            <a:endParaRPr lang="en-US" sz="1400"/>
          </a:p>
        </c:rich>
      </c:tx>
      <c:layout>
        <c:manualLayout>
          <c:xMode val="edge"/>
          <c:yMode val="edge"/>
          <c:x val="0.13756416509883168"/>
          <c:y val="1.6644293509112888E-2"/>
        </c:manualLayout>
      </c:layout>
      <c:overlay val="1"/>
    </c:title>
    <c:autoTitleDeleted val="0"/>
    <c:plotArea>
      <c:layout>
        <c:manualLayout>
          <c:layoutTarget val="inner"/>
          <c:xMode val="edge"/>
          <c:yMode val="edge"/>
          <c:x val="0.17723831717873118"/>
          <c:y val="0.10588020008949263"/>
          <c:w val="0.76436687553992844"/>
          <c:h val="0.76751766606097316"/>
        </c:manualLayout>
      </c:layout>
      <c:scatterChart>
        <c:scatterStyle val="lineMarker"/>
        <c:varyColors val="0"/>
        <c:ser>
          <c:idx val="0"/>
          <c:order val="0"/>
          <c:spPr>
            <a:ln w="28575">
              <a:noFill/>
            </a:ln>
          </c:spPr>
          <c:marker>
            <c:symbol val="circle"/>
            <c:size val="6"/>
            <c:spPr>
              <a:solidFill>
                <a:schemeClr val="tx1"/>
              </a:solidFill>
              <a:ln>
                <a:solidFill>
                  <a:prstClr val="black"/>
                </a:solidFill>
              </a:ln>
            </c:spPr>
          </c:marker>
          <c:dPt>
            <c:idx val="34"/>
            <c:bubble3D val="0"/>
          </c:dPt>
          <c:trendline>
            <c:spPr>
              <a:ln w="28575">
                <a:solidFill>
                  <a:schemeClr val="tx1"/>
                </a:solidFill>
              </a:ln>
            </c:spPr>
            <c:trendlineType val="linear"/>
            <c:dispRSqr val="1"/>
            <c:dispEq val="1"/>
            <c:trendlineLbl>
              <c:layout>
                <c:manualLayout>
                  <c:x val="2.9157380353530327E-2"/>
                  <c:y val="0.62201746416313342"/>
                </c:manualLayout>
              </c:layout>
              <c:numFmt formatCode="#,##0.000" sourceLinked="0"/>
              <c:txPr>
                <a:bodyPr/>
                <a:lstStyle/>
                <a:p>
                  <a:pPr>
                    <a:defRPr sz="1100" b="0" i="0" u="none" strike="noStrike" baseline="0">
                      <a:solidFill>
                        <a:srgbClr val="000000"/>
                      </a:solidFill>
                      <a:latin typeface="Arial"/>
                      <a:ea typeface="Arial"/>
                      <a:cs typeface="Arial"/>
                    </a:defRPr>
                  </a:pPr>
                  <a:endParaRPr lang="en-US"/>
                </a:p>
              </c:txPr>
            </c:trendlineLbl>
          </c:trendline>
          <c:xVal>
            <c:numRef>
              <c:f>Survival!$Z$7:$Z$43</c:f>
              <c:numCache>
                <c:formatCode>General_)</c:formatCode>
                <c:ptCount val="37"/>
                <c:pt idx="0">
                  <c:v>5.7901640237162244</c:v>
                </c:pt>
                <c:pt idx="2">
                  <c:v>5.7676958003998537</c:v>
                </c:pt>
                <c:pt idx="3">
                  <c:v>5.762519625873785</c:v>
                </c:pt>
                <c:pt idx="4">
                  <c:v>5.8135333386153203</c:v>
                </c:pt>
                <c:pt idx="6">
                  <c:v>5.7487041620477131</c:v>
                </c:pt>
                <c:pt idx="8">
                  <c:v>5.7802428899996459</c:v>
                </c:pt>
                <c:pt idx="9">
                  <c:v>5.8038939440253587</c:v>
                </c:pt>
                <c:pt idx="10">
                  <c:v>5.7093226550318166</c:v>
                </c:pt>
                <c:pt idx="11">
                  <c:v>5.7181235919268589</c:v>
                </c:pt>
                <c:pt idx="12">
                  <c:v>5.7842921062708186</c:v>
                </c:pt>
                <c:pt idx="13">
                  <c:v>5.8065508177463192</c:v>
                </c:pt>
                <c:pt idx="14">
                  <c:v>5.7259976483577644</c:v>
                </c:pt>
                <c:pt idx="15">
                  <c:v>5.7356589163835716</c:v>
                </c:pt>
                <c:pt idx="16">
                  <c:v>5.7129193499533519</c:v>
                </c:pt>
                <c:pt idx="17">
                  <c:v>5.7821314410671771</c:v>
                </c:pt>
                <c:pt idx="18">
                  <c:v>5.7613940749016823</c:v>
                </c:pt>
                <c:pt idx="19">
                  <c:v>5.7040925041114825</c:v>
                </c:pt>
                <c:pt idx="20">
                  <c:v>5.7404357923042362</c:v>
                </c:pt>
                <c:pt idx="21">
                  <c:v>5.7153031575908715</c:v>
                </c:pt>
                <c:pt idx="22">
                  <c:v>5.7000500275375154</c:v>
                </c:pt>
                <c:pt idx="23">
                  <c:v>5.846484649773882</c:v>
                </c:pt>
                <c:pt idx="24">
                  <c:v>5.7852984555040123</c:v>
                </c:pt>
                <c:pt idx="25">
                  <c:v>5.7794079563283649</c:v>
                </c:pt>
                <c:pt idx="26">
                  <c:v>5.7650029973198258</c:v>
                </c:pt>
                <c:pt idx="27">
                  <c:v>5.7406499938687272</c:v>
                </c:pt>
                <c:pt idx="28">
                  <c:v>5.7409053280902533</c:v>
                </c:pt>
                <c:pt idx="29">
                  <c:v>5.7138506674931229</c:v>
                </c:pt>
                <c:pt idx="30">
                  <c:v>5.7944300202889716</c:v>
                </c:pt>
                <c:pt idx="31">
                  <c:v>5.7582836766211472</c:v>
                </c:pt>
                <c:pt idx="32">
                  <c:v>5.7358436241528263</c:v>
                </c:pt>
                <c:pt idx="33">
                  <c:v>5.6845212392425237</c:v>
                </c:pt>
                <c:pt idx="34">
                  <c:v>5.7759874289750677</c:v>
                </c:pt>
                <c:pt idx="35">
                  <c:v>5.8051349689164882</c:v>
                </c:pt>
                <c:pt idx="36">
                  <c:v>5.8562173976999565</c:v>
                </c:pt>
              </c:numCache>
            </c:numRef>
          </c:xVal>
          <c:yVal>
            <c:numRef>
              <c:f>Survival!$AA$7:$AA$43</c:f>
              <c:numCache>
                <c:formatCode>General_)</c:formatCode>
                <c:ptCount val="37"/>
                <c:pt idx="0">
                  <c:v>-1.4631989329613786</c:v>
                </c:pt>
                <c:pt idx="2">
                  <c:v>-1.5401983048090619</c:v>
                </c:pt>
                <c:pt idx="3">
                  <c:v>-1.647720925236398</c:v>
                </c:pt>
                <c:pt idx="4">
                  <c:v>-1.847331502415652</c:v>
                </c:pt>
                <c:pt idx="6">
                  <c:v>-1.7236834352777373</c:v>
                </c:pt>
                <c:pt idx="8">
                  <c:v>-1.2631653721946752</c:v>
                </c:pt>
                <c:pt idx="9">
                  <c:v>-1.5788598165208125</c:v>
                </c:pt>
                <c:pt idx="10">
                  <c:v>-2.0975120372967022</c:v>
                </c:pt>
                <c:pt idx="11">
                  <c:v>-1.9337040220618156</c:v>
                </c:pt>
                <c:pt idx="12">
                  <c:v>-1.9262415493112972</c:v>
                </c:pt>
                <c:pt idx="13">
                  <c:v>-1.4718240646117786</c:v>
                </c:pt>
                <c:pt idx="14">
                  <c:v>-1.5218702925793259</c:v>
                </c:pt>
                <c:pt idx="15">
                  <c:v>-1.6158459112728634</c:v>
                </c:pt>
                <c:pt idx="16">
                  <c:v>-1.7057935220887233</c:v>
                </c:pt>
                <c:pt idx="17">
                  <c:v>-1.54934162170251</c:v>
                </c:pt>
                <c:pt idx="18">
                  <c:v>-1.4341178517968143</c:v>
                </c:pt>
                <c:pt idx="19">
                  <c:v>-2.0153814034699842</c:v>
                </c:pt>
                <c:pt idx="20">
                  <c:v>-2.0574206854089123</c:v>
                </c:pt>
                <c:pt idx="21">
                  <c:v>-2.5069285670812755</c:v>
                </c:pt>
                <c:pt idx="22">
                  <c:v>-2.2713528037349628</c:v>
                </c:pt>
                <c:pt idx="23">
                  <c:v>-1.402521947818931</c:v>
                </c:pt>
                <c:pt idx="24">
                  <c:v>-1.4390799043819162</c:v>
                </c:pt>
                <c:pt idx="25">
                  <c:v>-1.4900911548015343</c:v>
                </c:pt>
                <c:pt idx="26">
                  <c:v>-1.2154115564143602</c:v>
                </c:pt>
                <c:pt idx="27">
                  <c:v>-2.3240511528889236</c:v>
                </c:pt>
                <c:pt idx="28">
                  <c:v>-1.8548765260182485</c:v>
                </c:pt>
                <c:pt idx="29">
                  <c:v>-1.8049175538055664</c:v>
                </c:pt>
                <c:pt idx="30">
                  <c:v>-1.0629809890219124</c:v>
                </c:pt>
                <c:pt idx="31">
                  <c:v>-1.3445250527522796</c:v>
                </c:pt>
                <c:pt idx="32">
                  <c:v>-2.0810004982667616</c:v>
                </c:pt>
                <c:pt idx="33">
                  <c:v>-2.3021176940605539</c:v>
                </c:pt>
                <c:pt idx="34">
                  <c:v>-1.2230327529130853</c:v>
                </c:pt>
                <c:pt idx="35">
                  <c:v>-1.5205494543401712</c:v>
                </c:pt>
                <c:pt idx="36">
                  <c:v>-1.08587326289068</c:v>
                </c:pt>
              </c:numCache>
            </c:numRef>
          </c:yVal>
          <c:smooth val="0"/>
        </c:ser>
        <c:ser>
          <c:idx val="1"/>
          <c:order val="1"/>
          <c:spPr>
            <a:ln w="19050">
              <a:solidFill>
                <a:schemeClr val="tx1"/>
              </a:solidFill>
              <a:prstDash val="sysDot"/>
            </a:ln>
          </c:spPr>
          <c:marker>
            <c:symbol val="circle"/>
            <c:size val="5"/>
            <c:spPr>
              <a:solidFill>
                <a:schemeClr val="bg1"/>
              </a:solidFill>
              <a:ln>
                <a:solidFill>
                  <a:schemeClr val="tx1"/>
                </a:solidFill>
              </a:ln>
            </c:spPr>
          </c:marker>
          <c:dPt>
            <c:idx val="0"/>
            <c:bubble3D val="0"/>
          </c:dPt>
          <c:dPt>
            <c:idx val="1"/>
            <c:marker>
              <c:symbol val="none"/>
            </c:marker>
            <c:bubble3D val="0"/>
          </c:dPt>
          <c:dPt>
            <c:idx val="2"/>
            <c:bubble3D val="0"/>
          </c:dPt>
          <c:dPt>
            <c:idx val="3"/>
            <c:marker>
              <c:symbol val="none"/>
            </c:marker>
            <c:bubble3D val="0"/>
          </c:dPt>
          <c:xVal>
            <c:numRef>
              <c:f>Survival!$Z$48:$Z$51</c:f>
              <c:numCache>
                <c:formatCode>0.000</c:formatCode>
                <c:ptCount val="4"/>
                <c:pt idx="0">
                  <c:v>5.6733232671714928</c:v>
                </c:pt>
                <c:pt idx="1">
                  <c:v>5.6733232671714928</c:v>
                </c:pt>
                <c:pt idx="2">
                  <c:v>5.6733232671714928</c:v>
                </c:pt>
                <c:pt idx="3" formatCode="General_)">
                  <c:v>5.65</c:v>
                </c:pt>
              </c:numCache>
            </c:numRef>
          </c:xVal>
          <c:yVal>
            <c:numRef>
              <c:f>Survival!$AD$48:$AD$51</c:f>
              <c:numCache>
                <c:formatCode>General_)</c:formatCode>
                <c:ptCount val="4"/>
                <c:pt idx="0">
                  <c:v>-3</c:v>
                </c:pt>
                <c:pt idx="1">
                  <c:v>-2.4610452958047517</c:v>
                </c:pt>
                <c:pt idx="2">
                  <c:v>-2.2163479074909986</c:v>
                </c:pt>
                <c:pt idx="3">
                  <c:v>-2.2163479074909986</c:v>
                </c:pt>
              </c:numCache>
            </c:numRef>
          </c:yVal>
          <c:smooth val="0"/>
        </c:ser>
        <c:dLbls>
          <c:showLegendKey val="0"/>
          <c:showVal val="0"/>
          <c:showCatName val="0"/>
          <c:showSerName val="0"/>
          <c:showPercent val="0"/>
          <c:showBubbleSize val="0"/>
        </c:dLbls>
        <c:axId val="132540288"/>
        <c:axId val="132555136"/>
      </c:scatterChart>
      <c:valAx>
        <c:axId val="132540288"/>
        <c:scaling>
          <c:orientation val="minMax"/>
          <c:max val="5.8599999999999994"/>
          <c:min val="5.6499999999999995"/>
        </c:scaling>
        <c:delete val="0"/>
        <c:axPos val="b"/>
        <c:title>
          <c:tx>
            <c:rich>
              <a:bodyPr/>
              <a:lstStyle/>
              <a:p>
                <a:pPr>
                  <a:defRPr sz="1300" b="0" i="0" u="none" strike="noStrike" baseline="0">
                    <a:solidFill>
                      <a:srgbClr val="000000"/>
                    </a:solidFill>
                    <a:latin typeface="Arial"/>
                    <a:ea typeface="Arial"/>
                    <a:cs typeface="Arial"/>
                  </a:defRPr>
                </a:pPr>
                <a:r>
                  <a:rPr lang="en-US"/>
                  <a:t>Log (Jack Length)</a:t>
                </a:r>
              </a:p>
            </c:rich>
          </c:tx>
          <c:layout>
            <c:manualLayout>
              <c:xMode val="edge"/>
              <c:yMode val="edge"/>
              <c:x val="0.3694016387932777"/>
              <c:y val="0.94105516858469618"/>
            </c:manualLayout>
          </c:layout>
          <c:overlay val="0"/>
        </c:title>
        <c:numFmt formatCode="0.0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32555136"/>
        <c:crossesAt val="-3"/>
        <c:crossBetween val="midCat"/>
        <c:majorUnit val="5.000000000000001E-2"/>
      </c:valAx>
      <c:valAx>
        <c:axId val="132555136"/>
        <c:scaling>
          <c:orientation val="minMax"/>
          <c:max val="-1"/>
          <c:min val="-2.8"/>
        </c:scaling>
        <c:delete val="0"/>
        <c:axPos val="l"/>
        <c:title>
          <c:tx>
            <c:rich>
              <a:bodyPr/>
              <a:lstStyle/>
              <a:p>
                <a:pPr>
                  <a:defRPr sz="1300" b="0" i="0" u="none" strike="noStrike" baseline="0">
                    <a:solidFill>
                      <a:srgbClr val="000000"/>
                    </a:solidFill>
                    <a:latin typeface="Arial"/>
                    <a:ea typeface="Arial"/>
                    <a:cs typeface="Arial"/>
                  </a:defRPr>
                </a:pPr>
                <a:r>
                  <a:rPr lang="en-US" sz="1300"/>
                  <a:t> Log (Proportion Jacks)</a:t>
                </a:r>
              </a:p>
            </c:rich>
          </c:tx>
          <c:layout>
            <c:manualLayout>
              <c:xMode val="edge"/>
              <c:yMode val="edge"/>
              <c:x val="1.0686573956740171E-2"/>
              <c:y val="0.24974560872198667"/>
            </c:manualLayout>
          </c:layout>
          <c:overlay val="0"/>
        </c:title>
        <c:numFmt formatCode="#,##0.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32540288"/>
        <c:crosses val="autoZero"/>
        <c:crossBetween val="midCat"/>
      </c:valAx>
    </c:plotArea>
    <c:plotVisOnly val="1"/>
    <c:dispBlanksAs val="gap"/>
    <c:showDLblsOverMax val="0"/>
  </c:chart>
  <c:spPr>
    <a:ln>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233" l="0.70000000000000062" r="0.70000000000000062" t="0.75000000000000233" header="0.30000000000000032" footer="0.30000000000000032"/>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97947983774753"/>
          <c:y val="5.8156480439945007E-2"/>
          <c:w val="0.85100387693211865"/>
          <c:h val="0.77637530112667297"/>
        </c:manualLayout>
      </c:layout>
      <c:lineChart>
        <c:grouping val="standard"/>
        <c:varyColors val="0"/>
        <c:ser>
          <c:idx val="2"/>
          <c:order val="0"/>
          <c:tx>
            <c:v>Auke Creek</c:v>
          </c:tx>
          <c:spPr>
            <a:ln w="25400">
              <a:solidFill>
                <a:schemeClr val="tx1">
                  <a:lumMod val="75000"/>
                  <a:lumOff val="25000"/>
                </a:schemeClr>
              </a:solidFill>
              <a:prstDash val="solid"/>
            </a:ln>
          </c:spPr>
          <c:marker>
            <c:symbol val="diamond"/>
            <c:size val="8"/>
            <c:spPr>
              <a:solidFill>
                <a:schemeClr val="accent1">
                  <a:lumMod val="20000"/>
                  <a:lumOff val="80000"/>
                </a:schemeClr>
              </a:solidFill>
              <a:ln w="12700">
                <a:solidFill>
                  <a:schemeClr val="tx1"/>
                </a:solidFill>
              </a:ln>
            </c:spPr>
          </c:marker>
          <c:cat>
            <c:numRef>
              <c:f>Survival!$A$6:$A$43</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Survival!$B$6:$B$43</c:f>
              <c:numCache>
                <c:formatCode>0.0</c:formatCode>
                <c:ptCount val="38"/>
                <c:pt idx="0">
                  <c:v>9.8763206435065118</c:v>
                </c:pt>
                <c:pt idx="1">
                  <c:v>9.1096535514581731</c:v>
                </c:pt>
                <c:pt idx="2">
                  <c:v>10.606807212792543</c:v>
                </c:pt>
                <c:pt idx="3">
                  <c:v>18.089417377825391</c:v>
                </c:pt>
                <c:pt idx="4">
                  <c:v>15.866221555976182</c:v>
                </c:pt>
                <c:pt idx="5">
                  <c:v>24.612523540600517</c:v>
                </c:pt>
                <c:pt idx="6">
                  <c:v>16.643368636371434</c:v>
                </c:pt>
                <c:pt idx="7">
                  <c:v>20.988338632942511</c:v>
                </c:pt>
                <c:pt idx="8">
                  <c:v>17.123668562470819</c:v>
                </c:pt>
                <c:pt idx="9">
                  <c:v>14.391111506989196</c:v>
                </c:pt>
                <c:pt idx="10">
                  <c:v>21.138611022357672</c:v>
                </c:pt>
                <c:pt idx="11">
                  <c:v>22.952499056451177</c:v>
                </c:pt>
                <c:pt idx="12">
                  <c:v>32.953940906252633</c:v>
                </c:pt>
                <c:pt idx="13">
                  <c:v>24.091164391156344</c:v>
                </c:pt>
                <c:pt idx="14">
                  <c:v>35.330517598883262</c:v>
                </c:pt>
                <c:pt idx="15">
                  <c:v>10.940622714295472</c:v>
                </c:pt>
                <c:pt idx="16">
                  <c:v>23.363972813135174</c:v>
                </c:pt>
                <c:pt idx="17">
                  <c:v>19.241649270166956</c:v>
                </c:pt>
                <c:pt idx="18">
                  <c:v>23.120417170785039</c:v>
                </c:pt>
                <c:pt idx="19">
                  <c:v>19.33932517444871</c:v>
                </c:pt>
                <c:pt idx="20">
                  <c:v>18.517766497461928</c:v>
                </c:pt>
                <c:pt idx="21">
                  <c:v>28.297570627658363</c:v>
                </c:pt>
                <c:pt idx="22">
                  <c:v>26.75487603618517</c:v>
                </c:pt>
                <c:pt idx="23">
                  <c:v>25.000564615203018</c:v>
                </c:pt>
                <c:pt idx="24">
                  <c:v>20.242688222966915</c:v>
                </c:pt>
                <c:pt idx="25">
                  <c:v>15.981534403165531</c:v>
                </c:pt>
                <c:pt idx="26">
                  <c:v>20.5271751807791</c:v>
                </c:pt>
                <c:pt idx="27">
                  <c:v>11.871539313399779</c:v>
                </c:pt>
                <c:pt idx="28">
                  <c:v>24.105600789538613</c:v>
                </c:pt>
                <c:pt idx="29">
                  <c:v>15.543905635648755</c:v>
                </c:pt>
                <c:pt idx="30">
                  <c:v>16.434540389972145</c:v>
                </c:pt>
                <c:pt idx="31">
                  <c:v>13.117462415331241</c:v>
                </c:pt>
                <c:pt idx="32">
                  <c:v>10.321038207913109</c:v>
                </c:pt>
                <c:pt idx="33">
                  <c:v>20.776031434184674</c:v>
                </c:pt>
                <c:pt idx="34">
                  <c:v>20.10543826220534</c:v>
                </c:pt>
                <c:pt idx="35">
                  <c:v>11.960478419136765</c:v>
                </c:pt>
                <c:pt idx="36">
                  <c:v>4.0660000366615954</c:v>
                </c:pt>
                <c:pt idx="37">
                  <c:v>4.989270386266095</c:v>
                </c:pt>
              </c:numCache>
            </c:numRef>
          </c:val>
          <c:smooth val="0"/>
        </c:ser>
        <c:ser>
          <c:idx val="0"/>
          <c:order val="1"/>
          <c:tx>
            <c:v>Berners River</c:v>
          </c:tx>
          <c:spPr>
            <a:ln w="31750">
              <a:solidFill>
                <a:schemeClr val="tx1"/>
              </a:solidFill>
              <a:prstDash val="sysDash"/>
            </a:ln>
          </c:spPr>
          <c:marker>
            <c:symbol val="circle"/>
            <c:size val="7"/>
            <c:spPr>
              <a:solidFill>
                <a:schemeClr val="tx1"/>
              </a:solidFill>
              <a:ln>
                <a:solidFill>
                  <a:schemeClr val="tx1"/>
                </a:solidFill>
              </a:ln>
            </c:spPr>
          </c:marker>
          <c:cat>
            <c:numRef>
              <c:f>Survival!$A$6:$A$43</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Survival!$L$6:$L$43</c:f>
              <c:numCache>
                <c:formatCode>0.0</c:formatCode>
                <c:ptCount val="38"/>
                <c:pt idx="10">
                  <c:v>22.332909871898103</c:v>
                </c:pt>
                <c:pt idx="11">
                  <c:v>26.730474837426488</c:v>
                </c:pt>
                <c:pt idx="12">
                  <c:v>26.472483123256296</c:v>
                </c:pt>
                <c:pt idx="13">
                  <c:v>16.360275068725652</c:v>
                </c:pt>
                <c:pt idx="14">
                  <c:v>30.216463755784535</c:v>
                </c:pt>
                <c:pt idx="15">
                  <c:v>16.533108779678816</c:v>
                </c:pt>
                <c:pt idx="16">
                  <c:v>12.943426195394036</c:v>
                </c:pt>
                <c:pt idx="17">
                  <c:v>13.251798142786908</c:v>
                </c:pt>
                <c:pt idx="18">
                  <c:v>17.703912478402</c:v>
                </c:pt>
                <c:pt idx="19">
                  <c:v>14.093062063722309</c:v>
                </c:pt>
                <c:pt idx="20">
                  <c:v>13.13156044166762</c:v>
                </c:pt>
                <c:pt idx="21">
                  <c:v>13.693784188724248</c:v>
                </c:pt>
                <c:pt idx="22">
                  <c:v>21.353244776023462</c:v>
                </c:pt>
                <c:pt idx="23">
                  <c:v>21.243938065236875</c:v>
                </c:pt>
                <c:pt idx="24">
                  <c:v>19.802798154554136</c:v>
                </c:pt>
                <c:pt idx="25">
                  <c:v>9.6815999967245574</c:v>
                </c:pt>
                <c:pt idx="26">
                  <c:v>13.815727007633757</c:v>
                </c:pt>
                <c:pt idx="27">
                  <c:v>8.4306036568628837</c:v>
                </c:pt>
                <c:pt idx="28">
                  <c:v>17.970020235028723</c:v>
                </c:pt>
                <c:pt idx="29">
                  <c:v>10.103236929863458</c:v>
                </c:pt>
                <c:pt idx="30">
                  <c:v>14.711441535122823</c:v>
                </c:pt>
                <c:pt idx="31">
                  <c:v>10.317732845706308</c:v>
                </c:pt>
                <c:pt idx="32">
                  <c:v>8.7729652486037555</c:v>
                </c:pt>
                <c:pt idx="33">
                  <c:v>14.953800094105157</c:v>
                </c:pt>
                <c:pt idx="34">
                  <c:v>13.094767997630491</c:v>
                </c:pt>
                <c:pt idx="35">
                  <c:v>10.457245885330616</c:v>
                </c:pt>
                <c:pt idx="36">
                  <c:v>6.3676899999999996</c:v>
                </c:pt>
                <c:pt idx="37">
                  <c:v>5.038938450516981</c:v>
                </c:pt>
              </c:numCache>
            </c:numRef>
          </c:val>
          <c:smooth val="0"/>
        </c:ser>
        <c:ser>
          <c:idx val="1"/>
          <c:order val="2"/>
          <c:tx>
            <c:v>Hugh Smith Lake</c:v>
          </c:tx>
          <c:spPr>
            <a:ln w="44450">
              <a:solidFill>
                <a:schemeClr val="tx1"/>
              </a:solidFill>
            </a:ln>
          </c:spPr>
          <c:marker>
            <c:symbol val="none"/>
          </c:marker>
          <c:cat>
            <c:numRef>
              <c:f>Survival!$A$6:$A$43</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Survival!$M$6:$M$43</c:f>
              <c:numCache>
                <c:formatCode>General_)</c:formatCode>
                <c:ptCount val="38"/>
                <c:pt idx="3" formatCode="0.0">
                  <c:v>13.307131935265575</c:v>
                </c:pt>
                <c:pt idx="4" formatCode="0.0">
                  <c:v>7.5594375096476627</c:v>
                </c:pt>
                <c:pt idx="5" formatCode="0.0">
                  <c:v>7.558353939285599</c:v>
                </c:pt>
                <c:pt idx="6" formatCode="0.0">
                  <c:v>18.518762918581729</c:v>
                </c:pt>
                <c:pt idx="7" formatCode="0.0">
                  <c:v>10.255660138389814</c:v>
                </c:pt>
                <c:pt idx="8" formatCode="0.0">
                  <c:v>4.0666006606458867</c:v>
                </c:pt>
                <c:pt idx="9" formatCode="0.0">
                  <c:v>8.6157834704982914</c:v>
                </c:pt>
                <c:pt idx="10" formatCode="0.0">
                  <c:v>18.007512440889208</c:v>
                </c:pt>
                <c:pt idx="11" formatCode="0.0">
                  <c:v>17.421731668854964</c:v>
                </c:pt>
                <c:pt idx="12" formatCode="0.0">
                  <c:v>20.941606282787824</c:v>
                </c:pt>
                <c:pt idx="13" formatCode="0.0">
                  <c:v>12.988952658036201</c:v>
                </c:pt>
                <c:pt idx="14" formatCode="0.0">
                  <c:v>19.53949429196674</c:v>
                </c:pt>
                <c:pt idx="15" formatCode="0.0">
                  <c:v>13.547521768796816</c:v>
                </c:pt>
                <c:pt idx="16" formatCode="0.0">
                  <c:v>17.730362862048622</c:v>
                </c:pt>
                <c:pt idx="17" formatCode="0.0">
                  <c:v>8.3470737887492312</c:v>
                </c:pt>
                <c:pt idx="18" formatCode="0.0">
                  <c:v>11.676640891305189</c:v>
                </c:pt>
                <c:pt idx="19" formatCode="0.0">
                  <c:v>14.129480449439576</c:v>
                </c:pt>
                <c:pt idx="20" formatCode="0.0">
                  <c:v>6.7652949897233849</c:v>
                </c:pt>
                <c:pt idx="21" formatCode="0.0">
                  <c:v>13.372528989120239</c:v>
                </c:pt>
                <c:pt idx="22" formatCode="0.0">
                  <c:v>14.81609326544517</c:v>
                </c:pt>
                <c:pt idx="23" formatCode="0.0">
                  <c:v>13.696964601647243</c:v>
                </c:pt>
                <c:pt idx="24" formatCode="0.0">
                  <c:v>10.834275567289264</c:v>
                </c:pt>
                <c:pt idx="25" formatCode="0.0">
                  <c:v>9.1479206169161387</c:v>
                </c:pt>
                <c:pt idx="26" formatCode="0.0">
                  <c:v>6.8332431111672909</c:v>
                </c:pt>
                <c:pt idx="27" formatCode="0.0">
                  <c:v>8.8793197631972571</c:v>
                </c:pt>
                <c:pt idx="28" formatCode="0.0">
                  <c:v>13.11429861424652</c:v>
                </c:pt>
                <c:pt idx="29" formatCode="0.0">
                  <c:v>18.25793551612097</c:v>
                </c:pt>
                <c:pt idx="30" formatCode="0.0">
                  <c:v>20.985549916708635</c:v>
                </c:pt>
                <c:pt idx="31" formatCode="0.0">
                  <c:v>10.43134969000053</c:v>
                </c:pt>
                <c:pt idx="32" formatCode="0.0">
                  <c:v>12.816329043778094</c:v>
                </c:pt>
                <c:pt idx="33" formatCode="0.0">
                  <c:v>16.710625015123284</c:v>
                </c:pt>
                <c:pt idx="34" formatCode="0.0">
                  <c:v>16.315988787579691</c:v>
                </c:pt>
                <c:pt idx="35" formatCode="0.0">
                  <c:v>5.7205576938956426</c:v>
                </c:pt>
                <c:pt idx="36" formatCode="0.0">
                  <c:v>6.3557896078751162</c:v>
                </c:pt>
                <c:pt idx="37" formatCode="0.0">
                  <c:v>6.8889670023115777</c:v>
                </c:pt>
              </c:numCache>
            </c:numRef>
          </c:val>
          <c:smooth val="0"/>
        </c:ser>
        <c:dLbls>
          <c:showLegendKey val="0"/>
          <c:showVal val="0"/>
          <c:showCatName val="0"/>
          <c:showSerName val="0"/>
          <c:showPercent val="0"/>
          <c:showBubbleSize val="0"/>
        </c:dLbls>
        <c:marker val="1"/>
        <c:smooth val="0"/>
        <c:axId val="127889792"/>
        <c:axId val="127891712"/>
      </c:lineChart>
      <c:catAx>
        <c:axId val="127889792"/>
        <c:scaling>
          <c:orientation val="minMax"/>
        </c:scaling>
        <c:delete val="0"/>
        <c:axPos val="b"/>
        <c:title>
          <c:tx>
            <c:rich>
              <a:bodyPr/>
              <a:lstStyle/>
              <a:p>
                <a:pPr>
                  <a:defRPr sz="1400"/>
                </a:pPr>
                <a:r>
                  <a:rPr lang="en-US" sz="1400"/>
                  <a:t>Return Year</a:t>
                </a:r>
              </a:p>
            </c:rich>
          </c:tx>
          <c:layout>
            <c:manualLayout>
              <c:xMode val="edge"/>
              <c:yMode val="edge"/>
              <c:x val="0.46841462689115193"/>
              <c:y val="0.93342666228838589"/>
            </c:manualLayout>
          </c:layout>
          <c:overlay val="0"/>
        </c:title>
        <c:numFmt formatCode="General" sourceLinked="1"/>
        <c:majorTickMark val="out"/>
        <c:minorTickMark val="none"/>
        <c:tickLblPos val="nextTo"/>
        <c:spPr>
          <a:ln w="15875">
            <a:solidFill>
              <a:sysClr val="windowText" lastClr="000000"/>
            </a:solidFill>
          </a:ln>
        </c:spPr>
        <c:txPr>
          <a:bodyPr rot="-5400000" vert="horz"/>
          <a:lstStyle/>
          <a:p>
            <a:pPr>
              <a:defRPr sz="1000" b="0" i="0" u="none" strike="noStrike" baseline="0">
                <a:solidFill>
                  <a:schemeClr val="tx1"/>
                </a:solidFill>
                <a:latin typeface="Arial"/>
                <a:ea typeface="Arial"/>
                <a:cs typeface="Arial"/>
              </a:defRPr>
            </a:pPr>
            <a:endParaRPr lang="en-US"/>
          </a:p>
        </c:txPr>
        <c:crossAx val="127891712"/>
        <c:crosses val="autoZero"/>
        <c:auto val="1"/>
        <c:lblAlgn val="ctr"/>
        <c:lblOffset val="100"/>
        <c:noMultiLvlLbl val="0"/>
      </c:catAx>
      <c:valAx>
        <c:axId val="127891712"/>
        <c:scaling>
          <c:orientation val="minMax"/>
          <c:max val="35.299999999999997"/>
          <c:min val="0"/>
        </c:scaling>
        <c:delete val="0"/>
        <c:axPos val="l"/>
        <c:title>
          <c:tx>
            <c:rich>
              <a:bodyPr/>
              <a:lstStyle/>
              <a:p>
                <a:pPr>
                  <a:defRPr sz="1400" b="0" i="0" u="none" strike="noStrike" baseline="0">
                    <a:solidFill>
                      <a:srgbClr val="000000"/>
                    </a:solidFill>
                    <a:latin typeface="Arial"/>
                    <a:ea typeface="Arial"/>
                    <a:cs typeface="Arial"/>
                  </a:defRPr>
                </a:pPr>
                <a:r>
                  <a:rPr lang="en-US"/>
                  <a:t>Survival (%)</a:t>
                </a:r>
              </a:p>
            </c:rich>
          </c:tx>
          <c:layout>
            <c:manualLayout>
              <c:xMode val="edge"/>
              <c:yMode val="edge"/>
              <c:x val="1.3808164390286102E-2"/>
              <c:y val="0.3321825241066878"/>
            </c:manualLayout>
          </c:layout>
          <c:overlay val="0"/>
        </c:title>
        <c:numFmt formatCode="0" sourceLinked="0"/>
        <c:majorTickMark val="out"/>
        <c:minorTickMark val="none"/>
        <c:tickLblPos val="nextTo"/>
        <c:spPr>
          <a:ln w="15875">
            <a:solidFill>
              <a:schemeClr val="tx1"/>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27889792"/>
        <c:crosses val="autoZero"/>
        <c:crossBetween val="between"/>
      </c:valAx>
    </c:plotArea>
    <c:legend>
      <c:legendPos val="b"/>
      <c:layout>
        <c:manualLayout>
          <c:xMode val="edge"/>
          <c:yMode val="edge"/>
          <c:x val="0.12200861262624746"/>
          <c:y val="0.74046663543705737"/>
          <c:w val="0.82076697555662681"/>
          <c:h val="0.10016697912760905"/>
        </c:manualLayout>
      </c:layout>
      <c:overlay val="0"/>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ln w="3175">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167" l="0.70000000000000062" r="0.70000000000000062" t="0.75000000000000167" header="0.30000000000000032" footer="0.30000000000000032"/>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aseline="0"/>
            </a:pPr>
            <a:r>
              <a:rPr lang="en-US" sz="1600" baseline="0"/>
              <a:t>Inside Systems (Smolts)</a:t>
            </a:r>
          </a:p>
        </c:rich>
      </c:tx>
      <c:layout>
        <c:manualLayout>
          <c:xMode val="edge"/>
          <c:yMode val="edge"/>
          <c:x val="0.55209294439081591"/>
          <c:y val="5.2416038895177208E-2"/>
        </c:manualLayout>
      </c:layout>
      <c:overlay val="1"/>
    </c:title>
    <c:autoTitleDeleted val="0"/>
    <c:plotArea>
      <c:layout>
        <c:manualLayout>
          <c:layoutTarget val="inner"/>
          <c:xMode val="edge"/>
          <c:yMode val="edge"/>
          <c:x val="0.10597947983774753"/>
          <c:y val="5.8156480439945007E-2"/>
          <c:w val="0.86810533462996087"/>
          <c:h val="0.90434124492219614"/>
        </c:manualLayout>
      </c:layout>
      <c:lineChart>
        <c:grouping val="standard"/>
        <c:varyColors val="0"/>
        <c:ser>
          <c:idx val="2"/>
          <c:order val="0"/>
          <c:tx>
            <c:v>Auke Creek</c:v>
          </c:tx>
          <c:spPr>
            <a:ln w="19050">
              <a:solidFill>
                <a:schemeClr val="tx1">
                  <a:lumMod val="75000"/>
                  <a:lumOff val="25000"/>
                </a:schemeClr>
              </a:solidFill>
              <a:prstDash val="solid"/>
            </a:ln>
          </c:spPr>
          <c:marker>
            <c:symbol val="diamond"/>
            <c:size val="7"/>
            <c:spPr>
              <a:solidFill>
                <a:schemeClr val="accent1">
                  <a:lumMod val="20000"/>
                  <a:lumOff val="80000"/>
                </a:schemeClr>
              </a:solidFill>
              <a:ln w="12700">
                <a:solidFill>
                  <a:schemeClr val="tx1"/>
                </a:solidFill>
              </a:ln>
            </c:spPr>
          </c:marker>
          <c:dPt>
            <c:idx val="37"/>
            <c:bubble3D val="0"/>
            <c:spPr>
              <a:ln w="22225">
                <a:solidFill>
                  <a:schemeClr val="tx1">
                    <a:lumMod val="75000"/>
                    <a:lumOff val="25000"/>
                  </a:schemeClr>
                </a:solidFill>
                <a:prstDash val="sysDot"/>
              </a:ln>
            </c:spPr>
          </c:dPt>
          <c:dPt>
            <c:idx val="38"/>
            <c:bubble3D val="0"/>
            <c:spPr>
              <a:ln w="22225">
                <a:solidFill>
                  <a:schemeClr val="tx1">
                    <a:lumMod val="75000"/>
                    <a:lumOff val="25000"/>
                  </a:schemeClr>
                </a:solidFill>
                <a:prstDash val="solid"/>
              </a:ln>
            </c:spPr>
          </c:dPt>
          <c:errBars>
            <c:errDir val="y"/>
            <c:errBarType val="both"/>
            <c:errValType val="cust"/>
            <c:noEndCap val="0"/>
            <c:plus>
              <c:numRef>
                <c:f>Survival!$R$6:$R$44</c:f>
                <c:numCache>
                  <c:formatCode>General</c:formatCode>
                  <c:ptCount val="39"/>
                  <c:pt idx="38">
                    <c:v>3.444751565421027</c:v>
                  </c:pt>
                </c:numCache>
              </c:numRef>
            </c:plus>
            <c:minus>
              <c:numRef>
                <c:f>Survival!$Q$6:$Q$44</c:f>
                <c:numCache>
                  <c:formatCode>General</c:formatCode>
                  <c:ptCount val="39"/>
                  <c:pt idx="26">
                    <c:v>0</c:v>
                  </c:pt>
                  <c:pt idx="38">
                    <c:v>1.8866387384649881</c:v>
                  </c:pt>
                </c:numCache>
              </c:numRef>
            </c:minus>
            <c:spPr>
              <a:ln w="15875"/>
            </c:spPr>
          </c:errBars>
          <c:cat>
            <c:strRef>
              <c:f>Survival!$A$6:$A$45</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Average</c:v>
                </c:pt>
              </c:strCache>
            </c:strRef>
          </c:cat>
          <c:val>
            <c:numRef>
              <c:f>Survival!$P$6:$P$44</c:f>
              <c:numCache>
                <c:formatCode>0.0</c:formatCode>
                <c:ptCount val="39"/>
                <c:pt idx="0">
                  <c:v>9.8763206435065118</c:v>
                </c:pt>
                <c:pt idx="1">
                  <c:v>9.1096535514581731</c:v>
                </c:pt>
                <c:pt idx="2">
                  <c:v>10.606807212792543</c:v>
                </c:pt>
                <c:pt idx="3">
                  <c:v>18.089417377825391</c:v>
                </c:pt>
                <c:pt idx="4">
                  <c:v>15.866221555976182</c:v>
                </c:pt>
                <c:pt idx="5">
                  <c:v>24.612523540600517</c:v>
                </c:pt>
                <c:pt idx="6">
                  <c:v>16.643368636371434</c:v>
                </c:pt>
                <c:pt idx="7">
                  <c:v>20.988338632942511</c:v>
                </c:pt>
                <c:pt idx="8">
                  <c:v>17.123668562470819</c:v>
                </c:pt>
                <c:pt idx="9">
                  <c:v>14.391111506989196</c:v>
                </c:pt>
                <c:pt idx="10">
                  <c:v>21.138611022357672</c:v>
                </c:pt>
                <c:pt idx="11">
                  <c:v>22.952499056451177</c:v>
                </c:pt>
                <c:pt idx="12">
                  <c:v>32.953940906252633</c:v>
                </c:pt>
                <c:pt idx="13">
                  <c:v>24.091164391156344</c:v>
                </c:pt>
                <c:pt idx="14">
                  <c:v>35.330517598883262</c:v>
                </c:pt>
                <c:pt idx="15">
                  <c:v>10.940622714295472</c:v>
                </c:pt>
                <c:pt idx="16">
                  <c:v>23.363972813135174</c:v>
                </c:pt>
                <c:pt idx="17">
                  <c:v>19.241649270166956</c:v>
                </c:pt>
                <c:pt idx="18">
                  <c:v>23.120417170785039</c:v>
                </c:pt>
                <c:pt idx="19">
                  <c:v>19.33932517444871</c:v>
                </c:pt>
                <c:pt idx="20">
                  <c:v>18.517766497461928</c:v>
                </c:pt>
                <c:pt idx="21">
                  <c:v>28.297570627658363</c:v>
                </c:pt>
                <c:pt idx="22">
                  <c:v>26.75487603618517</c:v>
                </c:pt>
                <c:pt idx="23">
                  <c:v>25.000564615203018</c:v>
                </c:pt>
                <c:pt idx="24">
                  <c:v>20.242688222966915</c:v>
                </c:pt>
                <c:pt idx="25">
                  <c:v>15.981534403165531</c:v>
                </c:pt>
                <c:pt idx="26">
                  <c:v>20.5271751807791</c:v>
                </c:pt>
                <c:pt idx="27">
                  <c:v>11.871539313399779</c:v>
                </c:pt>
                <c:pt idx="28">
                  <c:v>24.105600789538613</c:v>
                </c:pt>
                <c:pt idx="29">
                  <c:v>15.543905635648755</c:v>
                </c:pt>
                <c:pt idx="30">
                  <c:v>16.434540389972145</c:v>
                </c:pt>
                <c:pt idx="31">
                  <c:v>13.117462415331241</c:v>
                </c:pt>
                <c:pt idx="32">
                  <c:v>10.321038207913109</c:v>
                </c:pt>
                <c:pt idx="33">
                  <c:v>20.776031434184674</c:v>
                </c:pt>
                <c:pt idx="34">
                  <c:v>20.10543826220534</c:v>
                </c:pt>
                <c:pt idx="35">
                  <c:v>11.960478419136765</c:v>
                </c:pt>
                <c:pt idx="36">
                  <c:v>4.0660000366615954</c:v>
                </c:pt>
                <c:pt idx="37">
                  <c:v>4.989270386266095</c:v>
                </c:pt>
                <c:pt idx="38">
                  <c:v>3.7171267885608037</c:v>
                </c:pt>
              </c:numCache>
            </c:numRef>
          </c:val>
          <c:smooth val="0"/>
        </c:ser>
        <c:dLbls>
          <c:showLegendKey val="0"/>
          <c:showVal val="0"/>
          <c:showCatName val="0"/>
          <c:showSerName val="0"/>
          <c:showPercent val="0"/>
          <c:showBubbleSize val="0"/>
        </c:dLbls>
        <c:marker val="1"/>
        <c:smooth val="0"/>
        <c:axId val="127924864"/>
        <c:axId val="127934848"/>
      </c:lineChart>
      <c:lineChart>
        <c:grouping val="standard"/>
        <c:varyColors val="0"/>
        <c:ser>
          <c:idx val="0"/>
          <c:order val="1"/>
          <c:tx>
            <c:v>Berners River</c:v>
          </c:tx>
          <c:spPr>
            <a:ln w="31750">
              <a:solidFill>
                <a:schemeClr val="tx1"/>
              </a:solidFill>
              <a:prstDash val="sysDash"/>
            </a:ln>
          </c:spPr>
          <c:marker>
            <c:symbol val="circle"/>
            <c:size val="5"/>
            <c:spPr>
              <a:solidFill>
                <a:schemeClr val="tx1"/>
              </a:solidFill>
              <a:ln>
                <a:solidFill>
                  <a:schemeClr val="tx1"/>
                </a:solidFill>
              </a:ln>
            </c:spPr>
          </c:marker>
          <c:cat>
            <c:strRef>
              <c:f>Survival!$A$6:$A$45</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Average</c:v>
                </c:pt>
              </c:strCache>
            </c:strRef>
          </c:cat>
          <c:val>
            <c:numRef>
              <c:f>Survival!$L$6:$L$43</c:f>
              <c:numCache>
                <c:formatCode>0.0</c:formatCode>
                <c:ptCount val="38"/>
                <c:pt idx="10">
                  <c:v>22.332909871898103</c:v>
                </c:pt>
                <c:pt idx="11">
                  <c:v>26.730474837426488</c:v>
                </c:pt>
                <c:pt idx="12">
                  <c:v>26.472483123256296</c:v>
                </c:pt>
                <c:pt idx="13">
                  <c:v>16.360275068725652</c:v>
                </c:pt>
                <c:pt idx="14">
                  <c:v>30.216463755784535</c:v>
                </c:pt>
                <c:pt idx="15">
                  <c:v>16.533108779678816</c:v>
                </c:pt>
                <c:pt idx="16">
                  <c:v>12.943426195394036</c:v>
                </c:pt>
                <c:pt idx="17">
                  <c:v>13.251798142786908</c:v>
                </c:pt>
                <c:pt idx="18">
                  <c:v>17.703912478402</c:v>
                </c:pt>
                <c:pt idx="19">
                  <c:v>14.093062063722309</c:v>
                </c:pt>
                <c:pt idx="20">
                  <c:v>13.13156044166762</c:v>
                </c:pt>
                <c:pt idx="21">
                  <c:v>13.693784188724248</c:v>
                </c:pt>
                <c:pt idx="22">
                  <c:v>21.353244776023462</c:v>
                </c:pt>
                <c:pt idx="23">
                  <c:v>21.243938065236875</c:v>
                </c:pt>
                <c:pt idx="24">
                  <c:v>19.802798154554136</c:v>
                </c:pt>
                <c:pt idx="25">
                  <c:v>9.6815999967245574</c:v>
                </c:pt>
                <c:pt idx="26">
                  <c:v>13.815727007633757</c:v>
                </c:pt>
                <c:pt idx="27">
                  <c:v>8.4306036568628837</c:v>
                </c:pt>
                <c:pt idx="28">
                  <c:v>17.970020235028723</c:v>
                </c:pt>
                <c:pt idx="29">
                  <c:v>10.103236929863458</c:v>
                </c:pt>
                <c:pt idx="30">
                  <c:v>14.711441535122823</c:v>
                </c:pt>
                <c:pt idx="31">
                  <c:v>10.317732845706308</c:v>
                </c:pt>
                <c:pt idx="32">
                  <c:v>8.7729652486037555</c:v>
                </c:pt>
                <c:pt idx="33">
                  <c:v>14.953800094105157</c:v>
                </c:pt>
                <c:pt idx="34">
                  <c:v>13.094767997630491</c:v>
                </c:pt>
                <c:pt idx="35">
                  <c:v>10.457245885330616</c:v>
                </c:pt>
                <c:pt idx="36">
                  <c:v>6.3676899999999996</c:v>
                </c:pt>
                <c:pt idx="37">
                  <c:v>5.038938450516981</c:v>
                </c:pt>
              </c:numCache>
            </c:numRef>
          </c:val>
          <c:smooth val="0"/>
        </c:ser>
        <c:ser>
          <c:idx val="1"/>
          <c:order val="2"/>
          <c:tx>
            <c:v>Hugh Smith Lake</c:v>
          </c:tx>
          <c:spPr>
            <a:ln w="44450">
              <a:solidFill>
                <a:schemeClr val="tx1"/>
              </a:solidFill>
            </a:ln>
          </c:spPr>
          <c:marker>
            <c:symbol val="none"/>
          </c:marker>
          <c:cat>
            <c:strRef>
              <c:f>Survival!$A$6:$A$45</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Average</c:v>
                </c:pt>
              </c:strCache>
            </c:strRef>
          </c:cat>
          <c:val>
            <c:numRef>
              <c:f>Survival!$M$6:$M$43</c:f>
              <c:numCache>
                <c:formatCode>General_)</c:formatCode>
                <c:ptCount val="38"/>
                <c:pt idx="3" formatCode="0.0">
                  <c:v>13.307131935265575</c:v>
                </c:pt>
                <c:pt idx="4" formatCode="0.0">
                  <c:v>7.5594375096476627</c:v>
                </c:pt>
                <c:pt idx="5" formatCode="0.0">
                  <c:v>7.558353939285599</c:v>
                </c:pt>
                <c:pt idx="6" formatCode="0.0">
                  <c:v>18.518762918581729</c:v>
                </c:pt>
                <c:pt idx="7" formatCode="0.0">
                  <c:v>10.255660138389814</c:v>
                </c:pt>
                <c:pt idx="8" formatCode="0.0">
                  <c:v>4.0666006606458867</c:v>
                </c:pt>
                <c:pt idx="9" formatCode="0.0">
                  <c:v>8.6157834704982914</c:v>
                </c:pt>
                <c:pt idx="10" formatCode="0.0">
                  <c:v>18.007512440889208</c:v>
                </c:pt>
                <c:pt idx="11" formatCode="0.0">
                  <c:v>17.421731668854964</c:v>
                </c:pt>
                <c:pt idx="12" formatCode="0.0">
                  <c:v>20.941606282787824</c:v>
                </c:pt>
                <c:pt idx="13" formatCode="0.0">
                  <c:v>12.988952658036201</c:v>
                </c:pt>
                <c:pt idx="14" formatCode="0.0">
                  <c:v>19.53949429196674</c:v>
                </c:pt>
                <c:pt idx="15" formatCode="0.0">
                  <c:v>13.547521768796816</c:v>
                </c:pt>
                <c:pt idx="16" formatCode="0.0">
                  <c:v>17.730362862048622</c:v>
                </c:pt>
                <c:pt idx="17" formatCode="0.0">
                  <c:v>8.3470737887492312</c:v>
                </c:pt>
                <c:pt idx="18" formatCode="0.0">
                  <c:v>11.676640891305189</c:v>
                </c:pt>
                <c:pt idx="19" formatCode="0.0">
                  <c:v>14.129480449439576</c:v>
                </c:pt>
                <c:pt idx="20" formatCode="0.0">
                  <c:v>6.7652949897233849</c:v>
                </c:pt>
                <c:pt idx="21" formatCode="0.0">
                  <c:v>13.372528989120239</c:v>
                </c:pt>
                <c:pt idx="22" formatCode="0.0">
                  <c:v>14.81609326544517</c:v>
                </c:pt>
                <c:pt idx="23" formatCode="0.0">
                  <c:v>13.696964601647243</c:v>
                </c:pt>
                <c:pt idx="24" formatCode="0.0">
                  <c:v>10.834275567289264</c:v>
                </c:pt>
                <c:pt idx="25" formatCode="0.0">
                  <c:v>9.1479206169161387</c:v>
                </c:pt>
                <c:pt idx="26" formatCode="0.0">
                  <c:v>6.8332431111672909</c:v>
                </c:pt>
                <c:pt idx="27" formatCode="0.0">
                  <c:v>8.8793197631972571</c:v>
                </c:pt>
                <c:pt idx="28" formatCode="0.0">
                  <c:v>13.11429861424652</c:v>
                </c:pt>
                <c:pt idx="29" formatCode="0.0">
                  <c:v>18.25793551612097</c:v>
                </c:pt>
                <c:pt idx="30" formatCode="0.0">
                  <c:v>20.985549916708635</c:v>
                </c:pt>
                <c:pt idx="31" formatCode="0.0">
                  <c:v>10.43134969000053</c:v>
                </c:pt>
                <c:pt idx="32" formatCode="0.0">
                  <c:v>12.816329043778094</c:v>
                </c:pt>
                <c:pt idx="33" formatCode="0.0">
                  <c:v>16.710625015123284</c:v>
                </c:pt>
                <c:pt idx="34" formatCode="0.0">
                  <c:v>16.315988787579691</c:v>
                </c:pt>
                <c:pt idx="35" formatCode="0.0">
                  <c:v>5.7205576938956426</c:v>
                </c:pt>
                <c:pt idx="36" formatCode="0.0">
                  <c:v>6.3557896078751162</c:v>
                </c:pt>
                <c:pt idx="37" formatCode="0.0">
                  <c:v>6.8889670023115777</c:v>
                </c:pt>
              </c:numCache>
            </c:numRef>
          </c:val>
          <c:smooth val="0"/>
        </c:ser>
        <c:dLbls>
          <c:showLegendKey val="0"/>
          <c:showVal val="0"/>
          <c:showCatName val="0"/>
          <c:showSerName val="0"/>
          <c:showPercent val="0"/>
          <c:showBubbleSize val="0"/>
        </c:dLbls>
        <c:marker val="1"/>
        <c:smooth val="0"/>
        <c:axId val="127942656"/>
        <c:axId val="127936768"/>
      </c:lineChart>
      <c:catAx>
        <c:axId val="127924864"/>
        <c:scaling>
          <c:orientation val="minMax"/>
        </c:scaling>
        <c:delete val="0"/>
        <c:axPos val="b"/>
        <c:numFmt formatCode="General" sourceLinked="1"/>
        <c:majorTickMark val="out"/>
        <c:minorTickMark val="none"/>
        <c:tickLblPos val="nextTo"/>
        <c:spPr>
          <a:ln w="15875">
            <a:solidFill>
              <a:sysClr val="windowText" lastClr="000000"/>
            </a:solidFill>
          </a:ln>
        </c:spPr>
        <c:txPr>
          <a:bodyPr rot="-5400000" vert="horz"/>
          <a:lstStyle/>
          <a:p>
            <a:pPr>
              <a:defRPr sz="200" b="0" i="0" u="none" strike="noStrike" baseline="0">
                <a:solidFill>
                  <a:schemeClr val="bg1"/>
                </a:solidFill>
                <a:latin typeface="Arial"/>
                <a:ea typeface="Arial"/>
                <a:cs typeface="Arial"/>
              </a:defRPr>
            </a:pPr>
            <a:endParaRPr lang="en-US"/>
          </a:p>
        </c:txPr>
        <c:crossAx val="127934848"/>
        <c:crosses val="autoZero"/>
        <c:auto val="1"/>
        <c:lblAlgn val="ctr"/>
        <c:lblOffset val="100"/>
        <c:noMultiLvlLbl val="0"/>
      </c:catAx>
      <c:valAx>
        <c:axId val="127934848"/>
        <c:scaling>
          <c:orientation val="minMax"/>
          <c:max val="35.299999999999997"/>
          <c:min val="0"/>
        </c:scaling>
        <c:delete val="0"/>
        <c:axPos val="l"/>
        <c:title>
          <c:tx>
            <c:rich>
              <a:bodyPr/>
              <a:lstStyle/>
              <a:p>
                <a:pPr>
                  <a:defRPr sz="1400" b="0" i="0" u="none" strike="noStrike" baseline="0">
                    <a:solidFill>
                      <a:srgbClr val="000000"/>
                    </a:solidFill>
                    <a:latin typeface="Arial"/>
                    <a:ea typeface="Arial"/>
                    <a:cs typeface="Arial"/>
                  </a:defRPr>
                </a:pPr>
                <a:r>
                  <a:rPr lang="en-US"/>
                  <a:t>Survival (%)</a:t>
                </a:r>
              </a:p>
            </c:rich>
          </c:tx>
          <c:layout>
            <c:manualLayout>
              <c:xMode val="edge"/>
              <c:yMode val="edge"/>
              <c:x val="1.1914219172897403E-2"/>
              <c:y val="0.36464770334172886"/>
            </c:manualLayout>
          </c:layout>
          <c:overlay val="0"/>
        </c:title>
        <c:numFmt formatCode="0" sourceLinked="0"/>
        <c:majorTickMark val="out"/>
        <c:minorTickMark val="none"/>
        <c:tickLblPos val="nextTo"/>
        <c:spPr>
          <a:ln w="15875">
            <a:solidFill>
              <a:schemeClr val="tx1"/>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27924864"/>
        <c:crosses val="autoZero"/>
        <c:crossBetween val="between"/>
      </c:valAx>
      <c:valAx>
        <c:axId val="127936768"/>
        <c:scaling>
          <c:orientation val="minMax"/>
        </c:scaling>
        <c:delete val="0"/>
        <c:axPos val="r"/>
        <c:numFmt formatCode="0.0" sourceLinked="1"/>
        <c:majorTickMark val="out"/>
        <c:minorTickMark val="none"/>
        <c:tickLblPos val="nextTo"/>
        <c:spPr>
          <a:ln>
            <a:noFill/>
          </a:ln>
        </c:spPr>
        <c:txPr>
          <a:bodyPr/>
          <a:lstStyle/>
          <a:p>
            <a:pPr>
              <a:defRPr sz="200" baseline="0">
                <a:solidFill>
                  <a:schemeClr val="bg1"/>
                </a:solidFill>
              </a:defRPr>
            </a:pPr>
            <a:endParaRPr lang="en-US"/>
          </a:p>
        </c:txPr>
        <c:crossAx val="127942656"/>
        <c:crosses val="max"/>
        <c:crossBetween val="between"/>
      </c:valAx>
      <c:catAx>
        <c:axId val="127942656"/>
        <c:scaling>
          <c:orientation val="minMax"/>
        </c:scaling>
        <c:delete val="1"/>
        <c:axPos val="b"/>
        <c:numFmt formatCode="General" sourceLinked="1"/>
        <c:majorTickMark val="out"/>
        <c:minorTickMark val="none"/>
        <c:tickLblPos val="nextTo"/>
        <c:crossAx val="127936768"/>
        <c:crosses val="autoZero"/>
        <c:auto val="1"/>
        <c:lblAlgn val="ctr"/>
        <c:lblOffset val="100"/>
        <c:noMultiLvlLbl val="0"/>
      </c:catAx>
    </c:plotArea>
    <c:legend>
      <c:legendPos val="b"/>
      <c:layout>
        <c:manualLayout>
          <c:xMode val="edge"/>
          <c:yMode val="edge"/>
          <c:x val="0.12202462150120728"/>
          <c:y val="0.85423878601152126"/>
          <c:w val="0.82076697555662681"/>
          <c:h val="0.10016697912760905"/>
        </c:manualLayout>
      </c:layout>
      <c:overlay val="0"/>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ln w="3175">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167" l="0.70000000000000062" r="0.70000000000000062" t="0.75000000000000167" header="0.30000000000000032" footer="0.30000000000000032"/>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97947983774753"/>
          <c:y val="5.8156480439945007E-2"/>
          <c:w val="0.86810533462996087"/>
          <c:h val="0.80623948292692049"/>
        </c:manualLayout>
      </c:layout>
      <c:lineChart>
        <c:grouping val="standard"/>
        <c:varyColors val="0"/>
        <c:ser>
          <c:idx val="2"/>
          <c:order val="0"/>
          <c:tx>
            <c:v>Auke Creek</c:v>
          </c:tx>
          <c:spPr>
            <a:ln w="25400">
              <a:solidFill>
                <a:schemeClr val="tx2">
                  <a:lumMod val="60000"/>
                  <a:lumOff val="40000"/>
                </a:schemeClr>
              </a:solidFill>
              <a:prstDash val="solid"/>
            </a:ln>
          </c:spPr>
          <c:marker>
            <c:symbol val="diamond"/>
            <c:size val="7"/>
            <c:spPr>
              <a:solidFill>
                <a:schemeClr val="accent1">
                  <a:lumMod val="20000"/>
                  <a:lumOff val="80000"/>
                </a:schemeClr>
              </a:solidFill>
              <a:ln w="12700">
                <a:solidFill>
                  <a:schemeClr val="tx1"/>
                </a:solidFill>
              </a:ln>
            </c:spPr>
          </c:marker>
          <c:dPt>
            <c:idx val="37"/>
            <c:bubble3D val="0"/>
            <c:spPr>
              <a:ln w="25400">
                <a:solidFill>
                  <a:schemeClr val="tx2">
                    <a:lumMod val="60000"/>
                    <a:lumOff val="40000"/>
                  </a:schemeClr>
                </a:solidFill>
                <a:prstDash val="solid"/>
              </a:ln>
            </c:spPr>
          </c:dPt>
          <c:errBars>
            <c:errDir val="y"/>
            <c:errBarType val="both"/>
            <c:errValType val="cust"/>
            <c:noEndCap val="0"/>
            <c:plus>
              <c:numRef>
                <c:f>Survival!$R$6:$R$43</c:f>
                <c:numCache>
                  <c:formatCode>General</c:formatCode>
                  <c:ptCount val="38"/>
                </c:numCache>
              </c:numRef>
            </c:plus>
            <c:minus>
              <c:numRef>
                <c:f>Survival!$Q$6:$Q$43</c:f>
                <c:numCache>
                  <c:formatCode>General</c:formatCode>
                  <c:ptCount val="38"/>
                  <c:pt idx="26">
                    <c:v>0</c:v>
                  </c:pt>
                </c:numCache>
              </c:numRef>
            </c:minus>
            <c:spPr>
              <a:ln w="15875"/>
            </c:spPr>
          </c:errBars>
          <c:cat>
            <c:numRef>
              <c:f>Survival!$N$7:$N$45</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Survival!$B$6:$B$44</c:f>
              <c:numCache>
                <c:formatCode>0.0</c:formatCode>
                <c:ptCount val="39"/>
                <c:pt idx="0">
                  <c:v>9.8763206435065118</c:v>
                </c:pt>
                <c:pt idx="1">
                  <c:v>9.1096535514581731</c:v>
                </c:pt>
                <c:pt idx="2">
                  <c:v>10.606807212792543</c:v>
                </c:pt>
                <c:pt idx="3">
                  <c:v>18.089417377825391</c:v>
                </c:pt>
                <c:pt idx="4">
                  <c:v>15.866221555976182</c:v>
                </c:pt>
                <c:pt idx="5">
                  <c:v>24.612523540600517</c:v>
                </c:pt>
                <c:pt idx="6">
                  <c:v>16.643368636371434</c:v>
                </c:pt>
                <c:pt idx="7">
                  <c:v>20.988338632942511</c:v>
                </c:pt>
                <c:pt idx="8">
                  <c:v>17.123668562470819</c:v>
                </c:pt>
                <c:pt idx="9">
                  <c:v>14.391111506989196</c:v>
                </c:pt>
                <c:pt idx="10">
                  <c:v>21.138611022357672</c:v>
                </c:pt>
                <c:pt idx="11">
                  <c:v>22.952499056451177</c:v>
                </c:pt>
                <c:pt idx="12">
                  <c:v>32.953940906252633</c:v>
                </c:pt>
                <c:pt idx="13">
                  <c:v>24.091164391156344</c:v>
                </c:pt>
                <c:pt idx="14">
                  <c:v>35.330517598883262</c:v>
                </c:pt>
                <c:pt idx="15">
                  <c:v>10.940622714295472</c:v>
                </c:pt>
                <c:pt idx="16">
                  <c:v>23.363972813135174</c:v>
                </c:pt>
                <c:pt idx="17">
                  <c:v>19.241649270166956</c:v>
                </c:pt>
                <c:pt idx="18">
                  <c:v>23.120417170785039</c:v>
                </c:pt>
                <c:pt idx="19">
                  <c:v>19.33932517444871</c:v>
                </c:pt>
                <c:pt idx="20">
                  <c:v>18.517766497461928</c:v>
                </c:pt>
                <c:pt idx="21">
                  <c:v>28.297570627658363</c:v>
                </c:pt>
                <c:pt idx="22">
                  <c:v>26.75487603618517</c:v>
                </c:pt>
                <c:pt idx="23">
                  <c:v>25.000564615203018</c:v>
                </c:pt>
                <c:pt idx="24">
                  <c:v>20.242688222966915</c:v>
                </c:pt>
                <c:pt idx="25">
                  <c:v>15.981534403165531</c:v>
                </c:pt>
                <c:pt idx="26">
                  <c:v>20.5271751807791</c:v>
                </c:pt>
                <c:pt idx="27">
                  <c:v>11.871539313399779</c:v>
                </c:pt>
                <c:pt idx="28">
                  <c:v>24.105600789538613</c:v>
                </c:pt>
                <c:pt idx="29">
                  <c:v>15.543905635648755</c:v>
                </c:pt>
                <c:pt idx="30">
                  <c:v>16.434540389972145</c:v>
                </c:pt>
                <c:pt idx="31">
                  <c:v>13.117462415331241</c:v>
                </c:pt>
                <c:pt idx="32">
                  <c:v>10.321038207913109</c:v>
                </c:pt>
                <c:pt idx="33">
                  <c:v>20.776031434184674</c:v>
                </c:pt>
                <c:pt idx="34">
                  <c:v>20.10543826220534</c:v>
                </c:pt>
                <c:pt idx="35">
                  <c:v>11.960478419136765</c:v>
                </c:pt>
                <c:pt idx="36">
                  <c:v>4.0660000366615954</c:v>
                </c:pt>
                <c:pt idx="37">
                  <c:v>4.989270386266095</c:v>
                </c:pt>
                <c:pt idx="38">
                  <c:v>7.0847295356629969</c:v>
                </c:pt>
              </c:numCache>
            </c:numRef>
          </c:val>
          <c:smooth val="0"/>
        </c:ser>
        <c:dLbls>
          <c:showLegendKey val="0"/>
          <c:showVal val="0"/>
          <c:showCatName val="0"/>
          <c:showSerName val="0"/>
          <c:showPercent val="0"/>
          <c:showBubbleSize val="0"/>
        </c:dLbls>
        <c:marker val="1"/>
        <c:smooth val="0"/>
        <c:axId val="127987072"/>
        <c:axId val="128001536"/>
      </c:lineChart>
      <c:lineChart>
        <c:grouping val="standard"/>
        <c:varyColors val="0"/>
        <c:ser>
          <c:idx val="0"/>
          <c:order val="1"/>
          <c:tx>
            <c:v>Berners River</c:v>
          </c:tx>
          <c:spPr>
            <a:ln w="31750">
              <a:solidFill>
                <a:schemeClr val="tx1"/>
              </a:solidFill>
              <a:prstDash val="sysDash"/>
            </a:ln>
          </c:spPr>
          <c:marker>
            <c:symbol val="circle"/>
            <c:size val="5"/>
            <c:spPr>
              <a:solidFill>
                <a:schemeClr val="tx1"/>
              </a:solidFill>
              <a:ln>
                <a:solidFill>
                  <a:schemeClr val="tx1"/>
                </a:solidFill>
              </a:ln>
            </c:spPr>
          </c:marker>
          <c:cat>
            <c:numRef>
              <c:f>Survival!$A$6:$A$44</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Survival!$L$6:$L$44</c:f>
              <c:numCache>
                <c:formatCode>0.0</c:formatCode>
                <c:ptCount val="39"/>
                <c:pt idx="10">
                  <c:v>22.332909871898103</c:v>
                </c:pt>
                <c:pt idx="11">
                  <c:v>26.730474837426488</c:v>
                </c:pt>
                <c:pt idx="12">
                  <c:v>26.472483123256296</c:v>
                </c:pt>
                <c:pt idx="13">
                  <c:v>16.360275068725652</c:v>
                </c:pt>
                <c:pt idx="14">
                  <c:v>30.216463755784535</c:v>
                </c:pt>
                <c:pt idx="15">
                  <c:v>16.533108779678816</c:v>
                </c:pt>
                <c:pt idx="16">
                  <c:v>12.943426195394036</c:v>
                </c:pt>
                <c:pt idx="17">
                  <c:v>13.251798142786908</c:v>
                </c:pt>
                <c:pt idx="18">
                  <c:v>17.703912478402</c:v>
                </c:pt>
                <c:pt idx="19">
                  <c:v>14.093062063722309</c:v>
                </c:pt>
                <c:pt idx="20">
                  <c:v>13.13156044166762</c:v>
                </c:pt>
                <c:pt idx="21">
                  <c:v>13.693784188724248</c:v>
                </c:pt>
                <c:pt idx="22">
                  <c:v>21.353244776023462</c:v>
                </c:pt>
                <c:pt idx="23">
                  <c:v>21.243938065236875</c:v>
                </c:pt>
                <c:pt idx="24">
                  <c:v>19.802798154554136</c:v>
                </c:pt>
                <c:pt idx="25">
                  <c:v>9.6815999967245574</c:v>
                </c:pt>
                <c:pt idx="26">
                  <c:v>13.815727007633757</c:v>
                </c:pt>
                <c:pt idx="27">
                  <c:v>8.4306036568628837</c:v>
                </c:pt>
                <c:pt idx="28">
                  <c:v>17.970020235028723</c:v>
                </c:pt>
                <c:pt idx="29">
                  <c:v>10.103236929863458</c:v>
                </c:pt>
                <c:pt idx="30">
                  <c:v>14.711441535122823</c:v>
                </c:pt>
                <c:pt idx="31">
                  <c:v>10.317732845706308</c:v>
                </c:pt>
                <c:pt idx="32">
                  <c:v>8.7729652486037555</c:v>
                </c:pt>
                <c:pt idx="33">
                  <c:v>14.953800094105157</c:v>
                </c:pt>
                <c:pt idx="34">
                  <c:v>13.094767997630491</c:v>
                </c:pt>
                <c:pt idx="35">
                  <c:v>10.457245885330616</c:v>
                </c:pt>
                <c:pt idx="36">
                  <c:v>6.3676899999999996</c:v>
                </c:pt>
                <c:pt idx="37">
                  <c:v>5.038938450516981</c:v>
                </c:pt>
                <c:pt idx="38">
                  <c:v>6.6785793100720694</c:v>
                </c:pt>
              </c:numCache>
            </c:numRef>
          </c:val>
          <c:smooth val="0"/>
        </c:ser>
        <c:ser>
          <c:idx val="1"/>
          <c:order val="2"/>
          <c:tx>
            <c:v>Hugh Smith Lake</c:v>
          </c:tx>
          <c:spPr>
            <a:ln w="34925">
              <a:solidFill>
                <a:schemeClr val="tx1"/>
              </a:solidFill>
            </a:ln>
          </c:spPr>
          <c:marker>
            <c:symbol val="none"/>
          </c:marker>
          <c:val>
            <c:numRef>
              <c:f>Survival!$F$6:$F$44</c:f>
              <c:numCache>
                <c:formatCode>0.0</c:formatCode>
                <c:ptCount val="39"/>
                <c:pt idx="3">
                  <c:v>13.307131935265575</c:v>
                </c:pt>
                <c:pt idx="4">
                  <c:v>7.5594375096476627</c:v>
                </c:pt>
                <c:pt idx="5">
                  <c:v>7.558353939285599</c:v>
                </c:pt>
                <c:pt idx="6">
                  <c:v>18.518762918581729</c:v>
                </c:pt>
                <c:pt idx="7">
                  <c:v>10.255660138389814</c:v>
                </c:pt>
                <c:pt idx="8">
                  <c:v>4.0666006606458867</c:v>
                </c:pt>
                <c:pt idx="9">
                  <c:v>8.6157834704982914</c:v>
                </c:pt>
                <c:pt idx="10">
                  <c:v>18.007512440889208</c:v>
                </c:pt>
                <c:pt idx="11">
                  <c:v>17.421731668854964</c:v>
                </c:pt>
                <c:pt idx="12">
                  <c:v>20.941606282787824</c:v>
                </c:pt>
                <c:pt idx="13">
                  <c:v>12.988952658036201</c:v>
                </c:pt>
                <c:pt idx="14">
                  <c:v>19.53949429196674</c:v>
                </c:pt>
                <c:pt idx="15">
                  <c:v>13.547521768796816</c:v>
                </c:pt>
                <c:pt idx="16">
                  <c:v>17.730362862048622</c:v>
                </c:pt>
                <c:pt idx="17">
                  <c:v>8.3470737887492312</c:v>
                </c:pt>
                <c:pt idx="18">
                  <c:v>11.676640891305189</c:v>
                </c:pt>
                <c:pt idx="19">
                  <c:v>14.129480449439576</c:v>
                </c:pt>
                <c:pt idx="20">
                  <c:v>6.7652949897233849</c:v>
                </c:pt>
                <c:pt idx="21">
                  <c:v>13.372528989120239</c:v>
                </c:pt>
                <c:pt idx="22">
                  <c:v>14.81609326544517</c:v>
                </c:pt>
                <c:pt idx="23">
                  <c:v>13.696964601647243</c:v>
                </c:pt>
                <c:pt idx="24">
                  <c:v>10.834275567289264</c:v>
                </c:pt>
                <c:pt idx="25">
                  <c:v>9.1479206169161387</c:v>
                </c:pt>
                <c:pt idx="26">
                  <c:v>6.8332431111672909</c:v>
                </c:pt>
                <c:pt idx="27">
                  <c:v>8.8793197631972571</c:v>
                </c:pt>
                <c:pt idx="28">
                  <c:v>13.11429861424652</c:v>
                </c:pt>
                <c:pt idx="29">
                  <c:v>18.25793551612097</c:v>
                </c:pt>
                <c:pt idx="30">
                  <c:v>20.985549916708635</c:v>
                </c:pt>
                <c:pt idx="31">
                  <c:v>10.43134969000053</c:v>
                </c:pt>
                <c:pt idx="32">
                  <c:v>12.816329043778094</c:v>
                </c:pt>
                <c:pt idx="33">
                  <c:v>16.710625015123284</c:v>
                </c:pt>
                <c:pt idx="34">
                  <c:v>16.315988787579691</c:v>
                </c:pt>
                <c:pt idx="35">
                  <c:v>5.7205576938956426</c:v>
                </c:pt>
                <c:pt idx="36">
                  <c:v>6.3557896078751162</c:v>
                </c:pt>
                <c:pt idx="37">
                  <c:v>6.900349021315809</c:v>
                </c:pt>
                <c:pt idx="38">
                  <c:v>2.7094051205580323</c:v>
                </c:pt>
              </c:numCache>
            </c:numRef>
          </c:val>
          <c:smooth val="0"/>
        </c:ser>
        <c:dLbls>
          <c:showLegendKey val="0"/>
          <c:showVal val="0"/>
          <c:showCatName val="0"/>
          <c:showSerName val="0"/>
          <c:showPercent val="0"/>
          <c:showBubbleSize val="0"/>
        </c:dLbls>
        <c:marker val="1"/>
        <c:smooth val="0"/>
        <c:axId val="128005248"/>
        <c:axId val="128003456"/>
      </c:lineChart>
      <c:catAx>
        <c:axId val="127987072"/>
        <c:scaling>
          <c:orientation val="minMax"/>
        </c:scaling>
        <c:delete val="0"/>
        <c:axPos val="b"/>
        <c:title>
          <c:tx>
            <c:rich>
              <a:bodyPr/>
              <a:lstStyle/>
              <a:p>
                <a:pPr>
                  <a:defRPr/>
                </a:pPr>
                <a:r>
                  <a:rPr lang="en-US"/>
                  <a:t>Return Year</a:t>
                </a:r>
              </a:p>
            </c:rich>
          </c:tx>
          <c:layout>
            <c:manualLayout>
              <c:xMode val="edge"/>
              <c:yMode val="edge"/>
              <c:x val="0.46620326566104203"/>
              <c:y val="0.94901310774402148"/>
            </c:manualLayout>
          </c:layout>
          <c:overlay val="0"/>
        </c:title>
        <c:numFmt formatCode="General" sourceLinked="1"/>
        <c:majorTickMark val="out"/>
        <c:minorTickMark val="none"/>
        <c:tickLblPos val="nextTo"/>
        <c:spPr>
          <a:ln w="15875">
            <a:solidFill>
              <a:sysClr val="windowText" lastClr="000000"/>
            </a:solidFill>
          </a:ln>
        </c:spPr>
        <c:txPr>
          <a:bodyPr rot="-5400000" vert="horz"/>
          <a:lstStyle/>
          <a:p>
            <a:pPr>
              <a:defRPr sz="1000" b="0" i="0" u="none" strike="noStrike" baseline="0">
                <a:solidFill>
                  <a:schemeClr val="tx1"/>
                </a:solidFill>
                <a:latin typeface="Arial"/>
                <a:ea typeface="Arial"/>
                <a:cs typeface="Arial"/>
              </a:defRPr>
            </a:pPr>
            <a:endParaRPr lang="en-US"/>
          </a:p>
        </c:txPr>
        <c:crossAx val="128001536"/>
        <c:crosses val="autoZero"/>
        <c:auto val="1"/>
        <c:lblAlgn val="ctr"/>
        <c:lblOffset val="100"/>
        <c:noMultiLvlLbl val="0"/>
      </c:catAx>
      <c:valAx>
        <c:axId val="128001536"/>
        <c:scaling>
          <c:orientation val="minMax"/>
          <c:max val="35.299999999999997"/>
          <c:min val="0"/>
        </c:scaling>
        <c:delete val="0"/>
        <c:axPos val="l"/>
        <c:title>
          <c:tx>
            <c:rich>
              <a:bodyPr/>
              <a:lstStyle/>
              <a:p>
                <a:pPr>
                  <a:defRPr sz="1400" b="0" i="0" u="none" strike="noStrike" baseline="0">
                    <a:solidFill>
                      <a:srgbClr val="000000"/>
                    </a:solidFill>
                    <a:latin typeface="Arial"/>
                    <a:ea typeface="Arial"/>
                    <a:cs typeface="Arial"/>
                  </a:defRPr>
                </a:pPr>
                <a:r>
                  <a:rPr lang="en-US"/>
                  <a:t>Smot-to-Adult Survival (%)</a:t>
                </a:r>
              </a:p>
            </c:rich>
          </c:tx>
          <c:layout>
            <c:manualLayout>
              <c:xMode val="edge"/>
              <c:yMode val="edge"/>
              <c:x val="1.0006318831469884E-2"/>
              <c:y val="0.23872617585038577"/>
            </c:manualLayout>
          </c:layout>
          <c:overlay val="0"/>
        </c:title>
        <c:numFmt formatCode="0" sourceLinked="0"/>
        <c:majorTickMark val="out"/>
        <c:minorTickMark val="none"/>
        <c:tickLblPos val="nextTo"/>
        <c:spPr>
          <a:ln w="15875">
            <a:solidFill>
              <a:schemeClr val="tx1"/>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27987072"/>
        <c:crosses val="autoZero"/>
        <c:crossBetween val="between"/>
      </c:valAx>
      <c:valAx>
        <c:axId val="128003456"/>
        <c:scaling>
          <c:orientation val="minMax"/>
        </c:scaling>
        <c:delete val="0"/>
        <c:axPos val="r"/>
        <c:numFmt formatCode="0.0" sourceLinked="1"/>
        <c:majorTickMark val="out"/>
        <c:minorTickMark val="none"/>
        <c:tickLblPos val="nextTo"/>
        <c:spPr>
          <a:ln>
            <a:noFill/>
          </a:ln>
        </c:spPr>
        <c:txPr>
          <a:bodyPr/>
          <a:lstStyle/>
          <a:p>
            <a:pPr>
              <a:defRPr sz="200" baseline="0">
                <a:solidFill>
                  <a:schemeClr val="bg1"/>
                </a:solidFill>
              </a:defRPr>
            </a:pPr>
            <a:endParaRPr lang="en-US"/>
          </a:p>
        </c:txPr>
        <c:crossAx val="128005248"/>
        <c:crosses val="max"/>
        <c:crossBetween val="between"/>
      </c:valAx>
      <c:catAx>
        <c:axId val="128005248"/>
        <c:scaling>
          <c:orientation val="minMax"/>
        </c:scaling>
        <c:delete val="1"/>
        <c:axPos val="b"/>
        <c:numFmt formatCode="General" sourceLinked="1"/>
        <c:majorTickMark val="out"/>
        <c:minorTickMark val="none"/>
        <c:tickLblPos val="nextTo"/>
        <c:crossAx val="128003456"/>
        <c:crosses val="autoZero"/>
        <c:auto val="1"/>
        <c:lblAlgn val="ctr"/>
        <c:lblOffset val="100"/>
        <c:noMultiLvlLbl val="0"/>
      </c:catAx>
    </c:plotArea>
    <c:legend>
      <c:legendPos val="b"/>
      <c:layout>
        <c:manualLayout>
          <c:xMode val="edge"/>
          <c:yMode val="edge"/>
          <c:x val="0.12011668955728218"/>
          <c:y val="0.79116112004049188"/>
          <c:w val="0.82560596031365197"/>
          <c:h val="5.3986928389092442E-2"/>
        </c:manualLayout>
      </c:layout>
      <c:overlay val="0"/>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ln w="3175">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167" l="0.70000000000000062" r="0.70000000000000062" t="0.75000000000000167" header="0.30000000000000032" footer="0.30000000000000032"/>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5.892135925119471E-2"/>
                  <c:y val="0.14469623177964583"/>
                </c:manualLayout>
              </c:layout>
              <c:numFmt formatCode="#,##0.00000" sourceLinked="0"/>
            </c:trendlineLbl>
          </c:trendline>
          <c:xVal>
            <c:numRef>
              <c:f>Survival!$X$24:$X$44</c:f>
              <c:numCache>
                <c:formatCode>0.0</c:formatCode>
                <c:ptCount val="21"/>
                <c:pt idx="0">
                  <c:v>222.1</c:v>
                </c:pt>
                <c:pt idx="1">
                  <c:v>215.42</c:v>
                </c:pt>
                <c:pt idx="2">
                  <c:v>205.1</c:v>
                </c:pt>
                <c:pt idx="3">
                  <c:v>205.83</c:v>
                </c:pt>
                <c:pt idx="4">
                  <c:v>182.99</c:v>
                </c:pt>
                <c:pt idx="5">
                  <c:v>207.59</c:v>
                </c:pt>
                <c:pt idx="6">
                  <c:v>199.79</c:v>
                </c:pt>
                <c:pt idx="7">
                  <c:v>201.92756670556992</c:v>
                </c:pt>
                <c:pt idx="8">
                  <c:v>205.57855881719661</c:v>
                </c:pt>
                <c:pt idx="9">
                  <c:v>190.18258725406486</c:v>
                </c:pt>
                <c:pt idx="10">
                  <c:v>174.97368747990549</c:v>
                </c:pt>
                <c:pt idx="11">
                  <c:v>178.86748853139261</c:v>
                </c:pt>
                <c:pt idx="12">
                  <c:v>207.79171377545572</c:v>
                </c:pt>
                <c:pt idx="13">
                  <c:v>205.87295438386354</c:v>
                </c:pt>
                <c:pt idx="14">
                  <c:v>198.52979989765663</c:v>
                </c:pt>
                <c:pt idx="15">
                  <c:v>205.3090817157572</c:v>
                </c:pt>
                <c:pt idx="16">
                  <c:v>200.5341570011733</c:v>
                </c:pt>
                <c:pt idx="17">
                  <c:v>200.63919024815755</c:v>
                </c:pt>
                <c:pt idx="18">
                  <c:v>222.14</c:v>
                </c:pt>
                <c:pt idx="19">
                  <c:v>228.54828020165587</c:v>
                </c:pt>
                <c:pt idx="20">
                  <c:v>183.4</c:v>
                </c:pt>
              </c:numCache>
            </c:numRef>
          </c:xVal>
          <c:yVal>
            <c:numRef>
              <c:f>Survival!$P$24:$P$43</c:f>
              <c:numCache>
                <c:formatCode>0.0</c:formatCode>
                <c:ptCount val="20"/>
                <c:pt idx="0">
                  <c:v>23.120417170785039</c:v>
                </c:pt>
                <c:pt idx="1">
                  <c:v>19.33932517444871</c:v>
                </c:pt>
                <c:pt idx="2">
                  <c:v>18.517766497461928</c:v>
                </c:pt>
                <c:pt idx="3">
                  <c:v>28.297570627658363</c:v>
                </c:pt>
                <c:pt idx="4">
                  <c:v>26.75487603618517</c:v>
                </c:pt>
                <c:pt idx="5">
                  <c:v>25.000564615203018</c:v>
                </c:pt>
                <c:pt idx="6">
                  <c:v>20.242688222966915</c:v>
                </c:pt>
                <c:pt idx="7">
                  <c:v>15.981534403165531</c:v>
                </c:pt>
                <c:pt idx="8">
                  <c:v>20.5271751807791</c:v>
                </c:pt>
                <c:pt idx="9">
                  <c:v>11.871539313399779</c:v>
                </c:pt>
                <c:pt idx="10">
                  <c:v>24.105600789538613</c:v>
                </c:pt>
                <c:pt idx="11">
                  <c:v>15.543905635648755</c:v>
                </c:pt>
                <c:pt idx="12">
                  <c:v>16.434540389972145</c:v>
                </c:pt>
                <c:pt idx="13">
                  <c:v>13.117462415331241</c:v>
                </c:pt>
                <c:pt idx="14">
                  <c:v>10.321038207913109</c:v>
                </c:pt>
                <c:pt idx="15">
                  <c:v>20.776031434184674</c:v>
                </c:pt>
                <c:pt idx="16">
                  <c:v>20.10543826220534</c:v>
                </c:pt>
                <c:pt idx="17">
                  <c:v>11.960478419136765</c:v>
                </c:pt>
                <c:pt idx="18">
                  <c:v>4.0660000366615954</c:v>
                </c:pt>
                <c:pt idx="19">
                  <c:v>4.989270386266095</c:v>
                </c:pt>
              </c:numCache>
            </c:numRef>
          </c:yVal>
          <c:smooth val="0"/>
        </c:ser>
        <c:dLbls>
          <c:showLegendKey val="0"/>
          <c:showVal val="0"/>
          <c:showCatName val="0"/>
          <c:showSerName val="0"/>
          <c:showPercent val="0"/>
          <c:showBubbleSize val="0"/>
        </c:dLbls>
        <c:axId val="128042880"/>
        <c:axId val="128044416"/>
      </c:scatterChart>
      <c:valAx>
        <c:axId val="128042880"/>
        <c:scaling>
          <c:orientation val="minMax"/>
          <c:max val="250"/>
          <c:min val="150"/>
        </c:scaling>
        <c:delete val="0"/>
        <c:axPos val="b"/>
        <c:numFmt formatCode="0.0" sourceLinked="1"/>
        <c:majorTickMark val="out"/>
        <c:minorTickMark val="none"/>
        <c:tickLblPos val="nextTo"/>
        <c:crossAx val="128044416"/>
        <c:crosses val="autoZero"/>
        <c:crossBetween val="midCat"/>
      </c:valAx>
      <c:valAx>
        <c:axId val="128044416"/>
        <c:scaling>
          <c:orientation val="minMax"/>
        </c:scaling>
        <c:delete val="0"/>
        <c:axPos val="l"/>
        <c:majorGridlines/>
        <c:numFmt formatCode="0.0" sourceLinked="1"/>
        <c:majorTickMark val="out"/>
        <c:minorTickMark val="none"/>
        <c:tickLblPos val="nextTo"/>
        <c:crossAx val="12804288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a:t>
            </a:r>
            <a:r>
              <a:rPr lang="en-US" baseline="0"/>
              <a:t> Jack Length vs. Percent Fish Returning as Jacks</a:t>
            </a:r>
            <a:endParaRPr lang="en-US"/>
          </a:p>
        </c:rich>
      </c:tx>
      <c:layout/>
      <c:overlay val="0"/>
    </c:title>
    <c:autoTitleDeleted val="0"/>
    <c:plotArea>
      <c:layout>
        <c:manualLayout>
          <c:layoutTarget val="inner"/>
          <c:xMode val="edge"/>
          <c:yMode val="edge"/>
          <c:x val="0.15475240594925635"/>
          <c:y val="0.27813684747739864"/>
          <c:w val="0.64361701662292214"/>
          <c:h val="0.52717957130358706"/>
        </c:manualLayout>
      </c:layout>
      <c:scatterChart>
        <c:scatterStyle val="lineMarker"/>
        <c:varyColors val="0"/>
        <c:ser>
          <c:idx val="0"/>
          <c:order val="0"/>
          <c:tx>
            <c:strRef>
              <c:f>[7]Regression!$B$2</c:f>
              <c:strCache>
                <c:ptCount val="1"/>
                <c:pt idx="0">
                  <c:v>Log (Prop. Jacks)</c:v>
                </c:pt>
              </c:strCache>
            </c:strRef>
          </c:tx>
          <c:spPr>
            <a:ln w="28575">
              <a:noFill/>
            </a:ln>
          </c:spPr>
          <c:marker>
            <c:spPr>
              <a:solidFill>
                <a:schemeClr val="tx1"/>
              </a:solidFill>
            </c:spPr>
          </c:marker>
          <c:xVal>
            <c:numRef>
              <c:f>[7]Regression!$A$3:$A$35</c:f>
              <c:numCache>
                <c:formatCode>General</c:formatCode>
                <c:ptCount val="33"/>
                <c:pt idx="0">
                  <c:v>5.7901640237162244</c:v>
                </c:pt>
                <c:pt idx="1">
                  <c:v>5.7676958003998537</c:v>
                </c:pt>
                <c:pt idx="2">
                  <c:v>5.762519625873785</c:v>
                </c:pt>
                <c:pt idx="3">
                  <c:v>5.8135333386153203</c:v>
                </c:pt>
                <c:pt idx="4">
                  <c:v>5.7487041620477131</c:v>
                </c:pt>
                <c:pt idx="5">
                  <c:v>5.7802428899996459</c:v>
                </c:pt>
                <c:pt idx="6">
                  <c:v>5.8038939440253587</c:v>
                </c:pt>
                <c:pt idx="7">
                  <c:v>5.7093226550318166</c:v>
                </c:pt>
                <c:pt idx="8">
                  <c:v>5.7181235919268589</c:v>
                </c:pt>
                <c:pt idx="9">
                  <c:v>5.7842921062708186</c:v>
                </c:pt>
                <c:pt idx="10">
                  <c:v>5.8065508177463192</c:v>
                </c:pt>
                <c:pt idx="11">
                  <c:v>5.7259976483577644</c:v>
                </c:pt>
                <c:pt idx="12">
                  <c:v>5.7356589163835716</c:v>
                </c:pt>
                <c:pt idx="13">
                  <c:v>5.7129193499533519</c:v>
                </c:pt>
                <c:pt idx="14">
                  <c:v>5.7821314410671771</c:v>
                </c:pt>
                <c:pt idx="15">
                  <c:v>5.7613940749016823</c:v>
                </c:pt>
                <c:pt idx="16">
                  <c:v>5.7040925041114825</c:v>
                </c:pt>
                <c:pt idx="17">
                  <c:v>5.7404357923042362</c:v>
                </c:pt>
                <c:pt idx="18">
                  <c:v>5.7153031575908715</c:v>
                </c:pt>
                <c:pt idx="19">
                  <c:v>5.7000500275375154</c:v>
                </c:pt>
                <c:pt idx="20">
                  <c:v>5.846484649773882</c:v>
                </c:pt>
                <c:pt idx="21">
                  <c:v>5.7852984555040123</c:v>
                </c:pt>
                <c:pt idx="22">
                  <c:v>5.7794079563283649</c:v>
                </c:pt>
                <c:pt idx="23">
                  <c:v>5.7650029973198258</c:v>
                </c:pt>
                <c:pt idx="24">
                  <c:v>5.7406499938687272</c:v>
                </c:pt>
                <c:pt idx="25">
                  <c:v>5.7409053280902533</c:v>
                </c:pt>
                <c:pt idx="26">
                  <c:v>5.7138506674931229</c:v>
                </c:pt>
                <c:pt idx="27">
                  <c:v>5.7944300202889716</c:v>
                </c:pt>
                <c:pt idx="28">
                  <c:v>5.7582836766211472</c:v>
                </c:pt>
                <c:pt idx="29">
                  <c:v>5.7358436241528263</c:v>
                </c:pt>
                <c:pt idx="30">
                  <c:v>5.6845212392425237</c:v>
                </c:pt>
                <c:pt idx="31">
                  <c:v>5.7759874289750677</c:v>
                </c:pt>
                <c:pt idx="32">
                  <c:v>5.8051349689164882</c:v>
                </c:pt>
              </c:numCache>
            </c:numRef>
          </c:xVal>
          <c:yVal>
            <c:numRef>
              <c:f>[7]Regression!$B$3:$B$35</c:f>
              <c:numCache>
                <c:formatCode>General</c:formatCode>
                <c:ptCount val="33"/>
                <c:pt idx="0">
                  <c:v>-1.4631924121139552</c:v>
                </c:pt>
                <c:pt idx="1">
                  <c:v>-1.5402336914800197</c:v>
                </c:pt>
                <c:pt idx="2">
                  <c:v>-1.6477740611776477</c:v>
                </c:pt>
                <c:pt idx="3">
                  <c:v>-1.8473293203828658</c:v>
                </c:pt>
                <c:pt idx="4">
                  <c:v>-1.723742683714159</c:v>
                </c:pt>
                <c:pt idx="5">
                  <c:v>-1.2631933107742406</c:v>
                </c:pt>
                <c:pt idx="6">
                  <c:v>-1.5788448092539384</c:v>
                </c:pt>
                <c:pt idx="7">
                  <c:v>-2.0974600471825142</c:v>
                </c:pt>
                <c:pt idx="8">
                  <c:v>-1.9336678741906257</c:v>
                </c:pt>
                <c:pt idx="9">
                  <c:v>-1.9262129458275461</c:v>
                </c:pt>
                <c:pt idx="10">
                  <c:v>-1.4718165345580527</c:v>
                </c:pt>
                <c:pt idx="11">
                  <c:v>-1.5218706048420576</c:v>
                </c:pt>
                <c:pt idx="12">
                  <c:v>-1.6157781943286835</c:v>
                </c:pt>
                <c:pt idx="13">
                  <c:v>-1.7058297581091661</c:v>
                </c:pt>
                <c:pt idx="14">
                  <c:v>-1.5494036674920404</c:v>
                </c:pt>
                <c:pt idx="15">
                  <c:v>-1.4341295673940542</c:v>
                </c:pt>
                <c:pt idx="16">
                  <c:v>-2.0153503477695853</c:v>
                </c:pt>
                <c:pt idx="17">
                  <c:v>-2.0573547542769925</c:v>
                </c:pt>
                <c:pt idx="18">
                  <c:v>-2.5069620998111874</c:v>
                </c:pt>
                <c:pt idx="19">
                  <c:v>-2.2713325494899412</c:v>
                </c:pt>
                <c:pt idx="20">
                  <c:v>-1.4025548819916709</c:v>
                </c:pt>
                <c:pt idx="21">
                  <c:v>-1.4390799043819162</c:v>
                </c:pt>
                <c:pt idx="22">
                  <c:v>-1.4900911548015341</c:v>
                </c:pt>
                <c:pt idx="23">
                  <c:v>-1.2154115564143606</c:v>
                </c:pt>
                <c:pt idx="24">
                  <c:v>-2.3240511528889232</c:v>
                </c:pt>
                <c:pt idx="25">
                  <c:v>-1.8548765260182485</c:v>
                </c:pt>
                <c:pt idx="26">
                  <c:v>-1.804917553805566</c:v>
                </c:pt>
                <c:pt idx="27">
                  <c:v>-1.0629809890219122</c:v>
                </c:pt>
                <c:pt idx="28">
                  <c:v>-1.3517965201803883</c:v>
                </c:pt>
                <c:pt idx="29">
                  <c:v>-2.0739318858688662</c:v>
                </c:pt>
                <c:pt idx="30">
                  <c:v>-2.3025850929940455</c:v>
                </c:pt>
                <c:pt idx="31">
                  <c:v>-1.2201049544180782</c:v>
                </c:pt>
                <c:pt idx="32">
                  <c:v>-1.5559793339093331</c:v>
                </c:pt>
              </c:numCache>
            </c:numRef>
          </c:yVal>
          <c:smooth val="0"/>
        </c:ser>
        <c:ser>
          <c:idx val="1"/>
          <c:order val="1"/>
          <c:spPr>
            <a:ln w="28575">
              <a:solidFill>
                <a:schemeClr val="tx1">
                  <a:lumMod val="95000"/>
                  <a:lumOff val="5000"/>
                </a:schemeClr>
              </a:solidFill>
            </a:ln>
          </c:spPr>
          <c:marker>
            <c:symbol val="none"/>
          </c:marker>
          <c:xVal>
            <c:numRef>
              <c:f>[7]Regression!$A$3:$A$35</c:f>
              <c:numCache>
                <c:formatCode>General</c:formatCode>
                <c:ptCount val="33"/>
                <c:pt idx="0">
                  <c:v>5.7901640237162244</c:v>
                </c:pt>
                <c:pt idx="1">
                  <c:v>5.7676958003998537</c:v>
                </c:pt>
                <c:pt idx="2">
                  <c:v>5.762519625873785</c:v>
                </c:pt>
                <c:pt idx="3">
                  <c:v>5.8135333386153203</c:v>
                </c:pt>
                <c:pt idx="4">
                  <c:v>5.7487041620477131</c:v>
                </c:pt>
                <c:pt idx="5">
                  <c:v>5.7802428899996459</c:v>
                </c:pt>
                <c:pt idx="6">
                  <c:v>5.8038939440253587</c:v>
                </c:pt>
                <c:pt idx="7">
                  <c:v>5.7093226550318166</c:v>
                </c:pt>
                <c:pt idx="8">
                  <c:v>5.7181235919268589</c:v>
                </c:pt>
                <c:pt idx="9">
                  <c:v>5.7842921062708186</c:v>
                </c:pt>
                <c:pt idx="10">
                  <c:v>5.8065508177463192</c:v>
                </c:pt>
                <c:pt idx="11">
                  <c:v>5.7259976483577644</c:v>
                </c:pt>
                <c:pt idx="12">
                  <c:v>5.7356589163835716</c:v>
                </c:pt>
                <c:pt idx="13">
                  <c:v>5.7129193499533519</c:v>
                </c:pt>
                <c:pt idx="14">
                  <c:v>5.7821314410671771</c:v>
                </c:pt>
                <c:pt idx="15">
                  <c:v>5.7613940749016823</c:v>
                </c:pt>
                <c:pt idx="16">
                  <c:v>5.7040925041114825</c:v>
                </c:pt>
                <c:pt idx="17">
                  <c:v>5.7404357923042362</c:v>
                </c:pt>
                <c:pt idx="18">
                  <c:v>5.7153031575908715</c:v>
                </c:pt>
                <c:pt idx="19">
                  <c:v>5.7000500275375154</c:v>
                </c:pt>
                <c:pt idx="20">
                  <c:v>5.846484649773882</c:v>
                </c:pt>
                <c:pt idx="21">
                  <c:v>5.7852984555040123</c:v>
                </c:pt>
                <c:pt idx="22">
                  <c:v>5.7794079563283649</c:v>
                </c:pt>
                <c:pt idx="23">
                  <c:v>5.7650029973198258</c:v>
                </c:pt>
                <c:pt idx="24">
                  <c:v>5.7406499938687272</c:v>
                </c:pt>
                <c:pt idx="25">
                  <c:v>5.7409053280902533</c:v>
                </c:pt>
                <c:pt idx="26">
                  <c:v>5.7138506674931229</c:v>
                </c:pt>
                <c:pt idx="27">
                  <c:v>5.7944300202889716</c:v>
                </c:pt>
                <c:pt idx="28">
                  <c:v>5.7582836766211472</c:v>
                </c:pt>
                <c:pt idx="29">
                  <c:v>5.7358436241528263</c:v>
                </c:pt>
                <c:pt idx="30">
                  <c:v>5.6845212392425237</c:v>
                </c:pt>
                <c:pt idx="31">
                  <c:v>5.7759874289750677</c:v>
                </c:pt>
                <c:pt idx="32">
                  <c:v>5.8051349689164882</c:v>
                </c:pt>
              </c:numCache>
            </c:numRef>
          </c:xVal>
          <c:yVal>
            <c:numRef>
              <c:f>[7]Regression!$C$3:$C$35</c:f>
              <c:numCache>
                <c:formatCode>General</c:formatCode>
                <c:ptCount val="33"/>
                <c:pt idx="0">
                  <c:v>-1.5061287822918885</c:v>
                </c:pt>
                <c:pt idx="1">
                  <c:v>-1.6419322180306111</c:v>
                </c:pt>
                <c:pt idx="2">
                  <c:v>-1.6732182825638588</c:v>
                </c:pt>
                <c:pt idx="3">
                  <c:v>-1.3648789286888672</c:v>
                </c:pt>
                <c:pt idx="4">
                  <c:v>-1.7567223241378827</c:v>
                </c:pt>
                <c:pt idx="5">
                  <c:v>-1.5660945404278692</c:v>
                </c:pt>
                <c:pt idx="6">
                  <c:v>-1.4231417866516622</c:v>
                </c:pt>
                <c:pt idx="7">
                  <c:v>-1.9947537822563675</c:v>
                </c:pt>
                <c:pt idx="8">
                  <c:v>-1.9415587676244996</c:v>
                </c:pt>
                <c:pt idx="9">
                  <c:v>-1.5416200871552874</c:v>
                </c:pt>
                <c:pt idx="10">
                  <c:v>-1.4070829922134038</c:v>
                </c:pt>
                <c:pt idx="11">
                  <c:v>-1.8939660451621734</c:v>
                </c:pt>
                <c:pt idx="12">
                  <c:v>-1.8355709788045544</c:v>
                </c:pt>
                <c:pt idx="13">
                  <c:v>-1.9730144786732211</c:v>
                </c:pt>
                <c:pt idx="14">
                  <c:v>-1.5546796759800898</c:v>
                </c:pt>
                <c:pt idx="15">
                  <c:v>-1.6800213878632135</c:v>
                </c:pt>
                <c:pt idx="16">
                  <c:v>-2.0263660933150689</c:v>
                </c:pt>
                <c:pt idx="17">
                  <c:v>-1.8066983726803656</c:v>
                </c:pt>
                <c:pt idx="18">
                  <c:v>-1.9586061624144335</c:v>
                </c:pt>
                <c:pt idx="19">
                  <c:v>-2.0507998102097176</c:v>
                </c:pt>
                <c:pt idx="20">
                  <c:v>-1.1657131466678194</c:v>
                </c:pt>
                <c:pt idx="21">
                  <c:v>-1.5355374663135635</c:v>
                </c:pt>
                <c:pt idx="22">
                  <c:v>-1.5711410836982154</c:v>
                </c:pt>
                <c:pt idx="23">
                  <c:v>-1.6582081783006544</c:v>
                </c:pt>
                <c:pt idx="24">
                  <c:v>-1.8054036860472067</c:v>
                </c:pt>
                <c:pt idx="25">
                  <c:v>-1.8038603835770175</c:v>
                </c:pt>
                <c:pt idx="26">
                  <c:v>-1.96738536773357</c:v>
                </c:pt>
                <c:pt idx="27">
                  <c:v>-1.480344055868656</c:v>
                </c:pt>
                <c:pt idx="28">
                  <c:v>-1.6988213956370686</c:v>
                </c:pt>
                <c:pt idx="29">
                  <c:v>-1.8344545598817348</c:v>
                </c:pt>
                <c:pt idx="30">
                  <c:v>-2.144659603822447</c:v>
                </c:pt>
                <c:pt idx="31">
                  <c:v>-1.5918155874217774</c:v>
                </c:pt>
                <c:pt idx="32">
                  <c:v>-1.4156407287495938</c:v>
                </c:pt>
              </c:numCache>
            </c:numRef>
          </c:yVal>
          <c:smooth val="0"/>
        </c:ser>
        <c:dLbls>
          <c:showLegendKey val="0"/>
          <c:showVal val="0"/>
          <c:showCatName val="0"/>
          <c:showSerName val="0"/>
          <c:showPercent val="0"/>
          <c:showBubbleSize val="0"/>
        </c:dLbls>
        <c:axId val="132599168"/>
        <c:axId val="132601344"/>
      </c:scatterChart>
      <c:valAx>
        <c:axId val="132599168"/>
        <c:scaling>
          <c:orientation val="minMax"/>
        </c:scaling>
        <c:delete val="0"/>
        <c:axPos val="b"/>
        <c:title>
          <c:tx>
            <c:rich>
              <a:bodyPr/>
              <a:lstStyle/>
              <a:p>
                <a:pPr>
                  <a:defRPr/>
                </a:pPr>
                <a:r>
                  <a:rPr lang="en-US"/>
                  <a:t>Log (Jack Length)</a:t>
                </a:r>
              </a:p>
            </c:rich>
          </c:tx>
          <c:layout/>
          <c:overlay val="0"/>
        </c:title>
        <c:numFmt formatCode="General" sourceLinked="1"/>
        <c:majorTickMark val="out"/>
        <c:minorTickMark val="none"/>
        <c:tickLblPos val="low"/>
        <c:crossAx val="132601344"/>
        <c:crosses val="autoZero"/>
        <c:crossBetween val="midCat"/>
      </c:valAx>
      <c:valAx>
        <c:axId val="132601344"/>
        <c:scaling>
          <c:orientation val="minMax"/>
          <c:max val="-0.5"/>
          <c:min val="-3"/>
        </c:scaling>
        <c:delete val="0"/>
        <c:axPos val="l"/>
        <c:majorGridlines/>
        <c:title>
          <c:tx>
            <c:rich>
              <a:bodyPr rot="-5400000" vert="horz"/>
              <a:lstStyle/>
              <a:p>
                <a:pPr>
                  <a:defRPr/>
                </a:pPr>
                <a:r>
                  <a:rPr lang="en-US"/>
                  <a:t>Log (Prop.</a:t>
                </a:r>
                <a:r>
                  <a:rPr lang="en-US" baseline="0"/>
                  <a:t> Jacks)</a:t>
                </a:r>
                <a:endParaRPr lang="en-US"/>
              </a:p>
            </c:rich>
          </c:tx>
          <c:layout/>
          <c:overlay val="0"/>
        </c:title>
        <c:numFmt formatCode="General" sourceLinked="1"/>
        <c:majorTickMark val="out"/>
        <c:minorTickMark val="none"/>
        <c:tickLblPos val="nextTo"/>
        <c:crossAx val="132599168"/>
        <c:crossesAt val="-2"/>
        <c:crossBetween val="midCat"/>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a:ea typeface="Arial"/>
                <a:cs typeface="Arial"/>
              </a:defRPr>
            </a:pPr>
            <a:r>
              <a:rPr lang="en-US" sz="1400"/>
              <a:t>Average Jack Length vs Proportion</a:t>
            </a:r>
            <a:r>
              <a:rPr lang="en-US" sz="1400" baseline="0"/>
              <a:t> Jacks</a:t>
            </a:r>
            <a:endParaRPr lang="en-US" sz="1400"/>
          </a:p>
        </c:rich>
      </c:tx>
      <c:layout>
        <c:manualLayout>
          <c:xMode val="edge"/>
          <c:yMode val="edge"/>
          <c:x val="0.14970805528363162"/>
          <c:y val="1.6644257438288304E-2"/>
        </c:manualLayout>
      </c:layout>
      <c:overlay val="1"/>
    </c:title>
    <c:autoTitleDeleted val="0"/>
    <c:plotArea>
      <c:layout>
        <c:manualLayout>
          <c:layoutTarget val="inner"/>
          <c:xMode val="edge"/>
          <c:yMode val="edge"/>
          <c:x val="0.17723831717873118"/>
          <c:y val="0.10588020008949263"/>
          <c:w val="0.76436687553992844"/>
          <c:h val="0.76751766606097316"/>
        </c:manualLayout>
      </c:layout>
      <c:scatterChart>
        <c:scatterStyle val="lineMarker"/>
        <c:varyColors val="0"/>
        <c:ser>
          <c:idx val="0"/>
          <c:order val="0"/>
          <c:spPr>
            <a:ln w="28575">
              <a:noFill/>
            </a:ln>
          </c:spPr>
          <c:marker>
            <c:symbol val="circle"/>
            <c:size val="6"/>
            <c:spPr>
              <a:solidFill>
                <a:schemeClr val="tx1"/>
              </a:solidFill>
              <a:ln>
                <a:solidFill>
                  <a:prstClr val="black"/>
                </a:solidFill>
              </a:ln>
            </c:spPr>
          </c:marker>
          <c:dPt>
            <c:idx val="34"/>
            <c:bubble3D val="0"/>
          </c:dPt>
          <c:trendline>
            <c:trendlineType val="poly"/>
            <c:order val="2"/>
            <c:dispRSqr val="0"/>
            <c:dispEq val="0"/>
          </c:trendline>
          <c:xVal>
            <c:numRef>
              <c:f>Survival!$Z$7:$Z$43</c:f>
              <c:numCache>
                <c:formatCode>General_)</c:formatCode>
                <c:ptCount val="37"/>
                <c:pt idx="0">
                  <c:v>5.7901640237162244</c:v>
                </c:pt>
                <c:pt idx="2">
                  <c:v>5.7676958003998537</c:v>
                </c:pt>
                <c:pt idx="3">
                  <c:v>5.762519625873785</c:v>
                </c:pt>
                <c:pt idx="4">
                  <c:v>5.8135333386153203</c:v>
                </c:pt>
                <c:pt idx="6">
                  <c:v>5.7487041620477131</c:v>
                </c:pt>
                <c:pt idx="8">
                  <c:v>5.7802428899996459</c:v>
                </c:pt>
                <c:pt idx="9">
                  <c:v>5.8038939440253587</c:v>
                </c:pt>
                <c:pt idx="10">
                  <c:v>5.7093226550318166</c:v>
                </c:pt>
                <c:pt idx="11">
                  <c:v>5.7181235919268589</c:v>
                </c:pt>
                <c:pt idx="12">
                  <c:v>5.7842921062708186</c:v>
                </c:pt>
                <c:pt idx="13">
                  <c:v>5.8065508177463192</c:v>
                </c:pt>
                <c:pt idx="14">
                  <c:v>5.7259976483577644</c:v>
                </c:pt>
                <c:pt idx="15">
                  <c:v>5.7356589163835716</c:v>
                </c:pt>
                <c:pt idx="16">
                  <c:v>5.7129193499533519</c:v>
                </c:pt>
                <c:pt idx="17">
                  <c:v>5.7821314410671771</c:v>
                </c:pt>
                <c:pt idx="18">
                  <c:v>5.7613940749016823</c:v>
                </c:pt>
                <c:pt idx="19">
                  <c:v>5.7040925041114825</c:v>
                </c:pt>
                <c:pt idx="20">
                  <c:v>5.7404357923042362</c:v>
                </c:pt>
                <c:pt idx="21">
                  <c:v>5.7153031575908715</c:v>
                </c:pt>
                <c:pt idx="22">
                  <c:v>5.7000500275375154</c:v>
                </c:pt>
                <c:pt idx="23">
                  <c:v>5.846484649773882</c:v>
                </c:pt>
                <c:pt idx="24">
                  <c:v>5.7852984555040123</c:v>
                </c:pt>
                <c:pt idx="25">
                  <c:v>5.7794079563283649</c:v>
                </c:pt>
                <c:pt idx="26">
                  <c:v>5.7650029973198258</c:v>
                </c:pt>
                <c:pt idx="27">
                  <c:v>5.7406499938687272</c:v>
                </c:pt>
                <c:pt idx="28">
                  <c:v>5.7409053280902533</c:v>
                </c:pt>
                <c:pt idx="29">
                  <c:v>5.7138506674931229</c:v>
                </c:pt>
                <c:pt idx="30">
                  <c:v>5.7944300202889716</c:v>
                </c:pt>
                <c:pt idx="31">
                  <c:v>5.7582836766211472</c:v>
                </c:pt>
                <c:pt idx="32">
                  <c:v>5.7358436241528263</c:v>
                </c:pt>
                <c:pt idx="33">
                  <c:v>5.6845212392425237</c:v>
                </c:pt>
                <c:pt idx="34">
                  <c:v>5.7759874289750677</c:v>
                </c:pt>
                <c:pt idx="35">
                  <c:v>5.8051349689164882</c:v>
                </c:pt>
                <c:pt idx="36">
                  <c:v>5.8562173976999565</c:v>
                </c:pt>
              </c:numCache>
            </c:numRef>
          </c:xVal>
          <c:yVal>
            <c:numRef>
              <c:f>Survival!$AA$7:$AA$43</c:f>
              <c:numCache>
                <c:formatCode>General_)</c:formatCode>
                <c:ptCount val="37"/>
                <c:pt idx="0">
                  <c:v>-1.4631989329613786</c:v>
                </c:pt>
                <c:pt idx="2">
                  <c:v>-1.5401983048090619</c:v>
                </c:pt>
                <c:pt idx="3">
                  <c:v>-1.647720925236398</c:v>
                </c:pt>
                <c:pt idx="4">
                  <c:v>-1.847331502415652</c:v>
                </c:pt>
                <c:pt idx="6">
                  <c:v>-1.7236834352777373</c:v>
                </c:pt>
                <c:pt idx="8">
                  <c:v>-1.2631653721946752</c:v>
                </c:pt>
                <c:pt idx="9">
                  <c:v>-1.5788598165208125</c:v>
                </c:pt>
                <c:pt idx="10">
                  <c:v>-2.0975120372967022</c:v>
                </c:pt>
                <c:pt idx="11">
                  <c:v>-1.9337040220618156</c:v>
                </c:pt>
                <c:pt idx="12">
                  <c:v>-1.9262415493112972</c:v>
                </c:pt>
                <c:pt idx="13">
                  <c:v>-1.4718240646117786</c:v>
                </c:pt>
                <c:pt idx="14">
                  <c:v>-1.5218702925793259</c:v>
                </c:pt>
                <c:pt idx="15">
                  <c:v>-1.6158459112728634</c:v>
                </c:pt>
                <c:pt idx="16">
                  <c:v>-1.7057935220887233</c:v>
                </c:pt>
                <c:pt idx="17">
                  <c:v>-1.54934162170251</c:v>
                </c:pt>
                <c:pt idx="18">
                  <c:v>-1.4341178517968143</c:v>
                </c:pt>
                <c:pt idx="19">
                  <c:v>-2.0153814034699842</c:v>
                </c:pt>
                <c:pt idx="20">
                  <c:v>-2.0574206854089123</c:v>
                </c:pt>
                <c:pt idx="21">
                  <c:v>-2.5069285670812755</c:v>
                </c:pt>
                <c:pt idx="22">
                  <c:v>-2.2713528037349628</c:v>
                </c:pt>
                <c:pt idx="23">
                  <c:v>-1.402521947818931</c:v>
                </c:pt>
                <c:pt idx="24">
                  <c:v>-1.4390799043819162</c:v>
                </c:pt>
                <c:pt idx="25">
                  <c:v>-1.4900911548015343</c:v>
                </c:pt>
                <c:pt idx="26">
                  <c:v>-1.2154115564143602</c:v>
                </c:pt>
                <c:pt idx="27">
                  <c:v>-2.3240511528889236</c:v>
                </c:pt>
                <c:pt idx="28">
                  <c:v>-1.8548765260182485</c:v>
                </c:pt>
                <c:pt idx="29">
                  <c:v>-1.8049175538055664</c:v>
                </c:pt>
                <c:pt idx="30">
                  <c:v>-1.0629809890219124</c:v>
                </c:pt>
                <c:pt idx="31">
                  <c:v>-1.3445250527522796</c:v>
                </c:pt>
                <c:pt idx="32">
                  <c:v>-2.0810004982667616</c:v>
                </c:pt>
                <c:pt idx="33">
                  <c:v>-2.3021176940605539</c:v>
                </c:pt>
                <c:pt idx="34">
                  <c:v>-1.2230327529130853</c:v>
                </c:pt>
                <c:pt idx="35">
                  <c:v>-1.5205494543401712</c:v>
                </c:pt>
                <c:pt idx="36">
                  <c:v>-1.08587326289068</c:v>
                </c:pt>
              </c:numCache>
            </c:numRef>
          </c:yVal>
          <c:smooth val="0"/>
        </c:ser>
        <c:ser>
          <c:idx val="1"/>
          <c:order val="1"/>
          <c:spPr>
            <a:ln w="19050">
              <a:solidFill>
                <a:schemeClr val="tx1"/>
              </a:solidFill>
              <a:prstDash val="sysDot"/>
            </a:ln>
          </c:spPr>
          <c:marker>
            <c:spPr>
              <a:solidFill>
                <a:schemeClr val="bg1"/>
              </a:solidFill>
            </c:spPr>
          </c:marker>
          <c:dPt>
            <c:idx val="0"/>
            <c:marker>
              <c:symbol val="none"/>
            </c:marker>
            <c:bubble3D val="0"/>
          </c:dPt>
          <c:dPt>
            <c:idx val="1"/>
            <c:marker>
              <c:symbol val="circle"/>
              <c:size val="6"/>
              <c:spPr>
                <a:solidFill>
                  <a:schemeClr val="bg1"/>
                </a:solidFill>
                <a:ln>
                  <a:solidFill>
                    <a:schemeClr val="tx1"/>
                  </a:solidFill>
                </a:ln>
              </c:spPr>
            </c:marker>
            <c:bubble3D val="0"/>
          </c:dPt>
          <c:dPt>
            <c:idx val="2"/>
            <c:marker>
              <c:symbol val="circle"/>
              <c:size val="5"/>
              <c:spPr>
                <a:solidFill>
                  <a:schemeClr val="bg1"/>
                </a:solidFill>
                <a:ln>
                  <a:solidFill>
                    <a:schemeClr val="tx1"/>
                  </a:solidFill>
                </a:ln>
              </c:spPr>
            </c:marker>
            <c:bubble3D val="0"/>
          </c:dPt>
          <c:dPt>
            <c:idx val="3"/>
            <c:marker>
              <c:symbol val="none"/>
            </c:marker>
            <c:bubble3D val="0"/>
          </c:dPt>
          <c:xVal>
            <c:numRef>
              <c:f>Survival!$Z$48:$Z$51</c:f>
              <c:numCache>
                <c:formatCode>0.000</c:formatCode>
                <c:ptCount val="4"/>
                <c:pt idx="0">
                  <c:v>5.6733232671714928</c:v>
                </c:pt>
                <c:pt idx="1">
                  <c:v>5.6733232671714928</c:v>
                </c:pt>
                <c:pt idx="2">
                  <c:v>5.6733232671714928</c:v>
                </c:pt>
                <c:pt idx="3" formatCode="General_)">
                  <c:v>5.65</c:v>
                </c:pt>
              </c:numCache>
            </c:numRef>
          </c:xVal>
          <c:yVal>
            <c:numRef>
              <c:f>Survival!$AD$48:$AD$51</c:f>
              <c:numCache>
                <c:formatCode>General_)</c:formatCode>
                <c:ptCount val="4"/>
                <c:pt idx="0">
                  <c:v>-3</c:v>
                </c:pt>
                <c:pt idx="1">
                  <c:v>-2.4610452958047517</c:v>
                </c:pt>
                <c:pt idx="2">
                  <c:v>-2.2163479074909986</c:v>
                </c:pt>
                <c:pt idx="3">
                  <c:v>-2.2163479074909986</c:v>
                </c:pt>
              </c:numCache>
            </c:numRef>
          </c:yVal>
          <c:smooth val="0"/>
        </c:ser>
        <c:ser>
          <c:idx val="4"/>
          <c:order val="2"/>
          <c:tx>
            <c:v>Linear</c:v>
          </c:tx>
          <c:spPr>
            <a:ln w="28575">
              <a:solidFill>
                <a:schemeClr val="tx1"/>
              </a:solidFill>
            </a:ln>
          </c:spPr>
          <c:marker>
            <c:symbol val="none"/>
          </c:marker>
          <c:xVal>
            <c:numRef>
              <c:f>Survival!$C$179:$C$215</c:f>
              <c:numCache>
                <c:formatCode>General_)</c:formatCode>
                <c:ptCount val="37"/>
                <c:pt idx="0">
                  <c:v>5.6783232671714927</c:v>
                </c:pt>
                <c:pt idx="1">
                  <c:v>5.6833232671714926</c:v>
                </c:pt>
                <c:pt idx="2">
                  <c:v>5.6883232671714925</c:v>
                </c:pt>
                <c:pt idx="3">
                  <c:v>5.6933232671714924</c:v>
                </c:pt>
                <c:pt idx="4">
                  <c:v>5.6983232671714923</c:v>
                </c:pt>
                <c:pt idx="5">
                  <c:v>5.7033232671714922</c:v>
                </c:pt>
                <c:pt idx="6">
                  <c:v>5.7083232671714921</c:v>
                </c:pt>
                <c:pt idx="7">
                  <c:v>5.713323267171492</c:v>
                </c:pt>
                <c:pt idx="8">
                  <c:v>5.7183232671714919</c:v>
                </c:pt>
                <c:pt idx="9">
                  <c:v>5.7233232671714918</c:v>
                </c:pt>
                <c:pt idx="10">
                  <c:v>5.7283232671714917</c:v>
                </c:pt>
                <c:pt idx="11">
                  <c:v>5.7333232671714915</c:v>
                </c:pt>
                <c:pt idx="12">
                  <c:v>5.7383232671714914</c:v>
                </c:pt>
                <c:pt idx="13">
                  <c:v>5.7433232671714913</c:v>
                </c:pt>
                <c:pt idx="14">
                  <c:v>5.7483232671714912</c:v>
                </c:pt>
                <c:pt idx="15">
                  <c:v>5.7533232671714911</c:v>
                </c:pt>
                <c:pt idx="16">
                  <c:v>5.758323267171491</c:v>
                </c:pt>
                <c:pt idx="17">
                  <c:v>5.7633232671714909</c:v>
                </c:pt>
                <c:pt idx="18">
                  <c:v>5.7683232671714908</c:v>
                </c:pt>
                <c:pt idx="19">
                  <c:v>5.7733232671714907</c:v>
                </c:pt>
                <c:pt idx="20">
                  <c:v>5.7783232671714906</c:v>
                </c:pt>
                <c:pt idx="21">
                  <c:v>5.7833232671714905</c:v>
                </c:pt>
                <c:pt idx="22">
                  <c:v>5.7883232671714904</c:v>
                </c:pt>
                <c:pt idx="23">
                  <c:v>5.7933232671714903</c:v>
                </c:pt>
                <c:pt idx="24">
                  <c:v>5.7983232671714902</c:v>
                </c:pt>
                <c:pt idx="25">
                  <c:v>5.8033232671714901</c:v>
                </c:pt>
                <c:pt idx="26">
                  <c:v>5.8083232671714899</c:v>
                </c:pt>
                <c:pt idx="27">
                  <c:v>5.8133232671714898</c:v>
                </c:pt>
                <c:pt idx="28">
                  <c:v>5.8183232671714897</c:v>
                </c:pt>
                <c:pt idx="29">
                  <c:v>5.8233232671714896</c:v>
                </c:pt>
                <c:pt idx="30">
                  <c:v>5.8283232671714895</c:v>
                </c:pt>
                <c:pt idx="31">
                  <c:v>5.8333232671714894</c:v>
                </c:pt>
                <c:pt idx="32">
                  <c:v>5.8383232671714893</c:v>
                </c:pt>
                <c:pt idx="33">
                  <c:v>5.8433232671714892</c:v>
                </c:pt>
                <c:pt idx="34">
                  <c:v>5.8483232671714891</c:v>
                </c:pt>
                <c:pt idx="35">
                  <c:v>5.853323267171489</c:v>
                </c:pt>
                <c:pt idx="36">
                  <c:v>5.8562173976999565</c:v>
                </c:pt>
              </c:numCache>
            </c:numRef>
          </c:xVal>
          <c:yVal>
            <c:numRef>
              <c:f>Survival!$G$179:$G$215</c:f>
              <c:numCache>
                <c:formatCode>General_)</c:formatCode>
                <c:ptCount val="37"/>
                <c:pt idx="0">
                  <c:v>-2.1858042444909955</c:v>
                </c:pt>
                <c:pt idx="1">
                  <c:v>-2.1552605814909995</c:v>
                </c:pt>
                <c:pt idx="2">
                  <c:v>-2.1247169184909964</c:v>
                </c:pt>
                <c:pt idx="3">
                  <c:v>-2.0941732554910004</c:v>
                </c:pt>
                <c:pt idx="4">
                  <c:v>-2.0636295924909973</c:v>
                </c:pt>
                <c:pt idx="5">
                  <c:v>-2.0330859294910013</c:v>
                </c:pt>
                <c:pt idx="6">
                  <c:v>-2.0025422664909982</c:v>
                </c:pt>
                <c:pt idx="7">
                  <c:v>-1.9719986034910022</c:v>
                </c:pt>
                <c:pt idx="8">
                  <c:v>-1.9414549404909991</c:v>
                </c:pt>
                <c:pt idx="9">
                  <c:v>-1.9109112774910031</c:v>
                </c:pt>
                <c:pt idx="10">
                  <c:v>-1.880367614491</c:v>
                </c:pt>
                <c:pt idx="11">
                  <c:v>-1.849823951491004</c:v>
                </c:pt>
                <c:pt idx="12">
                  <c:v>-1.8192802884910009</c:v>
                </c:pt>
                <c:pt idx="13">
                  <c:v>-1.7887366254910049</c:v>
                </c:pt>
                <c:pt idx="14">
                  <c:v>-1.7581929624910018</c:v>
                </c:pt>
                <c:pt idx="15">
                  <c:v>-1.7276492994910058</c:v>
                </c:pt>
                <c:pt idx="16">
                  <c:v>-1.6971056364910098</c:v>
                </c:pt>
                <c:pt idx="17">
                  <c:v>-1.6665619734910067</c:v>
                </c:pt>
                <c:pt idx="18">
                  <c:v>-1.6360183104910107</c:v>
                </c:pt>
                <c:pt idx="19">
                  <c:v>-1.6054746474910075</c:v>
                </c:pt>
                <c:pt idx="20">
                  <c:v>-1.5749309844910115</c:v>
                </c:pt>
                <c:pt idx="21">
                  <c:v>-1.5443873214910084</c:v>
                </c:pt>
                <c:pt idx="22">
                  <c:v>-1.5138436584910124</c:v>
                </c:pt>
                <c:pt idx="23">
                  <c:v>-1.4832999954910093</c:v>
                </c:pt>
                <c:pt idx="24">
                  <c:v>-1.4527563324910133</c:v>
                </c:pt>
                <c:pt idx="25">
                  <c:v>-1.4222126694910102</c:v>
                </c:pt>
                <c:pt idx="26">
                  <c:v>-1.3916690064910142</c:v>
                </c:pt>
                <c:pt idx="27">
                  <c:v>-1.3611253434910111</c:v>
                </c:pt>
                <c:pt idx="28">
                  <c:v>-1.3305816804910151</c:v>
                </c:pt>
                <c:pt idx="29">
                  <c:v>-1.300038017491012</c:v>
                </c:pt>
                <c:pt idx="30">
                  <c:v>-1.269494354491016</c:v>
                </c:pt>
                <c:pt idx="31">
                  <c:v>-1.2389506914910129</c:v>
                </c:pt>
                <c:pt idx="32">
                  <c:v>-1.2084070284910169</c:v>
                </c:pt>
                <c:pt idx="33">
                  <c:v>-1.1778633654910209</c:v>
                </c:pt>
                <c:pt idx="34">
                  <c:v>-1.1473197024910178</c:v>
                </c:pt>
                <c:pt idx="35">
                  <c:v>-1.1167760394910218</c:v>
                </c:pt>
                <c:pt idx="36">
                  <c:v>-1.0990965699831108</c:v>
                </c:pt>
              </c:numCache>
            </c:numRef>
          </c:yVal>
          <c:smooth val="0"/>
        </c:ser>
        <c:ser>
          <c:idx val="3"/>
          <c:order val="3"/>
          <c:tx>
            <c:v>Polynomial</c:v>
          </c:tx>
          <c:spPr>
            <a:ln w="28575">
              <a:solidFill>
                <a:srgbClr val="7272FA"/>
              </a:solidFill>
              <a:prstDash val="sysDash"/>
            </a:ln>
          </c:spPr>
          <c:marker>
            <c:symbol val="none"/>
          </c:marker>
          <c:dPt>
            <c:idx val="0"/>
            <c:marker/>
            <c:bubble3D val="0"/>
          </c:dPt>
          <c:xVal>
            <c:numRef>
              <c:f>Survival!$C$179:$C$215</c:f>
              <c:numCache>
                <c:formatCode>General_)</c:formatCode>
                <c:ptCount val="37"/>
                <c:pt idx="0">
                  <c:v>5.6783232671714927</c:v>
                </c:pt>
                <c:pt idx="1">
                  <c:v>5.6833232671714926</c:v>
                </c:pt>
                <c:pt idx="2">
                  <c:v>5.6883232671714925</c:v>
                </c:pt>
                <c:pt idx="3">
                  <c:v>5.6933232671714924</c:v>
                </c:pt>
                <c:pt idx="4">
                  <c:v>5.6983232671714923</c:v>
                </c:pt>
                <c:pt idx="5">
                  <c:v>5.7033232671714922</c:v>
                </c:pt>
                <c:pt idx="6">
                  <c:v>5.7083232671714921</c:v>
                </c:pt>
                <c:pt idx="7">
                  <c:v>5.713323267171492</c:v>
                </c:pt>
                <c:pt idx="8">
                  <c:v>5.7183232671714919</c:v>
                </c:pt>
                <c:pt idx="9">
                  <c:v>5.7233232671714918</c:v>
                </c:pt>
                <c:pt idx="10">
                  <c:v>5.7283232671714917</c:v>
                </c:pt>
                <c:pt idx="11">
                  <c:v>5.7333232671714915</c:v>
                </c:pt>
                <c:pt idx="12">
                  <c:v>5.7383232671714914</c:v>
                </c:pt>
                <c:pt idx="13">
                  <c:v>5.7433232671714913</c:v>
                </c:pt>
                <c:pt idx="14">
                  <c:v>5.7483232671714912</c:v>
                </c:pt>
                <c:pt idx="15">
                  <c:v>5.7533232671714911</c:v>
                </c:pt>
                <c:pt idx="16">
                  <c:v>5.758323267171491</c:v>
                </c:pt>
                <c:pt idx="17">
                  <c:v>5.7633232671714909</c:v>
                </c:pt>
                <c:pt idx="18">
                  <c:v>5.7683232671714908</c:v>
                </c:pt>
                <c:pt idx="19">
                  <c:v>5.7733232671714907</c:v>
                </c:pt>
                <c:pt idx="20">
                  <c:v>5.7783232671714906</c:v>
                </c:pt>
                <c:pt idx="21">
                  <c:v>5.7833232671714905</c:v>
                </c:pt>
                <c:pt idx="22">
                  <c:v>5.7883232671714904</c:v>
                </c:pt>
                <c:pt idx="23">
                  <c:v>5.7933232671714903</c:v>
                </c:pt>
                <c:pt idx="24">
                  <c:v>5.7983232671714902</c:v>
                </c:pt>
                <c:pt idx="25">
                  <c:v>5.8033232671714901</c:v>
                </c:pt>
                <c:pt idx="26">
                  <c:v>5.8083232671714899</c:v>
                </c:pt>
                <c:pt idx="27">
                  <c:v>5.8133232671714898</c:v>
                </c:pt>
                <c:pt idx="28">
                  <c:v>5.8183232671714897</c:v>
                </c:pt>
                <c:pt idx="29">
                  <c:v>5.8233232671714896</c:v>
                </c:pt>
                <c:pt idx="30">
                  <c:v>5.8283232671714895</c:v>
                </c:pt>
                <c:pt idx="31">
                  <c:v>5.8333232671714894</c:v>
                </c:pt>
                <c:pt idx="32">
                  <c:v>5.8383232671714893</c:v>
                </c:pt>
                <c:pt idx="33">
                  <c:v>5.8433232671714892</c:v>
                </c:pt>
                <c:pt idx="34">
                  <c:v>5.8483232671714891</c:v>
                </c:pt>
                <c:pt idx="35">
                  <c:v>5.853323267171489</c:v>
                </c:pt>
                <c:pt idx="36">
                  <c:v>5.8562173976999565</c:v>
                </c:pt>
              </c:numCache>
            </c:numRef>
          </c:xVal>
          <c:yVal>
            <c:numRef>
              <c:f>Survival!$F$179:$F$215</c:f>
              <c:numCache>
                <c:formatCode>General_)</c:formatCode>
                <c:ptCount val="37"/>
                <c:pt idx="0">
                  <c:v>-2.3983517288897929</c:v>
                </c:pt>
                <c:pt idx="1">
                  <c:v>-2.3374416403253235</c:v>
                </c:pt>
                <c:pt idx="2">
                  <c:v>-2.2783150301104342</c:v>
                </c:pt>
                <c:pt idx="3">
                  <c:v>-2.2209718982458071</c:v>
                </c:pt>
                <c:pt idx="4">
                  <c:v>-2.1654122447309874</c:v>
                </c:pt>
                <c:pt idx="5">
                  <c:v>-2.1116360695664298</c:v>
                </c:pt>
                <c:pt idx="6">
                  <c:v>-2.0596433727516796</c:v>
                </c:pt>
                <c:pt idx="7">
                  <c:v>-2.0094341542871916</c:v>
                </c:pt>
                <c:pt idx="8">
                  <c:v>-1.9610084141727384</c:v>
                </c:pt>
                <c:pt idx="9">
                  <c:v>-1.9143661524076379</c:v>
                </c:pt>
                <c:pt idx="10">
                  <c:v>-1.8695073689932542</c:v>
                </c:pt>
                <c:pt idx="11">
                  <c:v>-1.8264320639284506</c:v>
                </c:pt>
                <c:pt idx="12">
                  <c:v>-1.7851402372136818</c:v>
                </c:pt>
                <c:pt idx="13">
                  <c:v>-1.7456318888489477</c:v>
                </c:pt>
                <c:pt idx="14">
                  <c:v>-1.7079070188344758</c:v>
                </c:pt>
                <c:pt idx="15">
                  <c:v>-1.6719656271693566</c:v>
                </c:pt>
                <c:pt idx="16">
                  <c:v>-1.6378077138551816</c:v>
                </c:pt>
                <c:pt idx="17">
                  <c:v>-1.605433278890132</c:v>
                </c:pt>
                <c:pt idx="18">
                  <c:v>-1.5748423222755719</c:v>
                </c:pt>
                <c:pt idx="19">
                  <c:v>-1.5460348440108191</c:v>
                </c:pt>
                <c:pt idx="20">
                  <c:v>-1.5190108440963286</c:v>
                </c:pt>
                <c:pt idx="21">
                  <c:v>-1.4937703225314181</c:v>
                </c:pt>
                <c:pt idx="22">
                  <c:v>-1.4703132793167697</c:v>
                </c:pt>
                <c:pt idx="23">
                  <c:v>-1.4486397144519287</c:v>
                </c:pt>
                <c:pt idx="24">
                  <c:v>-1.4287496279375773</c:v>
                </c:pt>
                <c:pt idx="25">
                  <c:v>-1.4106430197732607</c:v>
                </c:pt>
                <c:pt idx="26">
                  <c:v>-1.3943198899582967</c:v>
                </c:pt>
                <c:pt idx="27">
                  <c:v>-1.3797802384938223</c:v>
                </c:pt>
                <c:pt idx="28">
                  <c:v>-1.3670240653789278</c:v>
                </c:pt>
                <c:pt idx="29">
                  <c:v>-1.3560513706142956</c:v>
                </c:pt>
                <c:pt idx="30">
                  <c:v>-1.3468621541994708</c:v>
                </c:pt>
                <c:pt idx="31">
                  <c:v>-1.3394564161349081</c:v>
                </c:pt>
                <c:pt idx="32">
                  <c:v>-1.3338341564199254</c:v>
                </c:pt>
                <c:pt idx="33">
                  <c:v>-1.3299953750556597</c:v>
                </c:pt>
                <c:pt idx="34">
                  <c:v>-1.3279400720407466</c:v>
                </c:pt>
                <c:pt idx="35">
                  <c:v>-1.3276682473760957</c:v>
                </c:pt>
                <c:pt idx="36">
                  <c:v>-1.3283258380683947</c:v>
                </c:pt>
              </c:numCache>
            </c:numRef>
          </c:yVal>
          <c:smooth val="0"/>
        </c:ser>
        <c:ser>
          <c:idx val="2"/>
          <c:order val="4"/>
          <c:tx>
            <c:v>LOESS Trend</c:v>
          </c:tx>
          <c:spPr>
            <a:ln w="28575">
              <a:solidFill>
                <a:srgbClr val="FF0000"/>
              </a:solidFill>
              <a:prstDash val="sysDash"/>
            </a:ln>
          </c:spPr>
          <c:marker>
            <c:symbol val="none"/>
          </c:marker>
          <c:xVal>
            <c:numRef>
              <c:f>Survival!$C$142:$C$175</c:f>
              <c:numCache>
                <c:formatCode>General_)</c:formatCode>
                <c:ptCount val="34"/>
                <c:pt idx="0">
                  <c:v>5.6845212392425237</c:v>
                </c:pt>
                <c:pt idx="1">
                  <c:v>5.7000500275375154</c:v>
                </c:pt>
                <c:pt idx="2">
                  <c:v>5.7040925041114825</c:v>
                </c:pt>
                <c:pt idx="3">
                  <c:v>5.7093226550318166</c:v>
                </c:pt>
                <c:pt idx="4">
                  <c:v>5.7129193499533519</c:v>
                </c:pt>
                <c:pt idx="5">
                  <c:v>5.7138506674931229</c:v>
                </c:pt>
                <c:pt idx="6">
                  <c:v>5.7153031575908715</c:v>
                </c:pt>
                <c:pt idx="7">
                  <c:v>5.7181235919268589</c:v>
                </c:pt>
                <c:pt idx="8">
                  <c:v>5.7259976483577644</c:v>
                </c:pt>
                <c:pt idx="9">
                  <c:v>5.7356589163835716</c:v>
                </c:pt>
                <c:pt idx="10">
                  <c:v>5.7358436241528263</c:v>
                </c:pt>
                <c:pt idx="11">
                  <c:v>5.7404357923042362</c:v>
                </c:pt>
                <c:pt idx="12">
                  <c:v>5.7406499938687272</c:v>
                </c:pt>
                <c:pt idx="13">
                  <c:v>5.7409053280902533</c:v>
                </c:pt>
                <c:pt idx="14">
                  <c:v>5.7487041620477131</c:v>
                </c:pt>
                <c:pt idx="15">
                  <c:v>5.7582836766211472</c:v>
                </c:pt>
                <c:pt idx="16">
                  <c:v>5.7613940749016823</c:v>
                </c:pt>
                <c:pt idx="17">
                  <c:v>5.762519625873785</c:v>
                </c:pt>
                <c:pt idx="18">
                  <c:v>5.7650029973198258</c:v>
                </c:pt>
                <c:pt idx="19">
                  <c:v>5.7676958003998537</c:v>
                </c:pt>
                <c:pt idx="20">
                  <c:v>5.7759874289750677</c:v>
                </c:pt>
                <c:pt idx="21">
                  <c:v>5.7794079563283649</c:v>
                </c:pt>
                <c:pt idx="22">
                  <c:v>5.7802428899996459</c:v>
                </c:pt>
                <c:pt idx="23">
                  <c:v>5.7821314410671771</c:v>
                </c:pt>
                <c:pt idx="24">
                  <c:v>5.7842921062708186</c:v>
                </c:pt>
                <c:pt idx="25">
                  <c:v>5.7852984555040123</c:v>
                </c:pt>
                <c:pt idx="26">
                  <c:v>5.7901640237162244</c:v>
                </c:pt>
                <c:pt idx="27">
                  <c:v>5.7944300202889716</c:v>
                </c:pt>
                <c:pt idx="28">
                  <c:v>5.8038939440253587</c:v>
                </c:pt>
                <c:pt idx="29">
                  <c:v>5.8051349689164882</c:v>
                </c:pt>
                <c:pt idx="30">
                  <c:v>5.8065508177463192</c:v>
                </c:pt>
                <c:pt idx="31">
                  <c:v>5.8135333386153203</c:v>
                </c:pt>
                <c:pt idx="32">
                  <c:v>5.846484649773882</c:v>
                </c:pt>
                <c:pt idx="33">
                  <c:v>5.8562173976999565</c:v>
                </c:pt>
              </c:numCache>
            </c:numRef>
          </c:xVal>
          <c:yVal>
            <c:numRef>
              <c:f>Survival!$E$142:$E$175</c:f>
              <c:numCache>
                <c:formatCode>General_)</c:formatCode>
                <c:ptCount val="34"/>
                <c:pt idx="0">
                  <c:v>-2.3156757247161739</c:v>
                </c:pt>
                <c:pt idx="1">
                  <c:v>-2.1407351537731749</c:v>
                </c:pt>
                <c:pt idx="2">
                  <c:v>-2.0971738874158738</c:v>
                </c:pt>
                <c:pt idx="3">
                  <c:v>-2.0422046117641663</c:v>
                </c:pt>
                <c:pt idx="4">
                  <c:v>-2.0053360277242787</c:v>
                </c:pt>
                <c:pt idx="5">
                  <c:v>-1.99609706952612</c:v>
                </c:pt>
                <c:pt idx="6">
                  <c:v>-1.9823561969743098</c:v>
                </c:pt>
                <c:pt idx="7">
                  <c:v>-1.9694422500031208</c:v>
                </c:pt>
                <c:pt idx="8">
                  <c:v>-1.94200285561547</c:v>
                </c:pt>
                <c:pt idx="9">
                  <c:v>-1.9040124235875</c:v>
                </c:pt>
                <c:pt idx="10">
                  <c:v>-1.9029757037378485</c:v>
                </c:pt>
                <c:pt idx="11">
                  <c:v>-1.8630781711163609</c:v>
                </c:pt>
                <c:pt idx="12">
                  <c:v>-1.8624122752422161</c:v>
                </c:pt>
                <c:pt idx="13">
                  <c:v>-1.8594961935167607</c:v>
                </c:pt>
                <c:pt idx="14">
                  <c:v>-1.73768454607595</c:v>
                </c:pt>
                <c:pt idx="15">
                  <c:v>-1.5501262286047888</c:v>
                </c:pt>
                <c:pt idx="16">
                  <c:v>-1.4799415749314684</c:v>
                </c:pt>
                <c:pt idx="17">
                  <c:v>-1.4536694181102368</c:v>
                </c:pt>
                <c:pt idx="18">
                  <c:v>-1.4431126213645011</c:v>
                </c:pt>
                <c:pt idx="19">
                  <c:v>-1.445217533532462</c:v>
                </c:pt>
                <c:pt idx="20">
                  <c:v>-1.4493147385140928</c:v>
                </c:pt>
                <c:pt idx="21">
                  <c:v>-1.4490373924897939</c:v>
                </c:pt>
                <c:pt idx="22">
                  <c:v>-1.4487470692948206</c:v>
                </c:pt>
                <c:pt idx="23">
                  <c:v>-1.4457691062129481</c:v>
                </c:pt>
                <c:pt idx="24">
                  <c:v>-1.4416626425649661</c:v>
                </c:pt>
                <c:pt idx="25">
                  <c:v>-1.4410257613803441</c:v>
                </c:pt>
                <c:pt idx="26">
                  <c:v>-1.4591281666226719</c:v>
                </c:pt>
                <c:pt idx="27">
                  <c:v>-1.4905844472448027</c:v>
                </c:pt>
                <c:pt idx="28">
                  <c:v>-1.5554448866208355</c:v>
                </c:pt>
                <c:pt idx="29">
                  <c:v>-1.5634937465902057</c:v>
                </c:pt>
                <c:pt idx="30">
                  <c:v>-1.5728348464056963</c:v>
                </c:pt>
                <c:pt idx="31">
                  <c:v>-1.5593010759493584</c:v>
                </c:pt>
                <c:pt idx="32">
                  <c:v>-1.3141049841529988</c:v>
                </c:pt>
                <c:pt idx="33">
                  <c:v>-1.2575235276839374</c:v>
                </c:pt>
              </c:numCache>
            </c:numRef>
          </c:yVal>
          <c:smooth val="0"/>
        </c:ser>
        <c:dLbls>
          <c:showLegendKey val="0"/>
          <c:showVal val="0"/>
          <c:showCatName val="0"/>
          <c:showSerName val="0"/>
          <c:showPercent val="0"/>
          <c:showBubbleSize val="0"/>
        </c:dLbls>
        <c:axId val="132719360"/>
        <c:axId val="132721280"/>
      </c:scatterChart>
      <c:valAx>
        <c:axId val="132719360"/>
        <c:scaling>
          <c:orientation val="minMax"/>
          <c:max val="5.8599999999999994"/>
          <c:min val="5.6499999999999995"/>
        </c:scaling>
        <c:delete val="0"/>
        <c:axPos val="b"/>
        <c:title>
          <c:tx>
            <c:rich>
              <a:bodyPr/>
              <a:lstStyle/>
              <a:p>
                <a:pPr>
                  <a:defRPr sz="1300" b="0" i="0" u="none" strike="noStrike" baseline="0">
                    <a:solidFill>
                      <a:srgbClr val="000000"/>
                    </a:solidFill>
                    <a:latin typeface="Arial"/>
                    <a:ea typeface="Arial"/>
                    <a:cs typeface="Arial"/>
                  </a:defRPr>
                </a:pPr>
                <a:r>
                  <a:rPr lang="en-US"/>
                  <a:t>Log (Jack Length)</a:t>
                </a:r>
              </a:p>
            </c:rich>
          </c:tx>
          <c:layout>
            <c:manualLayout>
              <c:xMode val="edge"/>
              <c:yMode val="edge"/>
              <c:x val="0.3694016387932777"/>
              <c:y val="0.94105516858469618"/>
            </c:manualLayout>
          </c:layout>
          <c:overlay val="0"/>
        </c:title>
        <c:numFmt formatCode="0.0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32721280"/>
        <c:crossesAt val="-3"/>
        <c:crossBetween val="midCat"/>
        <c:majorUnit val="5.000000000000001E-2"/>
      </c:valAx>
      <c:valAx>
        <c:axId val="132721280"/>
        <c:scaling>
          <c:orientation val="minMax"/>
          <c:max val="-1"/>
          <c:min val="-2.8"/>
        </c:scaling>
        <c:delete val="0"/>
        <c:axPos val="l"/>
        <c:title>
          <c:tx>
            <c:rich>
              <a:bodyPr/>
              <a:lstStyle/>
              <a:p>
                <a:pPr>
                  <a:defRPr sz="1300" b="0" i="0" u="none" strike="noStrike" baseline="0">
                    <a:solidFill>
                      <a:srgbClr val="000000"/>
                    </a:solidFill>
                    <a:latin typeface="Arial"/>
                    <a:ea typeface="Arial"/>
                    <a:cs typeface="Arial"/>
                  </a:defRPr>
                </a:pPr>
                <a:r>
                  <a:rPr lang="en-US" sz="1300"/>
                  <a:t> Log (Proportion Jacks)</a:t>
                </a:r>
              </a:p>
            </c:rich>
          </c:tx>
          <c:layout>
            <c:manualLayout>
              <c:xMode val="edge"/>
              <c:yMode val="edge"/>
              <c:x val="1.0686573956740171E-2"/>
              <c:y val="0.24974560872198667"/>
            </c:manualLayout>
          </c:layout>
          <c:overlay val="0"/>
        </c:title>
        <c:numFmt formatCode="#,##0.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32719360"/>
        <c:crosses val="autoZero"/>
        <c:crossBetween val="midCat"/>
      </c:valAx>
    </c:plotArea>
    <c:legend>
      <c:legendPos val="r"/>
      <c:legendEntry>
        <c:idx val="0"/>
        <c:delete val="1"/>
      </c:legendEntry>
      <c:legendEntry>
        <c:idx val="1"/>
        <c:delete val="1"/>
      </c:legendEntry>
      <c:layout>
        <c:manualLayout>
          <c:xMode val="edge"/>
          <c:yMode val="edge"/>
          <c:x val="0.60948112130676491"/>
          <c:y val="0.64796677735518138"/>
          <c:w val="0.34066918390544937"/>
          <c:h val="0.35203322264481857"/>
        </c:manualLayout>
      </c:layout>
      <c:overlay val="0"/>
      <c:txPr>
        <a:bodyPr/>
        <a:lstStyle/>
        <a:p>
          <a:pPr>
            <a:defRPr sz="1200"/>
          </a:pPr>
          <a:endParaRPr lang="en-US"/>
        </a:p>
      </c:txPr>
    </c:legend>
    <c:plotVisOnly val="1"/>
    <c:dispBlanksAs val="gap"/>
    <c:showDLblsOverMax val="0"/>
  </c:chart>
  <c:spPr>
    <a:ln>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233" l="0.70000000000000062" r="0.70000000000000062" t="0.75000000000000233"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panose="020B0604020202020204" pitchFamily="34" charset="0"/>
                <a:ea typeface="Calibri"/>
                <a:cs typeface="Arial" panose="020B0604020202020204" pitchFamily="34" charset="0"/>
              </a:defRPr>
            </a:pPr>
            <a:r>
              <a:rPr lang="en-US" sz="1400" baseline="0">
                <a:latin typeface="Arial" panose="020B0604020202020204" pitchFamily="34" charset="0"/>
                <a:cs typeface="Arial" panose="020B0604020202020204" pitchFamily="34" charset="0"/>
              </a:rPr>
              <a:t>Jacks vs Adults</a:t>
            </a:r>
          </a:p>
        </c:rich>
      </c:tx>
      <c:layout>
        <c:manualLayout>
          <c:xMode val="edge"/>
          <c:yMode val="edge"/>
          <c:x val="0.37036099451142634"/>
          <c:y val="1.6920300827781141E-2"/>
        </c:manualLayout>
      </c:layout>
      <c:overlay val="0"/>
    </c:title>
    <c:autoTitleDeleted val="0"/>
    <c:plotArea>
      <c:layout>
        <c:manualLayout>
          <c:layoutTarget val="inner"/>
          <c:xMode val="edge"/>
          <c:yMode val="edge"/>
          <c:x val="0.15829883680647303"/>
          <c:y val="5.7922461184889203E-2"/>
          <c:w val="0.77273325394189329"/>
          <c:h val="0.81894886937209777"/>
        </c:manualLayout>
      </c:layout>
      <c:scatterChart>
        <c:scatterStyle val="lineMarker"/>
        <c:varyColors val="0"/>
        <c:ser>
          <c:idx val="0"/>
          <c:order val="0"/>
          <c:tx>
            <c:v>1979-1997</c:v>
          </c:tx>
          <c:spPr>
            <a:ln w="28575">
              <a:noFill/>
            </a:ln>
          </c:spPr>
          <c:marker>
            <c:symbol val="circle"/>
            <c:size val="7"/>
            <c:spPr>
              <a:solidFill>
                <a:schemeClr val="tx1"/>
              </a:solidFill>
              <a:ln>
                <a:solidFill>
                  <a:sysClr val="windowText" lastClr="000000"/>
                </a:solidFill>
              </a:ln>
            </c:spPr>
          </c:marker>
          <c:dPt>
            <c:idx val="26"/>
            <c:bubble3D val="0"/>
          </c:dPt>
          <c:dPt>
            <c:idx val="35"/>
            <c:bubble3D val="0"/>
          </c:dPt>
          <c:xVal>
            <c:numRef>
              <c:f>Survival!$S$7:$S$43</c:f>
              <c:numCache>
                <c:formatCode>0.0</c:formatCode>
                <c:ptCount val="37"/>
                <c:pt idx="0">
                  <c:v>2.7440731752846741</c:v>
                </c:pt>
                <c:pt idx="1">
                  <c:v>3.3156308310607145</c:v>
                </c:pt>
                <c:pt idx="2">
                  <c:v>4.9350270112425179</c:v>
                </c:pt>
                <c:pt idx="3">
                  <c:v>3.7820605709317485</c:v>
                </c:pt>
                <c:pt idx="4">
                  <c:v>4.6066101199181047</c:v>
                </c:pt>
                <c:pt idx="5">
                  <c:v>2.0847573479152426</c:v>
                </c:pt>
                <c:pt idx="6">
                  <c:v>4.5575930211856868</c:v>
                </c:pt>
                <c:pt idx="7">
                  <c:v>2.9369831765041345</c:v>
                </c:pt>
                <c:pt idx="8">
                  <c:v>5.6733897202342227</c:v>
                </c:pt>
                <c:pt idx="9">
                  <c:v>5.4913707031807162</c:v>
                </c:pt>
                <c:pt idx="10">
                  <c:v>3.2119914346895073</c:v>
                </c:pt>
                <c:pt idx="11">
                  <c:v>5.5711775043936731</c:v>
                </c:pt>
                <c:pt idx="12">
                  <c:v>4.1085506367495448</c:v>
                </c:pt>
                <c:pt idx="13">
                  <c:v>10.523881114837517</c:v>
                </c:pt>
                <c:pt idx="14">
                  <c:v>3.0553702468312207</c:v>
                </c:pt>
                <c:pt idx="15">
                  <c:v>5.7944307944307942</c:v>
                </c:pt>
                <c:pt idx="16">
                  <c:v>4.2704626334519578</c:v>
                </c:pt>
                <c:pt idx="17">
                  <c:v>6.2346588119783997</c:v>
                </c:pt>
                <c:pt idx="18">
                  <c:v>6.0512129380053912</c:v>
                </c:pt>
                <c:pt idx="19">
                  <c:v>2.8473151156124596</c:v>
                </c:pt>
                <c:pt idx="20">
                  <c:v>4.1457033608371905</c:v>
                </c:pt>
                <c:pt idx="21">
                  <c:v>2.3745819397993309</c:v>
                </c:pt>
                <c:pt idx="22">
                  <c:v>2.8761061946902653</c:v>
                </c:pt>
                <c:pt idx="23">
                  <c:v>6.6035182679296351</c:v>
                </c:pt>
                <c:pt idx="24">
                  <c:v>4.9681248626071666</c:v>
                </c:pt>
                <c:pt idx="25">
                  <c:v>5.9715418707721017</c:v>
                </c:pt>
                <c:pt idx="26">
                  <c:v>5.0055370985603549</c:v>
                </c:pt>
                <c:pt idx="27">
                  <c:v>2.6153466567974339</c:v>
                </c:pt>
                <c:pt idx="28">
                  <c:v>2.8833551769331587</c:v>
                </c:pt>
                <c:pt idx="29">
                  <c:v>3.2354831797728729</c:v>
                </c:pt>
                <c:pt idx="30">
                  <c:v>6.9221873451181235</c:v>
                </c:pt>
                <c:pt idx="31">
                  <c:v>3.6388270589373848</c:v>
                </c:pt>
                <c:pt idx="32">
                  <c:v>2.9627217971675077</c:v>
                </c:pt>
                <c:pt idx="33">
                  <c:v>2.2350980717464641</c:v>
                </c:pt>
                <c:pt idx="34">
                  <c:v>4.988779561539789</c:v>
                </c:pt>
                <c:pt idx="35">
                  <c:v>1.1374259894047989</c:v>
                </c:pt>
                <c:pt idx="36">
                  <c:v>2.5429184549356223</c:v>
                </c:pt>
              </c:numCache>
            </c:numRef>
          </c:xVal>
          <c:yVal>
            <c:numRef>
              <c:f>Survival!$P$7:$P$43</c:f>
              <c:numCache>
                <c:formatCode>0.0</c:formatCode>
                <c:ptCount val="37"/>
                <c:pt idx="0">
                  <c:v>9.1096535514581731</c:v>
                </c:pt>
                <c:pt idx="1">
                  <c:v>10.606807212792543</c:v>
                </c:pt>
                <c:pt idx="2">
                  <c:v>18.089417377825391</c:v>
                </c:pt>
                <c:pt idx="3">
                  <c:v>15.866221555976182</c:v>
                </c:pt>
                <c:pt idx="4">
                  <c:v>24.612523540600517</c:v>
                </c:pt>
                <c:pt idx="5">
                  <c:v>16.643368636371434</c:v>
                </c:pt>
                <c:pt idx="6">
                  <c:v>20.988338632942511</c:v>
                </c:pt>
                <c:pt idx="7">
                  <c:v>17.123668562470819</c:v>
                </c:pt>
                <c:pt idx="8">
                  <c:v>14.391111506989196</c:v>
                </c:pt>
                <c:pt idx="9">
                  <c:v>21.138611022357672</c:v>
                </c:pt>
                <c:pt idx="10">
                  <c:v>22.952499056451177</c:v>
                </c:pt>
                <c:pt idx="11">
                  <c:v>32.953940906252633</c:v>
                </c:pt>
                <c:pt idx="12">
                  <c:v>24.091164391156344</c:v>
                </c:pt>
                <c:pt idx="13">
                  <c:v>35.330517598883262</c:v>
                </c:pt>
                <c:pt idx="14">
                  <c:v>10.940622714295472</c:v>
                </c:pt>
                <c:pt idx="15">
                  <c:v>23.363972813135174</c:v>
                </c:pt>
                <c:pt idx="16">
                  <c:v>19.241649270166956</c:v>
                </c:pt>
                <c:pt idx="17">
                  <c:v>23.120417170785039</c:v>
                </c:pt>
                <c:pt idx="18">
                  <c:v>19.33932517444871</c:v>
                </c:pt>
                <c:pt idx="19">
                  <c:v>18.517766497461928</c:v>
                </c:pt>
                <c:pt idx="20">
                  <c:v>28.297570627658363</c:v>
                </c:pt>
                <c:pt idx="21">
                  <c:v>26.75487603618517</c:v>
                </c:pt>
                <c:pt idx="22">
                  <c:v>25.000564615203018</c:v>
                </c:pt>
                <c:pt idx="23">
                  <c:v>20.242688222966915</c:v>
                </c:pt>
                <c:pt idx="24">
                  <c:v>15.981534403165531</c:v>
                </c:pt>
                <c:pt idx="25">
                  <c:v>20.5271751807791</c:v>
                </c:pt>
                <c:pt idx="26">
                  <c:v>11.871539313399779</c:v>
                </c:pt>
                <c:pt idx="27">
                  <c:v>24.105600789538613</c:v>
                </c:pt>
                <c:pt idx="28">
                  <c:v>15.543905635648755</c:v>
                </c:pt>
                <c:pt idx="29">
                  <c:v>16.434540389972145</c:v>
                </c:pt>
                <c:pt idx="30">
                  <c:v>13.117462415331241</c:v>
                </c:pt>
                <c:pt idx="31">
                  <c:v>10.321038207913109</c:v>
                </c:pt>
                <c:pt idx="32">
                  <c:v>20.776031434184674</c:v>
                </c:pt>
                <c:pt idx="33">
                  <c:v>20.10543826220534</c:v>
                </c:pt>
                <c:pt idx="34">
                  <c:v>11.960478419136765</c:v>
                </c:pt>
                <c:pt idx="35">
                  <c:v>4.0660000366615954</c:v>
                </c:pt>
                <c:pt idx="36">
                  <c:v>4.989270386266095</c:v>
                </c:pt>
              </c:numCache>
            </c:numRef>
          </c:yVal>
          <c:smooth val="0"/>
        </c:ser>
        <c:ser>
          <c:idx val="1"/>
          <c:order val="1"/>
          <c:spPr>
            <a:ln w="19050">
              <a:solidFill>
                <a:schemeClr val="tx1"/>
              </a:solidFill>
              <a:prstDash val="sysDot"/>
            </a:ln>
          </c:spPr>
          <c:marker>
            <c:symbol val="circle"/>
            <c:size val="7"/>
            <c:spPr>
              <a:solidFill>
                <a:srgbClr val="FF0000"/>
              </a:solidFill>
            </c:spPr>
          </c:marker>
          <c:dPt>
            <c:idx val="0"/>
            <c:marker>
              <c:symbol val="none"/>
            </c:marker>
            <c:bubble3D val="0"/>
          </c:dPt>
          <c:dPt>
            <c:idx val="1"/>
            <c:marker>
              <c:symbol val="none"/>
            </c:marker>
            <c:bubble3D val="0"/>
          </c:dPt>
          <c:xVal>
            <c:numRef>
              <c:f>Survival!$X$53:$X$54</c:f>
              <c:numCache>
                <c:formatCode>0.0</c:formatCode>
                <c:ptCount val="2"/>
                <c:pt idx="0">
                  <c:v>0.45476304451890859</c:v>
                </c:pt>
                <c:pt idx="1">
                  <c:v>0.45476304451890859</c:v>
                </c:pt>
              </c:numCache>
            </c:numRef>
          </c:xVal>
          <c:yVal>
            <c:numRef>
              <c:f>Survival!$Y$53:$Y$54</c:f>
              <c:numCache>
                <c:formatCode>General_)</c:formatCode>
                <c:ptCount val="2"/>
                <c:pt idx="0">
                  <c:v>0</c:v>
                </c:pt>
                <c:pt idx="1">
                  <c:v>35</c:v>
                </c:pt>
              </c:numCache>
            </c:numRef>
          </c:yVal>
          <c:smooth val="0"/>
        </c:ser>
        <c:dLbls>
          <c:showLegendKey val="0"/>
          <c:showVal val="0"/>
          <c:showCatName val="0"/>
          <c:showSerName val="0"/>
          <c:showPercent val="0"/>
          <c:showBubbleSize val="0"/>
        </c:dLbls>
        <c:axId val="132773376"/>
        <c:axId val="172167168"/>
      </c:scatterChart>
      <c:valAx>
        <c:axId val="132773376"/>
        <c:scaling>
          <c:orientation val="minMax"/>
          <c:max val="11"/>
          <c:min val="0"/>
        </c:scaling>
        <c:delete val="0"/>
        <c:axPos val="b"/>
        <c:title>
          <c:tx>
            <c:rich>
              <a:bodyPr/>
              <a:lstStyle/>
              <a:p>
                <a:pPr>
                  <a:defRPr sz="1300" b="0" i="0" u="none" strike="noStrike" baseline="0">
                    <a:solidFill>
                      <a:srgbClr val="000000"/>
                    </a:solidFill>
                    <a:latin typeface="Arial"/>
                    <a:ea typeface="Arial"/>
                    <a:cs typeface="Arial"/>
                  </a:defRPr>
                </a:pPr>
                <a:r>
                  <a:rPr lang="en-US"/>
                  <a:t>Percent Returning as 0-Ocean Jacks</a:t>
                </a:r>
              </a:p>
            </c:rich>
          </c:tx>
          <c:layout>
            <c:manualLayout>
              <c:xMode val="edge"/>
              <c:yMode val="edge"/>
              <c:x val="0.21357833535105811"/>
              <c:y val="0.94268677865076533"/>
            </c:manualLayout>
          </c:layout>
          <c:overlay val="0"/>
        </c:title>
        <c:numFmt formatCode="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72167168"/>
        <c:crosses val="autoZero"/>
        <c:crossBetween val="midCat"/>
        <c:majorUnit val="2"/>
      </c:valAx>
      <c:valAx>
        <c:axId val="172167168"/>
        <c:scaling>
          <c:orientation val="minMax"/>
          <c:max val="40"/>
          <c:min val="0"/>
        </c:scaling>
        <c:delete val="0"/>
        <c:axPos val="l"/>
        <c:title>
          <c:tx>
            <c:rich>
              <a:bodyPr/>
              <a:lstStyle/>
              <a:p>
                <a:pPr>
                  <a:defRPr sz="1300" b="0" i="0" u="none" strike="noStrike" baseline="0">
                    <a:solidFill>
                      <a:srgbClr val="000000"/>
                    </a:solidFill>
                    <a:latin typeface="Arial"/>
                    <a:ea typeface="Arial"/>
                    <a:cs typeface="Arial"/>
                  </a:defRPr>
                </a:pPr>
                <a:r>
                  <a:rPr lang="en-US" sz="1300"/>
                  <a:t>Percent Returning as 1-Ocean Adults</a:t>
                </a:r>
              </a:p>
            </c:rich>
          </c:tx>
          <c:layout>
            <c:manualLayout>
              <c:xMode val="edge"/>
              <c:yMode val="edge"/>
              <c:x val="1.4673865858354031E-2"/>
              <c:y val="0.11280814657783161"/>
            </c:manualLayout>
          </c:layout>
          <c:overlay val="0"/>
        </c:title>
        <c:numFmt formatCode="0" sourceLinked="0"/>
        <c:majorTickMark val="out"/>
        <c:minorTickMark val="none"/>
        <c:tickLblPos val="nextTo"/>
        <c:spPr>
          <a:ln w="15875">
            <a:solidFill>
              <a:schemeClr val="tx1"/>
            </a:solidFill>
          </a:ln>
        </c:spPr>
        <c:txPr>
          <a:bodyPr rot="0" vert="horz"/>
          <a:lstStyle/>
          <a:p>
            <a:pPr>
              <a:defRPr sz="1200" b="0" i="0" u="none" strike="noStrike" baseline="0">
                <a:solidFill>
                  <a:srgbClr val="000000"/>
                </a:solidFill>
                <a:latin typeface="Arial"/>
                <a:ea typeface="Arial"/>
                <a:cs typeface="Arial"/>
              </a:defRPr>
            </a:pPr>
            <a:endParaRPr lang="en-US"/>
          </a:p>
        </c:txPr>
        <c:crossAx val="132773376"/>
        <c:crosses val="autoZero"/>
        <c:crossBetween val="midCat"/>
      </c:valAx>
    </c:plotArea>
    <c:plotVisOnly val="1"/>
    <c:dispBlanksAs val="gap"/>
    <c:showDLblsOverMax val="0"/>
  </c:chart>
  <c:spPr>
    <a:ln>
      <a:noFill/>
    </a:ln>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144" l="0.70000000000000062" r="0.70000000000000062" t="0.75000000000000144"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87086159159061"/>
          <c:y val="5.5647953096772E-2"/>
          <c:w val="0.84703837997826092"/>
          <c:h val="0.76114749292702044"/>
        </c:manualLayout>
      </c:layout>
      <c:lineChart>
        <c:grouping val="standard"/>
        <c:varyColors val="0"/>
        <c:ser>
          <c:idx val="0"/>
          <c:order val="0"/>
          <c:tx>
            <c:v>Annual Smolt Production</c:v>
          </c:tx>
          <c:spPr>
            <a:ln>
              <a:solidFill>
                <a:schemeClr val="tx1"/>
              </a:solidFill>
              <a:prstDash val="sysDash"/>
            </a:ln>
          </c:spPr>
          <c:marker>
            <c:symbol val="none"/>
          </c:marker>
          <c:cat>
            <c:numRef>
              <c:f>'Master smolts'!$Y$7:$Y$45</c:f>
              <c:numCache>
                <c:formatCode>General</c:formatCode>
                <c:ptCount val="39"/>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numCache>
            </c:numRef>
          </c:cat>
          <c:val>
            <c:numRef>
              <c:f>'Master smolts'!$Z$7:$Z$45</c:f>
              <c:numCache>
                <c:formatCode>_(* #,##0_);_(* \(#,##0\);_(* "-"??_);_(@_)</c:formatCode>
                <c:ptCount val="39"/>
                <c:pt idx="0">
                  <c:v>8789</c:v>
                </c:pt>
                <c:pt idx="1">
                  <c:v>10714</c:v>
                </c:pt>
                <c:pt idx="2">
                  <c:v>6967</c:v>
                </c:pt>
                <c:pt idx="3">
                  <c:v>6849</c:v>
                </c:pt>
                <c:pt idx="4">
                  <c:v>6901</c:v>
                </c:pt>
                <c:pt idx="5">
                  <c:v>6838</c:v>
                </c:pt>
                <c:pt idx="6">
                  <c:v>5852</c:v>
                </c:pt>
                <c:pt idx="7">
                  <c:v>5617</c:v>
                </c:pt>
                <c:pt idx="8">
                  <c:v>7014</c:v>
                </c:pt>
                <c:pt idx="9">
                  <c:v>7685</c:v>
                </c:pt>
                <c:pt idx="10">
                  <c:v>7011</c:v>
                </c:pt>
                <c:pt idx="11">
                  <c:v>5137</c:v>
                </c:pt>
                <c:pt idx="12">
                  <c:v>5690</c:v>
                </c:pt>
                <c:pt idx="13">
                  <c:v>6596</c:v>
                </c:pt>
                <c:pt idx="14">
                  <c:v>8647</c:v>
                </c:pt>
                <c:pt idx="15">
                  <c:v>7495</c:v>
                </c:pt>
                <c:pt idx="16">
                  <c:v>4884</c:v>
                </c:pt>
                <c:pt idx="17">
                  <c:v>3934</c:v>
                </c:pt>
                <c:pt idx="18">
                  <c:v>6111</c:v>
                </c:pt>
                <c:pt idx="19">
                  <c:v>7420</c:v>
                </c:pt>
                <c:pt idx="20">
                  <c:v>5233</c:v>
                </c:pt>
                <c:pt idx="21">
                  <c:v>4969</c:v>
                </c:pt>
                <c:pt idx="22">
                  <c:v>5980</c:v>
                </c:pt>
                <c:pt idx="23">
                  <c:v>3616</c:v>
                </c:pt>
                <c:pt idx="24">
                  <c:v>3695</c:v>
                </c:pt>
                <c:pt idx="25">
                  <c:v>4549</c:v>
                </c:pt>
                <c:pt idx="26">
                  <c:v>4287</c:v>
                </c:pt>
                <c:pt idx="27">
                  <c:v>4515</c:v>
                </c:pt>
                <c:pt idx="28">
                  <c:v>4053</c:v>
                </c:pt>
                <c:pt idx="29">
                  <c:v>3815</c:v>
                </c:pt>
                <c:pt idx="30">
                  <c:v>4667</c:v>
                </c:pt>
                <c:pt idx="31">
                  <c:v>6053</c:v>
                </c:pt>
                <c:pt idx="32">
                  <c:v>10333</c:v>
                </c:pt>
                <c:pt idx="33">
                  <c:v>6143</c:v>
                </c:pt>
                <c:pt idx="34">
                  <c:v>9575</c:v>
                </c:pt>
                <c:pt idx="35">
                  <c:v>5793</c:v>
                </c:pt>
                <c:pt idx="36">
                  <c:v>6418</c:v>
                </c:pt>
                <c:pt idx="37">
                  <c:v>9590</c:v>
                </c:pt>
                <c:pt idx="38">
                  <c:v>4178</c:v>
                </c:pt>
              </c:numCache>
            </c:numRef>
          </c:val>
          <c:smooth val="0"/>
        </c:ser>
        <c:dLbls>
          <c:showLegendKey val="0"/>
          <c:showVal val="0"/>
          <c:showCatName val="0"/>
          <c:showSerName val="0"/>
          <c:showPercent val="0"/>
          <c:showBubbleSize val="0"/>
        </c:dLbls>
        <c:marker val="1"/>
        <c:smooth val="0"/>
        <c:axId val="127617280"/>
        <c:axId val="127639936"/>
      </c:lineChart>
      <c:catAx>
        <c:axId val="127617280"/>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Sea-entry Year</a:t>
                </a:r>
              </a:p>
            </c:rich>
          </c:tx>
          <c:layout>
            <c:manualLayout>
              <c:xMode val="edge"/>
              <c:yMode val="edge"/>
              <c:x val="0.44863594130286322"/>
              <c:y val="0.91933241054439674"/>
            </c:manualLayout>
          </c:layout>
          <c:overlay val="0"/>
        </c:title>
        <c:numFmt formatCode="General" sourceLinked="1"/>
        <c:majorTickMark val="out"/>
        <c:minorTickMark val="none"/>
        <c:tickLblPos val="nextTo"/>
        <c:spPr>
          <a:ln w="15875">
            <a:solidFill>
              <a:srgbClr val="000000"/>
            </a:solidFill>
          </a:ln>
        </c:spPr>
        <c:txPr>
          <a:bodyPr rot="-5400000" vert="horz"/>
          <a:lstStyle/>
          <a:p>
            <a:pPr>
              <a:defRPr sz="1000" b="0" i="0" u="none" strike="noStrike" baseline="0">
                <a:solidFill>
                  <a:schemeClr val="tx1"/>
                </a:solidFill>
                <a:latin typeface="Arial"/>
                <a:ea typeface="Arial"/>
                <a:cs typeface="Arial"/>
              </a:defRPr>
            </a:pPr>
            <a:endParaRPr lang="en-US"/>
          </a:p>
        </c:txPr>
        <c:crossAx val="127639936"/>
        <c:crossesAt val="0"/>
        <c:auto val="1"/>
        <c:lblAlgn val="ctr"/>
        <c:lblOffset val="100"/>
        <c:noMultiLvlLbl val="0"/>
      </c:catAx>
      <c:valAx>
        <c:axId val="127639936"/>
        <c:scaling>
          <c:orientation val="minMax"/>
          <c:max val="12000"/>
          <c:min val="0"/>
        </c:scaling>
        <c:delete val="0"/>
        <c:axPos val="l"/>
        <c:title>
          <c:tx>
            <c:rich>
              <a:bodyPr/>
              <a:lstStyle/>
              <a:p>
                <a:pPr>
                  <a:defRPr sz="1400" b="0" i="0" u="none" strike="noStrike" baseline="0">
                    <a:solidFill>
                      <a:srgbClr val="000000"/>
                    </a:solidFill>
                    <a:latin typeface="Arial"/>
                    <a:ea typeface="Arial"/>
                    <a:cs typeface="Arial"/>
                  </a:defRPr>
                </a:pPr>
                <a:r>
                  <a:rPr lang="en-US"/>
                  <a:t>Number of Smolts</a:t>
                </a:r>
              </a:p>
            </c:rich>
          </c:tx>
          <c:layout>
            <c:manualLayout>
              <c:xMode val="edge"/>
              <c:yMode val="edge"/>
              <c:x val="4.6907112537954015E-3"/>
              <c:y val="0.23604608713011668"/>
            </c:manualLayout>
          </c:layout>
          <c:overlay val="0"/>
        </c:title>
        <c:numFmt formatCode="#,##0" sourceLinked="0"/>
        <c:majorTickMark val="out"/>
        <c:minorTickMark val="none"/>
        <c:tickLblPos val="nextTo"/>
        <c:spPr>
          <a:ln w="15875">
            <a:solidFill>
              <a:srgbClr val="000000"/>
            </a:solidFill>
          </a:ln>
        </c:spPr>
        <c:txPr>
          <a:bodyPr rot="0" vert="horz"/>
          <a:lstStyle/>
          <a:p>
            <a:pPr>
              <a:defRPr sz="1000" b="0" i="0" u="none" strike="noStrike" baseline="0">
                <a:solidFill>
                  <a:schemeClr val="tx1"/>
                </a:solidFill>
                <a:latin typeface="Arial"/>
                <a:ea typeface="Arial"/>
                <a:cs typeface="Arial"/>
              </a:defRPr>
            </a:pPr>
            <a:endParaRPr lang="en-US"/>
          </a:p>
        </c:txPr>
        <c:crossAx val="127617280"/>
        <c:crosses val="autoZero"/>
        <c:crossBetween val="between"/>
      </c:valAx>
      <c:spPr>
        <a:ln>
          <a:noFill/>
        </a:ln>
      </c:spPr>
    </c:plotArea>
    <c:plotVisOnly val="1"/>
    <c:dispBlanksAs val="gap"/>
    <c:showDLblsOverMax val="0"/>
  </c:chart>
  <c:spPr>
    <a:ln w="3175">
      <a:solidFill>
        <a:schemeClr val="tx1"/>
      </a:solid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32652785990684"/>
          <c:y val="4.301490615559847E-2"/>
          <c:w val="0.81716763665411385"/>
          <c:h val="0.8032975123392595"/>
        </c:manualLayout>
      </c:layout>
      <c:lineChart>
        <c:grouping val="standard"/>
        <c:varyColors val="0"/>
        <c:ser>
          <c:idx val="0"/>
          <c:order val="0"/>
          <c:tx>
            <c:v>Annual Smolt Production</c:v>
          </c:tx>
          <c:spPr>
            <a:ln>
              <a:solidFill>
                <a:schemeClr val="bg1">
                  <a:lumMod val="50000"/>
                </a:schemeClr>
              </a:solidFill>
              <a:prstDash val="sysDash"/>
            </a:ln>
          </c:spPr>
          <c:marker>
            <c:symbol val="none"/>
          </c:marker>
          <c:cat>
            <c:numRef>
              <c:f>'Master smolts'!$Y$7:$Y$44</c:f>
              <c:numCache>
                <c:formatCode>General</c:formatCode>
                <c:ptCount val="38"/>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numCache>
            </c:numRef>
          </c:cat>
          <c:val>
            <c:numRef>
              <c:f>'Master smolts'!$Z$7:$Z$44</c:f>
              <c:numCache>
                <c:formatCode>_(* #,##0_);_(* \(#,##0\);_(* "-"??_);_(@_)</c:formatCode>
                <c:ptCount val="38"/>
                <c:pt idx="0">
                  <c:v>8789</c:v>
                </c:pt>
                <c:pt idx="1">
                  <c:v>10714</c:v>
                </c:pt>
                <c:pt idx="2">
                  <c:v>6967</c:v>
                </c:pt>
                <c:pt idx="3">
                  <c:v>6849</c:v>
                </c:pt>
                <c:pt idx="4">
                  <c:v>6901</c:v>
                </c:pt>
                <c:pt idx="5">
                  <c:v>6838</c:v>
                </c:pt>
                <c:pt idx="6">
                  <c:v>5852</c:v>
                </c:pt>
                <c:pt idx="7">
                  <c:v>5617</c:v>
                </c:pt>
                <c:pt idx="8">
                  <c:v>7014</c:v>
                </c:pt>
                <c:pt idx="9">
                  <c:v>7685</c:v>
                </c:pt>
                <c:pt idx="10">
                  <c:v>7011</c:v>
                </c:pt>
                <c:pt idx="11">
                  <c:v>5137</c:v>
                </c:pt>
                <c:pt idx="12">
                  <c:v>5690</c:v>
                </c:pt>
                <c:pt idx="13">
                  <c:v>6596</c:v>
                </c:pt>
                <c:pt idx="14">
                  <c:v>8647</c:v>
                </c:pt>
                <c:pt idx="15">
                  <c:v>7495</c:v>
                </c:pt>
                <c:pt idx="16">
                  <c:v>4884</c:v>
                </c:pt>
                <c:pt idx="17">
                  <c:v>3934</c:v>
                </c:pt>
                <c:pt idx="18">
                  <c:v>6111</c:v>
                </c:pt>
                <c:pt idx="19">
                  <c:v>7420</c:v>
                </c:pt>
                <c:pt idx="20">
                  <c:v>5233</c:v>
                </c:pt>
                <c:pt idx="21">
                  <c:v>4969</c:v>
                </c:pt>
                <c:pt idx="22">
                  <c:v>5980</c:v>
                </c:pt>
                <c:pt idx="23">
                  <c:v>3616</c:v>
                </c:pt>
                <c:pt idx="24">
                  <c:v>3695</c:v>
                </c:pt>
                <c:pt idx="25">
                  <c:v>4549</c:v>
                </c:pt>
                <c:pt idx="26">
                  <c:v>4287</c:v>
                </c:pt>
                <c:pt idx="27">
                  <c:v>4515</c:v>
                </c:pt>
                <c:pt idx="28">
                  <c:v>4053</c:v>
                </c:pt>
                <c:pt idx="29">
                  <c:v>3815</c:v>
                </c:pt>
                <c:pt idx="30">
                  <c:v>4667</c:v>
                </c:pt>
                <c:pt idx="31">
                  <c:v>6053</c:v>
                </c:pt>
                <c:pt idx="32">
                  <c:v>10333</c:v>
                </c:pt>
                <c:pt idx="33">
                  <c:v>6143</c:v>
                </c:pt>
                <c:pt idx="34">
                  <c:v>9575</c:v>
                </c:pt>
                <c:pt idx="35">
                  <c:v>5793</c:v>
                </c:pt>
                <c:pt idx="36">
                  <c:v>6418</c:v>
                </c:pt>
                <c:pt idx="37">
                  <c:v>9590</c:v>
                </c:pt>
              </c:numCache>
            </c:numRef>
          </c:val>
          <c:smooth val="0"/>
        </c:ser>
        <c:ser>
          <c:idx val="2"/>
          <c:order val="1"/>
          <c:tx>
            <c:v>9 pt LOESS Trend</c:v>
          </c:tx>
          <c:spPr>
            <a:ln>
              <a:solidFill>
                <a:srgbClr val="000000"/>
              </a:solidFill>
            </a:ln>
          </c:spPr>
          <c:marker>
            <c:symbol val="none"/>
          </c:marker>
          <c:cat>
            <c:numRef>
              <c:f>'Master smolts'!$Y$7:$Y$44</c:f>
              <c:numCache>
                <c:formatCode>General</c:formatCode>
                <c:ptCount val="38"/>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numCache>
            </c:numRef>
          </c:cat>
          <c:val>
            <c:numRef>
              <c:f>'Master smolts'!$AA$7:$AA$44</c:f>
              <c:numCache>
                <c:formatCode>General_)</c:formatCode>
                <c:ptCount val="38"/>
                <c:pt idx="0">
                  <c:v>9421.5996879545546</c:v>
                </c:pt>
                <c:pt idx="1">
                  <c:v>8764.1128426364194</c:v>
                </c:pt>
                <c:pt idx="2">
                  <c:v>8147.0929847668913</c:v>
                </c:pt>
                <c:pt idx="3">
                  <c:v>7540.018105717294</c:v>
                </c:pt>
                <c:pt idx="4">
                  <c:v>6840.6724201364832</c:v>
                </c:pt>
                <c:pt idx="5">
                  <c:v>6485.8037300704218</c:v>
                </c:pt>
                <c:pt idx="6">
                  <c:v>6444.2246264773685</c:v>
                </c:pt>
                <c:pt idx="7">
                  <c:v>6540.072617014046</c:v>
                </c:pt>
                <c:pt idx="8">
                  <c:v>6610.5368348161555</c:v>
                </c:pt>
                <c:pt idx="9">
                  <c:v>6581.2110257368486</c:v>
                </c:pt>
                <c:pt idx="10">
                  <c:v>6498.0251272941241</c:v>
                </c:pt>
                <c:pt idx="11">
                  <c:v>6440.4708385868944</c:v>
                </c:pt>
                <c:pt idx="12">
                  <c:v>6539.5667010641646</c:v>
                </c:pt>
                <c:pt idx="13">
                  <c:v>6696.6456449583966</c:v>
                </c:pt>
                <c:pt idx="14">
                  <c:v>6673.3359828058756</c:v>
                </c:pt>
                <c:pt idx="15">
                  <c:v>6416.9425222562368</c:v>
                </c:pt>
                <c:pt idx="16">
                  <c:v>6124.4145718827531</c:v>
                </c:pt>
                <c:pt idx="17">
                  <c:v>5847.1006514781757</c:v>
                </c:pt>
                <c:pt idx="18">
                  <c:v>5638.1108014125557</c:v>
                </c:pt>
                <c:pt idx="19">
                  <c:v>5676.3099431367536</c:v>
                </c:pt>
                <c:pt idx="20">
                  <c:v>5742.1574355020093</c:v>
                </c:pt>
                <c:pt idx="21">
                  <c:v>5384.6734220964991</c:v>
                </c:pt>
                <c:pt idx="22">
                  <c:v>4847.346358414783</c:v>
                </c:pt>
                <c:pt idx="23">
                  <c:v>4544.7449378213068</c:v>
                </c:pt>
                <c:pt idx="24">
                  <c:v>4357.7567878300479</c:v>
                </c:pt>
                <c:pt idx="25">
                  <c:v>4218.4760441426424</c:v>
                </c:pt>
                <c:pt idx="26">
                  <c:v>4220.7884808977151</c:v>
                </c:pt>
                <c:pt idx="27">
                  <c:v>4248.8366164739518</c:v>
                </c:pt>
                <c:pt idx="28">
                  <c:v>4325.7768608379511</c:v>
                </c:pt>
                <c:pt idx="29">
                  <c:v>4755.5647691428712</c:v>
                </c:pt>
                <c:pt idx="30">
                  <c:v>5562.4751344062934</c:v>
                </c:pt>
                <c:pt idx="31">
                  <c:v>6401.6294719493708</c:v>
                </c:pt>
                <c:pt idx="32">
                  <c:v>7199.7670855737415</c:v>
                </c:pt>
                <c:pt idx="33">
                  <c:v>7598.2089776222274</c:v>
                </c:pt>
                <c:pt idx="34">
                  <c:v>7597.0370572082074</c:v>
                </c:pt>
                <c:pt idx="35">
                  <c:v>7380.1700440586073</c:v>
                </c:pt>
                <c:pt idx="36">
                  <c:v>6935.3590419962948</c:v>
                </c:pt>
                <c:pt idx="37">
                  <c:v>6489.3910401569574</c:v>
                </c:pt>
              </c:numCache>
            </c:numRef>
          </c:val>
          <c:smooth val="0"/>
        </c:ser>
        <c:ser>
          <c:idx val="1"/>
          <c:order val="2"/>
          <c:tx>
            <c:v>2.4% Annual Rate of Decrease</c:v>
          </c:tx>
          <c:spPr>
            <a:ln w="15875">
              <a:solidFill>
                <a:srgbClr val="0033CC"/>
              </a:solidFill>
              <a:prstDash val="sysDash"/>
            </a:ln>
          </c:spPr>
          <c:marker>
            <c:symbol val="none"/>
          </c:marker>
          <c:cat>
            <c:numRef>
              <c:f>'Master smolts'!$Y$7:$Y$44</c:f>
              <c:numCache>
                <c:formatCode>General</c:formatCode>
                <c:ptCount val="38"/>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numCache>
            </c:numRef>
          </c:cat>
          <c:val>
            <c:numRef>
              <c:f>'Master smolts'!$AC$7:$AC$44</c:f>
              <c:numCache>
                <c:formatCode>General</c:formatCode>
                <c:ptCount val="38"/>
                <c:pt idx="0">
                  <c:v>8227.3354778442481</c:v>
                </c:pt>
                <c:pt idx="1">
                  <c:v>8032.9955644038509</c:v>
                </c:pt>
                <c:pt idx="2">
                  <c:v>7843.2462018237829</c:v>
                </c:pt>
                <c:pt idx="3">
                  <c:v>7657.9789555739017</c:v>
                </c:pt>
                <c:pt idx="4">
                  <c:v>7477.0879524827578</c:v>
                </c:pt>
                <c:pt idx="5">
                  <c:v>7300.469820235101</c:v>
                </c:pt>
                <c:pt idx="6">
                  <c:v>7128.0236282985516</c:v>
                </c:pt>
                <c:pt idx="7">
                  <c:v>6959.6508302456377</c:v>
                </c:pt>
                <c:pt idx="8">
                  <c:v>6795.2552074382747</c:v>
                </c:pt>
                <c:pt idx="9">
                  <c:v>6634.7428140424754</c:v>
                </c:pt>
                <c:pt idx="10">
                  <c:v>6478.0219233418866</c:v>
                </c:pt>
                <c:pt idx="11">
                  <c:v>6325.0029753194667</c:v>
                </c:pt>
                <c:pt idx="12">
                  <c:v>6175.5985254773523</c:v>
                </c:pt>
                <c:pt idx="13">
                  <c:v>6029.7231948656517</c:v>
                </c:pt>
                <c:pt idx="14">
                  <c:v>5887.2936212916338</c:v>
                </c:pt>
                <c:pt idx="15">
                  <c:v>5748.2284116814135</c:v>
                </c:pt>
                <c:pt idx="16">
                  <c:v>5612.448095566906</c:v>
                </c:pt>
                <c:pt idx="17">
                  <c:v>5479.8750796714867</c:v>
                </c:pt>
                <c:pt idx="18">
                  <c:v>5350.43360356839</c:v>
                </c:pt>
                <c:pt idx="19">
                  <c:v>5224.049696386508</c:v>
                </c:pt>
                <c:pt idx="20">
                  <c:v>5100.6511345388644</c:v>
                </c:pt>
                <c:pt idx="21">
                  <c:v>4980.1674004495771</c:v>
                </c:pt>
                <c:pt idx="22">
                  <c:v>4862.5296422557603</c:v>
                </c:pt>
                <c:pt idx="23">
                  <c:v>4747.6706344613012</c:v>
                </c:pt>
                <c:pt idx="24">
                  <c:v>4635.5247395200531</c:v>
                </c:pt>
                <c:pt idx="25">
                  <c:v>4526.0278703264821</c:v>
                </c:pt>
                <c:pt idx="26">
                  <c:v>4419.117453592321</c:v>
                </c:pt>
                <c:pt idx="27">
                  <c:v>4314.7323940883289</c:v>
                </c:pt>
                <c:pt idx="28">
                  <c:v>4212.8130397306886</c:v>
                </c:pt>
                <c:pt idx="29">
                  <c:v>4113.3011474921141</c:v>
                </c:pt>
              </c:numCache>
            </c:numRef>
          </c:val>
          <c:smooth val="0"/>
        </c:ser>
        <c:dLbls>
          <c:showLegendKey val="0"/>
          <c:showVal val="0"/>
          <c:showCatName val="0"/>
          <c:showSerName val="0"/>
          <c:showPercent val="0"/>
          <c:showBubbleSize val="0"/>
        </c:dLbls>
        <c:marker val="1"/>
        <c:smooth val="0"/>
        <c:axId val="204953856"/>
        <c:axId val="204964224"/>
      </c:lineChart>
      <c:catAx>
        <c:axId val="204953856"/>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Sea-entry Year</a:t>
                </a:r>
              </a:p>
            </c:rich>
          </c:tx>
          <c:layout>
            <c:manualLayout>
              <c:xMode val="edge"/>
              <c:yMode val="edge"/>
              <c:x val="0.41137406243191932"/>
              <c:y val="0.93821570914746766"/>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Arial"/>
                <a:ea typeface="Arial"/>
                <a:cs typeface="Arial"/>
              </a:defRPr>
            </a:pPr>
            <a:endParaRPr lang="en-US"/>
          </a:p>
        </c:txPr>
        <c:crossAx val="204964224"/>
        <c:crossesAt val="0"/>
        <c:auto val="1"/>
        <c:lblAlgn val="ctr"/>
        <c:lblOffset val="100"/>
        <c:noMultiLvlLbl val="0"/>
      </c:catAx>
      <c:valAx>
        <c:axId val="204964224"/>
        <c:scaling>
          <c:orientation val="minMax"/>
          <c:max val="12000"/>
          <c:min val="0"/>
        </c:scaling>
        <c:delete val="0"/>
        <c:axPos val="l"/>
        <c:title>
          <c:tx>
            <c:rich>
              <a:bodyPr/>
              <a:lstStyle/>
              <a:p>
                <a:pPr>
                  <a:defRPr sz="1400" b="0" i="0" u="none" strike="noStrike" baseline="0">
                    <a:solidFill>
                      <a:srgbClr val="000000"/>
                    </a:solidFill>
                    <a:latin typeface="Arial"/>
                    <a:ea typeface="Arial"/>
                    <a:cs typeface="Arial"/>
                  </a:defRPr>
                </a:pPr>
                <a:r>
                  <a:rPr lang="en-US"/>
                  <a:t>Number of Smolts</a:t>
                </a:r>
              </a:p>
            </c:rich>
          </c:tx>
          <c:layout>
            <c:manualLayout>
              <c:xMode val="edge"/>
              <c:yMode val="edge"/>
              <c:x val="1.4274895479962239E-4"/>
              <c:y val="0.24990546320598814"/>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Arial"/>
                <a:ea typeface="Arial"/>
                <a:cs typeface="Arial"/>
              </a:defRPr>
            </a:pPr>
            <a:endParaRPr lang="en-US"/>
          </a:p>
        </c:txPr>
        <c:crossAx val="204953856"/>
        <c:crosses val="autoZero"/>
        <c:crossBetween val="between"/>
      </c:valAx>
    </c:plotArea>
    <c:legend>
      <c:legendPos val="r"/>
      <c:layout>
        <c:manualLayout>
          <c:xMode val="edge"/>
          <c:yMode val="edge"/>
          <c:x val="0.24920502526117042"/>
          <c:y val="6.7557404381056146E-2"/>
          <c:w val="0.54668181299471952"/>
          <c:h val="0.13773135996889277"/>
        </c:manualLayout>
      </c:layout>
      <c:overlay val="1"/>
      <c:spPr>
        <a:ln>
          <a:noFill/>
        </a:ln>
      </c:spPr>
      <c:txPr>
        <a:bodyPr/>
        <a:lstStyle/>
        <a:p>
          <a:pPr>
            <a:defRPr sz="1010" b="0" i="0" u="none" strike="noStrike" baseline="0">
              <a:solidFill>
                <a:srgbClr val="000000"/>
              </a:solidFill>
              <a:latin typeface="Arial"/>
              <a:ea typeface="Arial"/>
              <a:cs typeface="Arial"/>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21393034825871"/>
          <c:y val="4.46660407493326E-2"/>
          <c:w val="0.76980217025110664"/>
          <c:h val="0.7683421967584273"/>
        </c:manualLayout>
      </c:layout>
      <c:lineChart>
        <c:grouping val="standard"/>
        <c:varyColors val="0"/>
        <c:ser>
          <c:idx val="0"/>
          <c:order val="0"/>
          <c:tx>
            <c:v>Series1</c:v>
          </c:tx>
          <c:spPr>
            <a:ln w="28575">
              <a:noFill/>
            </a:ln>
          </c:spPr>
          <c:marker>
            <c:symbol val="none"/>
          </c:marker>
          <c:cat>
            <c:numRef>
              <c:f>[9]SmoltTable!$A$11:$A$39</c:f>
              <c:numCache>
                <c:formatCode>General</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'Master smolts'!$K$17:$K$44</c:f>
              <c:numCache>
                <c:formatCode>#,##0</c:formatCode>
                <c:ptCount val="28"/>
                <c:pt idx="0">
                  <c:v>130.80497667317852</c:v>
                </c:pt>
                <c:pt idx="1">
                  <c:v>126.56469367046927</c:v>
                </c:pt>
                <c:pt idx="2">
                  <c:v>163.43328983338344</c:v>
                </c:pt>
                <c:pt idx="3">
                  <c:v>290.32939665487908</c:v>
                </c:pt>
                <c:pt idx="4">
                  <c:v>230.3036165711234</c:v>
                </c:pt>
                <c:pt idx="5">
                  <c:v>161.10086219745085</c:v>
                </c:pt>
                <c:pt idx="6">
                  <c:v>170.93861515680797</c:v>
                </c:pt>
                <c:pt idx="7">
                  <c:v>120.63936665529452</c:v>
                </c:pt>
                <c:pt idx="8">
                  <c:v>119.49258726186592</c:v>
                </c:pt>
                <c:pt idx="9">
                  <c:v>222.18477626244194</c:v>
                </c:pt>
                <c:pt idx="10">
                  <c:v>161.8717185688474</c:v>
                </c:pt>
                <c:pt idx="11">
                  <c:v>242.03395534562253</c:v>
                </c:pt>
                <c:pt idx="12">
                  <c:v>228.96989745978459</c:v>
                </c:pt>
                <c:pt idx="13">
                  <c:v>132.35533338181901</c:v>
                </c:pt>
                <c:pt idx="14">
                  <c:v>166.61162818095559</c:v>
                </c:pt>
                <c:pt idx="15">
                  <c:v>128.12423359620283</c:v>
                </c:pt>
                <c:pt idx="16">
                  <c:v>109.58551476236188</c:v>
                </c:pt>
                <c:pt idx="17">
                  <c:v>101.65684118196423</c:v>
                </c:pt>
                <c:pt idx="18">
                  <c:v>79.446569010132222</c:v>
                </c:pt>
                <c:pt idx="19">
                  <c:v>83.600236376301837</c:v>
                </c:pt>
                <c:pt idx="20">
                  <c:v>137.76933974461318</c:v>
                </c:pt>
                <c:pt idx="21">
                  <c:v>108.00907651889088</c:v>
                </c:pt>
                <c:pt idx="22">
                  <c:v>100.30617077919017</c:v>
                </c:pt>
                <c:pt idx="23">
                  <c:v>126.58510175900525</c:v>
                </c:pt>
                <c:pt idx="24">
                  <c:v>204.98635408374238</c:v>
                </c:pt>
                <c:pt idx="25">
                  <c:v>151.45835253137707</c:v>
                </c:pt>
                <c:pt idx="26">
                  <c:v>157.78701933473516</c:v>
                </c:pt>
                <c:pt idx="27">
                  <c:v>276.5014883772634</c:v>
                </c:pt>
              </c:numCache>
            </c:numRef>
          </c:val>
          <c:smooth val="0"/>
        </c:ser>
        <c:ser>
          <c:idx val="1"/>
          <c:order val="1"/>
          <c:spPr>
            <a:ln w="28575">
              <a:noFill/>
            </a:ln>
          </c:spPr>
          <c:marker>
            <c:symbol val="none"/>
          </c:marker>
          <c:cat>
            <c:numRef>
              <c:f>[9]SmoltTable!$A$11:$A$39</c:f>
              <c:numCache>
                <c:formatCode>General</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'Master smolts'!$L$17:$L$44</c:f>
              <c:numCache>
                <c:formatCode>#,##0</c:formatCode>
                <c:ptCount val="28"/>
                <c:pt idx="0">
                  <c:v>219.76733605957446</c:v>
                </c:pt>
                <c:pt idx="1">
                  <c:v>159.89595136670476</c:v>
                </c:pt>
                <c:pt idx="2">
                  <c:v>220.39751959504454</c:v>
                </c:pt>
                <c:pt idx="3">
                  <c:v>372.47685519799205</c:v>
                </c:pt>
                <c:pt idx="4">
                  <c:v>286.93548094890104</c:v>
                </c:pt>
                <c:pt idx="5">
                  <c:v>207.82298377241793</c:v>
                </c:pt>
                <c:pt idx="6">
                  <c:v>224.30483929384854</c:v>
                </c:pt>
                <c:pt idx="7">
                  <c:v>149.75245395253845</c:v>
                </c:pt>
                <c:pt idx="8">
                  <c:v>168.8839613620535</c:v>
                </c:pt>
                <c:pt idx="9">
                  <c:v>291.50532098804331</c:v>
                </c:pt>
                <c:pt idx="10">
                  <c:v>210.53137737252868</c:v>
                </c:pt>
                <c:pt idx="11">
                  <c:v>302.16415161402801</c:v>
                </c:pt>
                <c:pt idx="12">
                  <c:v>313.35898935302134</c:v>
                </c:pt>
                <c:pt idx="13">
                  <c:v>169.16436493170579</c:v>
                </c:pt>
                <c:pt idx="14">
                  <c:v>208.26793118385999</c:v>
                </c:pt>
                <c:pt idx="15">
                  <c:v>166.4092479934057</c:v>
                </c:pt>
                <c:pt idx="16">
                  <c:v>142.96724922431346</c:v>
                </c:pt>
                <c:pt idx="17">
                  <c:v>131.44704377615912</c:v>
                </c:pt>
                <c:pt idx="18">
                  <c:v>101.60388815214985</c:v>
                </c:pt>
                <c:pt idx="19">
                  <c:v>131.8359653472456</c:v>
                </c:pt>
                <c:pt idx="20">
                  <c:v>192.57781583384912</c:v>
                </c:pt>
                <c:pt idx="21">
                  <c:v>165.54701467628144</c:v>
                </c:pt>
                <c:pt idx="22">
                  <c:v>127.56535344982092</c:v>
                </c:pt>
                <c:pt idx="23">
                  <c:v>187.13152022381962</c:v>
                </c:pt>
                <c:pt idx="24">
                  <c:v>267.26349377107022</c:v>
                </c:pt>
                <c:pt idx="25">
                  <c:v>200.57022208869338</c:v>
                </c:pt>
                <c:pt idx="26">
                  <c:v>214.25291296053678</c:v>
                </c:pt>
                <c:pt idx="27">
                  <c:v>402.63191139224068</c:v>
                </c:pt>
              </c:numCache>
            </c:numRef>
          </c:val>
          <c:smooth val="0"/>
        </c:ser>
        <c:ser>
          <c:idx val="2"/>
          <c:order val="2"/>
          <c:tx>
            <c:v>Number of Smolts</c:v>
          </c:tx>
          <c:spPr>
            <a:ln w="12700">
              <a:solidFill>
                <a:srgbClr val="000000"/>
              </a:solidFill>
              <a:prstDash val="solid"/>
            </a:ln>
          </c:spPr>
          <c:marker>
            <c:symbol val="circle"/>
            <c:size val="4"/>
            <c:spPr>
              <a:solidFill>
                <a:srgbClr val="000000"/>
              </a:solidFill>
              <a:ln>
                <a:solidFill>
                  <a:srgbClr val="000000"/>
                </a:solidFill>
                <a:prstDash val="solid"/>
              </a:ln>
            </c:spPr>
          </c:marker>
          <c:dPt>
            <c:idx val="21"/>
            <c:marker>
              <c:spPr>
                <a:solidFill>
                  <a:schemeClr val="tx1"/>
                </a:solidFill>
                <a:ln>
                  <a:solidFill>
                    <a:srgbClr val="000000"/>
                  </a:solidFill>
                  <a:prstDash val="solid"/>
                </a:ln>
              </c:spPr>
            </c:marker>
            <c:bubble3D val="0"/>
          </c:dPt>
          <c:cat>
            <c:numRef>
              <c:f>[9]SmoltTable!$A$11:$A$39</c:f>
              <c:numCache>
                <c:formatCode>General</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'Master smolts'!$J$17:$J$44</c:f>
              <c:numCache>
                <c:formatCode>#,##0</c:formatCode>
                <c:ptCount val="28"/>
                <c:pt idx="0">
                  <c:v>163.99799999999999</c:v>
                </c:pt>
                <c:pt idx="1">
                  <c:v>141.291</c:v>
                </c:pt>
                <c:pt idx="2">
                  <c:v>187.68799999999999</c:v>
                </c:pt>
                <c:pt idx="3">
                  <c:v>326.31200000000001</c:v>
                </c:pt>
                <c:pt idx="4">
                  <c:v>255.51900000000001</c:v>
                </c:pt>
                <c:pt idx="5">
                  <c:v>181.50299999999999</c:v>
                </c:pt>
                <c:pt idx="6">
                  <c:v>194.01900000000001</c:v>
                </c:pt>
                <c:pt idx="7">
                  <c:v>133.62899999999999</c:v>
                </c:pt>
                <c:pt idx="8">
                  <c:v>139.959</c:v>
                </c:pt>
                <c:pt idx="9">
                  <c:v>252.16800000000001</c:v>
                </c:pt>
                <c:pt idx="10">
                  <c:v>183.023</c:v>
                </c:pt>
                <c:pt idx="11">
                  <c:v>268.77699999999999</c:v>
                </c:pt>
                <c:pt idx="12">
                  <c:v>264.59899999999999</c:v>
                </c:pt>
                <c:pt idx="13">
                  <c:v>148.51300000000001</c:v>
                </c:pt>
                <c:pt idx="14">
                  <c:v>185.125</c:v>
                </c:pt>
                <c:pt idx="15">
                  <c:v>144.77799999999999</c:v>
                </c:pt>
                <c:pt idx="16">
                  <c:v>124.07</c:v>
                </c:pt>
                <c:pt idx="17">
                  <c:v>114.648</c:v>
                </c:pt>
                <c:pt idx="18">
                  <c:v>89.168999999999997</c:v>
                </c:pt>
                <c:pt idx="19">
                  <c:v>102.318</c:v>
                </c:pt>
                <c:pt idx="20">
                  <c:v>160.62700000000001</c:v>
                </c:pt>
                <c:pt idx="21">
                  <c:v>130.727</c:v>
                </c:pt>
                <c:pt idx="22">
                  <c:v>112.30500000000001</c:v>
                </c:pt>
                <c:pt idx="23">
                  <c:v>151.01599999999999</c:v>
                </c:pt>
                <c:pt idx="24">
                  <c:v>232.01900000000001</c:v>
                </c:pt>
                <c:pt idx="25">
                  <c:v>172.58799999999999</c:v>
                </c:pt>
                <c:pt idx="26">
                  <c:v>181.73500000000001</c:v>
                </c:pt>
                <c:pt idx="27">
                  <c:v>327.85406462389125</c:v>
                </c:pt>
              </c:numCache>
            </c:numRef>
          </c:val>
          <c:smooth val="0"/>
        </c:ser>
        <c:dLbls>
          <c:showLegendKey val="0"/>
          <c:showVal val="0"/>
          <c:showCatName val="0"/>
          <c:showSerName val="0"/>
          <c:showPercent val="0"/>
          <c:showBubbleSize val="0"/>
        </c:dLbls>
        <c:hiLowLines>
          <c:spPr>
            <a:ln w="6350">
              <a:solidFill>
                <a:srgbClr val="000000"/>
              </a:solidFill>
              <a:prstDash val="solid"/>
            </a:ln>
          </c:spPr>
        </c:hiLowLines>
        <c:marker val="1"/>
        <c:smooth val="0"/>
        <c:axId val="127743488"/>
        <c:axId val="127745408"/>
      </c:lineChart>
      <c:lineChart>
        <c:grouping val="standard"/>
        <c:varyColors val="0"/>
        <c:ser>
          <c:idx val="3"/>
          <c:order val="3"/>
          <c:tx>
            <c:v>July-November Precipitation</c:v>
          </c:tx>
          <c:spPr>
            <a:ln w="19050">
              <a:solidFill>
                <a:srgbClr val="000000"/>
              </a:solidFill>
              <a:prstDash val="sysDash"/>
            </a:ln>
          </c:spPr>
          <c:marker>
            <c:symbol val="none"/>
          </c:marker>
          <c:cat>
            <c:numRef>
              <c:f>'Master smolts'!$I$17:$I$44</c:f>
              <c:numCache>
                <c:formatCode>General</c:formatCod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numCache>
            </c:numRef>
          </c:cat>
          <c:val>
            <c:numRef>
              <c:f>'Master smolts'!$M$17:$M$44</c:f>
              <c:numCache>
                <c:formatCode>0.00</c:formatCode>
                <c:ptCount val="28"/>
                <c:pt idx="0">
                  <c:v>87.70620000000001</c:v>
                </c:pt>
                <c:pt idx="1">
                  <c:v>67.360799999999998</c:v>
                </c:pt>
                <c:pt idx="2">
                  <c:v>81.559399999999997</c:v>
                </c:pt>
                <c:pt idx="3">
                  <c:v>121.539</c:v>
                </c:pt>
                <c:pt idx="4">
                  <c:v>90.068399999999983</c:v>
                </c:pt>
                <c:pt idx="5">
                  <c:v>86.233000000000004</c:v>
                </c:pt>
                <c:pt idx="6">
                  <c:v>93.700600000000009</c:v>
                </c:pt>
                <c:pt idx="7">
                  <c:v>65.455799999999996</c:v>
                </c:pt>
                <c:pt idx="8">
                  <c:v>77.977999999999994</c:v>
                </c:pt>
                <c:pt idx="9">
                  <c:v>88.976200000000006</c:v>
                </c:pt>
                <c:pt idx="10">
                  <c:v>80.695800000000006</c:v>
                </c:pt>
                <c:pt idx="11">
                  <c:v>100.203</c:v>
                </c:pt>
                <c:pt idx="12">
                  <c:v>99.796599999999998</c:v>
                </c:pt>
                <c:pt idx="13">
                  <c:v>77.952600000000004</c:v>
                </c:pt>
                <c:pt idx="14">
                  <c:v>101.47300000000001</c:v>
                </c:pt>
                <c:pt idx="15">
                  <c:v>76.301600000000008</c:v>
                </c:pt>
                <c:pt idx="16">
                  <c:v>78.333600000000004</c:v>
                </c:pt>
                <c:pt idx="17">
                  <c:v>113.13160000000001</c:v>
                </c:pt>
                <c:pt idx="18">
                  <c:v>110.8456</c:v>
                </c:pt>
                <c:pt idx="19">
                  <c:v>83.743799999999993</c:v>
                </c:pt>
                <c:pt idx="20">
                  <c:v>114.8588</c:v>
                </c:pt>
                <c:pt idx="21">
                  <c:v>80.492599999999996</c:v>
                </c:pt>
                <c:pt idx="22">
                  <c:v>79.044800000000009</c:v>
                </c:pt>
                <c:pt idx="23">
                  <c:v>96.21520000000001</c:v>
                </c:pt>
                <c:pt idx="24">
                  <c:v>81.457800000000006</c:v>
                </c:pt>
                <c:pt idx="25">
                  <c:v>85.750399999999999</c:v>
                </c:pt>
                <c:pt idx="26">
                  <c:v>96.52</c:v>
                </c:pt>
                <c:pt idx="27">
                  <c:v>127.15240000000001</c:v>
                </c:pt>
              </c:numCache>
            </c:numRef>
          </c:val>
          <c:smooth val="0"/>
        </c:ser>
        <c:dLbls>
          <c:showLegendKey val="0"/>
          <c:showVal val="0"/>
          <c:showCatName val="0"/>
          <c:showSerName val="0"/>
          <c:showPercent val="0"/>
          <c:showBubbleSize val="0"/>
        </c:dLbls>
        <c:marker val="1"/>
        <c:smooth val="0"/>
        <c:axId val="127763968"/>
        <c:axId val="127765504"/>
      </c:lineChart>
      <c:catAx>
        <c:axId val="127743488"/>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Sea-EntryYear</a:t>
                </a:r>
              </a:p>
            </c:rich>
          </c:tx>
          <c:layout>
            <c:manualLayout>
              <c:xMode val="edge"/>
              <c:yMode val="edge"/>
              <c:x val="0.42915140831276688"/>
              <c:y val="0.92396473785467315"/>
            </c:manualLayout>
          </c:layout>
          <c:overlay val="0"/>
          <c:spPr>
            <a:noFill/>
            <a:ln w="25400">
              <a:noFill/>
            </a:ln>
          </c:spPr>
        </c:title>
        <c:numFmt formatCode="General" sourceLinked="1"/>
        <c:majorTickMark val="out"/>
        <c:minorTickMark val="none"/>
        <c:tickLblPos val="nextTo"/>
        <c:spPr>
          <a:ln w="15875">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127745408"/>
        <c:crosses val="autoZero"/>
        <c:auto val="1"/>
        <c:lblAlgn val="ctr"/>
        <c:lblOffset val="100"/>
        <c:tickLblSkip val="1"/>
        <c:tickMarkSkip val="1"/>
        <c:noMultiLvlLbl val="0"/>
      </c:catAx>
      <c:valAx>
        <c:axId val="127745408"/>
        <c:scaling>
          <c:orientation val="minMax"/>
          <c:max val="405"/>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Smolts</a:t>
                </a:r>
              </a:p>
            </c:rich>
          </c:tx>
          <c:layout>
            <c:manualLayout>
              <c:xMode val="edge"/>
              <c:yMode val="edge"/>
              <c:x val="1.3682453872370432E-2"/>
              <c:y val="0.24882304157385218"/>
            </c:manualLayout>
          </c:layout>
          <c:overlay val="0"/>
          <c:spPr>
            <a:noFill/>
            <a:ln w="25400">
              <a:noFill/>
            </a:ln>
          </c:spPr>
        </c:title>
        <c:numFmt formatCode="#,##0" sourceLinked="1"/>
        <c:majorTickMark val="out"/>
        <c:minorTickMark val="none"/>
        <c:tickLblPos val="nextTo"/>
        <c:spPr>
          <a:ln w="158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27743488"/>
        <c:crosses val="autoZero"/>
        <c:crossBetween val="between"/>
      </c:valAx>
      <c:catAx>
        <c:axId val="127763968"/>
        <c:scaling>
          <c:orientation val="minMax"/>
        </c:scaling>
        <c:delete val="1"/>
        <c:axPos val="b"/>
        <c:numFmt formatCode="General" sourceLinked="1"/>
        <c:majorTickMark val="out"/>
        <c:minorTickMark val="none"/>
        <c:tickLblPos val="nextTo"/>
        <c:crossAx val="127765504"/>
        <c:crosses val="autoZero"/>
        <c:auto val="1"/>
        <c:lblAlgn val="ctr"/>
        <c:lblOffset val="100"/>
        <c:noMultiLvlLbl val="0"/>
      </c:catAx>
      <c:valAx>
        <c:axId val="127765504"/>
        <c:scaling>
          <c:orientation val="minMax"/>
          <c:max val="155.90600000000001"/>
          <c:min val="20"/>
        </c:scaling>
        <c:delete val="0"/>
        <c:axPos val="r"/>
        <c:title>
          <c:tx>
            <c:rich>
              <a:bodyPr/>
              <a:lstStyle/>
              <a:p>
                <a:pPr>
                  <a:defRPr sz="1400" b="0" i="0" u="none" strike="noStrike" baseline="0">
                    <a:solidFill>
                      <a:srgbClr val="000000"/>
                    </a:solidFill>
                    <a:latin typeface="Arial"/>
                    <a:ea typeface="Arial"/>
                    <a:cs typeface="Arial"/>
                  </a:defRPr>
                </a:pPr>
                <a:r>
                  <a:rPr lang="en-US"/>
                  <a:t>Precipitation (cm)</a:t>
                </a:r>
              </a:p>
            </c:rich>
          </c:tx>
          <c:layout>
            <c:manualLayout>
              <c:xMode val="edge"/>
              <c:yMode val="edge"/>
              <c:x val="0.9439746151134093"/>
              <c:y val="0.25968786457122101"/>
            </c:manualLayout>
          </c:layout>
          <c:overlay val="0"/>
        </c:title>
        <c:numFmt formatCode="0" sourceLinked="0"/>
        <c:majorTickMark val="out"/>
        <c:minorTickMark val="none"/>
        <c:tickLblPos val="nextTo"/>
        <c:spPr>
          <a:ln w="15875">
            <a:solidFill>
              <a:srgbClr val="000000"/>
            </a:solidFill>
          </a:ln>
        </c:spPr>
        <c:txPr>
          <a:bodyPr rot="0" vert="horz"/>
          <a:lstStyle/>
          <a:p>
            <a:pPr>
              <a:defRPr sz="1100" b="0" i="0" u="none" strike="noStrike" baseline="0">
                <a:solidFill>
                  <a:srgbClr val="000000"/>
                </a:solidFill>
                <a:latin typeface="Arial"/>
                <a:ea typeface="Arial"/>
                <a:cs typeface="Arial"/>
              </a:defRPr>
            </a:pPr>
            <a:endParaRPr lang="en-US"/>
          </a:p>
        </c:txPr>
        <c:crossAx val="127763968"/>
        <c:crosses val="max"/>
        <c:crossBetween val="between"/>
        <c:majorUnit val="20"/>
      </c:valAx>
      <c:spPr>
        <a:solidFill>
          <a:srgbClr val="FFFFFF"/>
        </a:solidFill>
        <a:ln w="25400">
          <a:noFill/>
        </a:ln>
      </c:spPr>
    </c:plotArea>
    <c:legend>
      <c:legendPos val="r"/>
      <c:legendEntry>
        <c:idx val="0"/>
        <c:delete val="1"/>
      </c:legendEntry>
      <c:legendEntry>
        <c:idx val="1"/>
        <c:delete val="1"/>
      </c:legendEntry>
      <c:layout>
        <c:manualLayout>
          <c:xMode val="edge"/>
          <c:yMode val="edge"/>
          <c:x val="0.13234457633094374"/>
          <c:y val="0.64381740063001747"/>
          <c:w val="0.46357817213146862"/>
          <c:h val="0.13803945151247499"/>
        </c:manualLayout>
      </c:layout>
      <c:overlay val="1"/>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23492971450318"/>
          <c:y val="6.0653209715692019E-2"/>
          <c:w val="0.84553715538920859"/>
          <c:h val="0.75235509230410946"/>
        </c:manualLayout>
      </c:layout>
      <c:lineChart>
        <c:grouping val="standard"/>
        <c:varyColors val="0"/>
        <c:ser>
          <c:idx val="0"/>
          <c:order val="0"/>
          <c:tx>
            <c:v>Series1</c:v>
          </c:tx>
          <c:spPr>
            <a:ln w="28575">
              <a:noFill/>
            </a:ln>
          </c:spPr>
          <c:marker>
            <c:symbol val="none"/>
          </c:marker>
          <c:cat>
            <c:numRef>
              <c:f>'Master smolts'!$A$9:$A$42</c:f>
              <c:numCache>
                <c:formatCode>General_)</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'Master smolts'!$R$9:$R$42</c:f>
              <c:numCache>
                <c:formatCode>#,##0.0</c:formatCode>
                <c:ptCount val="34"/>
                <c:pt idx="0">
                  <c:v>67.885750360646895</c:v>
                </c:pt>
                <c:pt idx="1">
                  <c:v>52.707014702480642</c:v>
                </c:pt>
                <c:pt idx="3">
                  <c:v>33.632317645990597</c:v>
                </c:pt>
                <c:pt idx="4">
                  <c:v>40.690941082801039</c:v>
                </c:pt>
                <c:pt idx="5">
                  <c:v>61.225895266812472</c:v>
                </c:pt>
                <c:pt idx="6">
                  <c:v>79.610532262524018</c:v>
                </c:pt>
                <c:pt idx="7">
                  <c:v>47.036114689399305</c:v>
                </c:pt>
                <c:pt idx="8">
                  <c:v>50.170293182418789</c:v>
                </c:pt>
                <c:pt idx="9">
                  <c:v>51.55905329087242</c:v>
                </c:pt>
                <c:pt idx="10">
                  <c:v>56.833350091732051</c:v>
                </c:pt>
                <c:pt idx="11">
                  <c:v>52.985338522615798</c:v>
                </c:pt>
                <c:pt idx="12">
                  <c:v>74.692470307235581</c:v>
                </c:pt>
                <c:pt idx="13">
                  <c:v>110.83679337940525</c:v>
                </c:pt>
                <c:pt idx="14">
                  <c:v>77.25109452144406</c:v>
                </c:pt>
                <c:pt idx="15">
                  <c:v>61.503882028343654</c:v>
                </c:pt>
                <c:pt idx="16">
                  <c:v>74.615578839665801</c:v>
                </c:pt>
                <c:pt idx="17">
                  <c:v>118.17227388358124</c:v>
                </c:pt>
                <c:pt idx="18">
                  <c:v>54.369743710831337</c:v>
                </c:pt>
                <c:pt idx="19">
                  <c:v>84.475595650226111</c:v>
                </c:pt>
                <c:pt idx="20">
                  <c:v>95.752136411174163</c:v>
                </c:pt>
                <c:pt idx="21">
                  <c:v>71.056925261981064</c:v>
                </c:pt>
                <c:pt idx="22">
                  <c:v>89.512080805956316</c:v>
                </c:pt>
                <c:pt idx="23">
                  <c:v>102.92839314839793</c:v>
                </c:pt>
                <c:pt idx="24">
                  <c:v>89.230056659059841</c:v>
                </c:pt>
                <c:pt idx="25">
                  <c:v>74.165771556430741</c:v>
                </c:pt>
                <c:pt idx="26">
                  <c:v>66.474463658707151</c:v>
                </c:pt>
                <c:pt idx="27">
                  <c:v>81.784862752324727</c:v>
                </c:pt>
                <c:pt idx="28">
                  <c:v>56.05850955200119</c:v>
                </c:pt>
                <c:pt idx="29">
                  <c:v>73.547521983176097</c:v>
                </c:pt>
                <c:pt idx="30">
                  <c:v>72.694934381501128</c:v>
                </c:pt>
                <c:pt idx="31">
                  <c:v>84.588095477903096</c:v>
                </c:pt>
                <c:pt idx="32">
                  <c:v>127.31177426900982</c:v>
                </c:pt>
                <c:pt idx="33">
                  <c:v>90.003683306048231</c:v>
                </c:pt>
              </c:numCache>
            </c:numRef>
          </c:val>
          <c:smooth val="0"/>
        </c:ser>
        <c:ser>
          <c:idx val="1"/>
          <c:order val="1"/>
          <c:spPr>
            <a:ln w="28575">
              <a:noFill/>
            </a:ln>
          </c:spPr>
          <c:marker>
            <c:symbol val="none"/>
          </c:marker>
          <c:cat>
            <c:numRef>
              <c:f>'Master smolts'!$A$9:$A$42</c:f>
              <c:numCache>
                <c:formatCode>General_)</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'Master smolts'!$S$9:$S$42</c:f>
              <c:numCache>
                <c:formatCode>#,##0.0</c:formatCode>
                <c:ptCount val="34"/>
                <c:pt idx="0">
                  <c:v>94.635672468511146</c:v>
                </c:pt>
                <c:pt idx="1">
                  <c:v>80.440946178033997</c:v>
                </c:pt>
                <c:pt idx="3">
                  <c:v>45.039685117715315</c:v>
                </c:pt>
                <c:pt idx="4">
                  <c:v>52.241488207480977</c:v>
                </c:pt>
                <c:pt idx="5">
                  <c:v>82.591546779065311</c:v>
                </c:pt>
                <c:pt idx="6">
                  <c:v>100.85632944280397</c:v>
                </c:pt>
                <c:pt idx="7">
                  <c:v>57.286460416202225</c:v>
                </c:pt>
                <c:pt idx="8">
                  <c:v>60.495266846420805</c:v>
                </c:pt>
                <c:pt idx="9">
                  <c:v>61.961263706553133</c:v>
                </c:pt>
                <c:pt idx="10">
                  <c:v>67.544663009309659</c:v>
                </c:pt>
                <c:pt idx="11">
                  <c:v>62.618412075252003</c:v>
                </c:pt>
                <c:pt idx="12">
                  <c:v>93.116386984197689</c:v>
                </c:pt>
                <c:pt idx="13">
                  <c:v>171.4630445314686</c:v>
                </c:pt>
                <c:pt idx="14">
                  <c:v>112.51059692509131</c:v>
                </c:pt>
                <c:pt idx="15">
                  <c:v>73.026275787961609</c:v>
                </c:pt>
                <c:pt idx="16">
                  <c:v>87.431559644937082</c:v>
                </c:pt>
                <c:pt idx="17">
                  <c:v>151.18219150987863</c:v>
                </c:pt>
                <c:pt idx="18">
                  <c:v>73.335784913745016</c:v>
                </c:pt>
                <c:pt idx="19">
                  <c:v>130.65813278715692</c:v>
                </c:pt>
                <c:pt idx="20">
                  <c:v>111.24290734282216</c:v>
                </c:pt>
                <c:pt idx="21">
                  <c:v>84.221637411580161</c:v>
                </c:pt>
                <c:pt idx="22">
                  <c:v>117.40514031110409</c:v>
                </c:pt>
                <c:pt idx="23">
                  <c:v>145.6894010231174</c:v>
                </c:pt>
                <c:pt idx="24">
                  <c:v>109.84423637301721</c:v>
                </c:pt>
                <c:pt idx="25">
                  <c:v>96.887135339674131</c:v>
                </c:pt>
                <c:pt idx="26">
                  <c:v>79.280879808021169</c:v>
                </c:pt>
                <c:pt idx="27">
                  <c:v>116.72391960231208</c:v>
                </c:pt>
                <c:pt idx="28">
                  <c:v>75.516690534472303</c:v>
                </c:pt>
                <c:pt idx="29">
                  <c:v>106.46246490929711</c:v>
                </c:pt>
                <c:pt idx="30">
                  <c:v>105.7898147547815</c:v>
                </c:pt>
                <c:pt idx="31">
                  <c:v>119.75164759019454</c:v>
                </c:pt>
                <c:pt idx="32">
                  <c:v>179.8563369730698</c:v>
                </c:pt>
                <c:pt idx="33">
                  <c:v>124.53512856049338</c:v>
                </c:pt>
              </c:numCache>
            </c:numRef>
          </c:val>
          <c:smooth val="0"/>
        </c:ser>
        <c:ser>
          <c:idx val="2"/>
          <c:order val="2"/>
          <c:tx>
            <c:v>Number of Presmolts</c:v>
          </c:tx>
          <c:spPr>
            <a:ln w="12700">
              <a:solidFill>
                <a:srgbClr val="000000"/>
              </a:solidFill>
              <a:prstDash val="solid"/>
            </a:ln>
          </c:spPr>
          <c:marker>
            <c:symbol val="circle"/>
            <c:size val="4"/>
            <c:spPr>
              <a:solidFill>
                <a:srgbClr val="000000"/>
              </a:solidFill>
              <a:ln>
                <a:solidFill>
                  <a:srgbClr val="000000"/>
                </a:solidFill>
                <a:prstDash val="solid"/>
              </a:ln>
            </c:spPr>
          </c:marker>
          <c:dPt>
            <c:idx val="21"/>
            <c:marker>
              <c:spPr>
                <a:solidFill>
                  <a:schemeClr val="tx1"/>
                </a:solidFill>
                <a:ln>
                  <a:solidFill>
                    <a:srgbClr val="000000"/>
                  </a:solidFill>
                  <a:prstDash val="solid"/>
                </a:ln>
              </c:spPr>
            </c:marker>
            <c:bubble3D val="0"/>
          </c:dPt>
          <c:cat>
            <c:numRef>
              <c:f>'Master smolts'!$A$9:$A$42</c:f>
              <c:numCache>
                <c:formatCode>General_)</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'Master smolts'!$Q$9:$Q$42</c:f>
              <c:numCache>
                <c:formatCode>#,##0.0</c:formatCode>
                <c:ptCount val="34"/>
                <c:pt idx="0">
                  <c:v>79.059283687943264</c:v>
                </c:pt>
                <c:pt idx="1">
                  <c:v>63.685573625747651</c:v>
                </c:pt>
                <c:pt idx="3">
                  <c:v>38.50897252747253</c:v>
                </c:pt>
                <c:pt idx="4">
                  <c:v>45.748407417360923</c:v>
                </c:pt>
                <c:pt idx="5">
                  <c:v>70.321670599675855</c:v>
                </c:pt>
                <c:pt idx="6">
                  <c:v>88.982830344736328</c:v>
                </c:pt>
                <c:pt idx="7">
                  <c:v>51.657707251928066</c:v>
                </c:pt>
                <c:pt idx="8">
                  <c:v>54.851125734919684</c:v>
                </c:pt>
                <c:pt idx="9">
                  <c:v>56.283565478211656</c:v>
                </c:pt>
                <c:pt idx="10">
                  <c:v>61.727782651064203</c:v>
                </c:pt>
                <c:pt idx="11">
                  <c:v>57.400521079928957</c:v>
                </c:pt>
                <c:pt idx="12">
                  <c:v>82.893037735849049</c:v>
                </c:pt>
                <c:pt idx="13">
                  <c:v>134.63992171995588</c:v>
                </c:pt>
                <c:pt idx="14">
                  <c:v>91.60507256727459</c:v>
                </c:pt>
                <c:pt idx="15">
                  <c:v>66.771637288419413</c:v>
                </c:pt>
                <c:pt idx="16">
                  <c:v>80.516774227168582</c:v>
                </c:pt>
                <c:pt idx="17">
                  <c:v>132.65451764705881</c:v>
                </c:pt>
                <c:pt idx="18">
                  <c:v>62.444404303192243</c:v>
                </c:pt>
                <c:pt idx="19">
                  <c:v>102.60988524590164</c:v>
                </c:pt>
                <c:pt idx="20">
                  <c:v>102.91788484872714</c:v>
                </c:pt>
                <c:pt idx="21">
                  <c:v>77.08122089689185</c:v>
                </c:pt>
                <c:pt idx="22">
                  <c:v>101.57857668711657</c:v>
                </c:pt>
                <c:pt idx="23">
                  <c:v>120.63155813953489</c:v>
                </c:pt>
                <c:pt idx="24">
                  <c:v>98.469845462730603</c:v>
                </c:pt>
                <c:pt idx="25">
                  <c:v>84.0173870967742</c:v>
                </c:pt>
                <c:pt idx="26">
                  <c:v>72.315070422535214</c:v>
                </c:pt>
                <c:pt idx="27">
                  <c:v>96.179621187077387</c:v>
                </c:pt>
                <c:pt idx="28">
                  <c:v>64.348799999999997</c:v>
                </c:pt>
                <c:pt idx="29">
                  <c:v>86.995734108650637</c:v>
                </c:pt>
                <c:pt idx="30">
                  <c:v>86.174126126126126</c:v>
                </c:pt>
                <c:pt idx="31">
                  <c:v>99.144333333333321</c:v>
                </c:pt>
                <c:pt idx="32">
                  <c:v>149.08988619278006</c:v>
                </c:pt>
                <c:pt idx="33">
                  <c:v>104.4903733167797</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7689984"/>
        <c:axId val="207696256"/>
      </c:lineChart>
      <c:catAx>
        <c:axId val="207689984"/>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Return</a:t>
                </a:r>
                <a:r>
                  <a:rPr lang="en-US" baseline="0"/>
                  <a:t> </a:t>
                </a:r>
                <a:r>
                  <a:rPr lang="en-US"/>
                  <a:t>Year</a:t>
                </a:r>
              </a:p>
            </c:rich>
          </c:tx>
          <c:layout>
            <c:manualLayout>
              <c:xMode val="edge"/>
              <c:yMode val="edge"/>
              <c:x val="0.46502579554237333"/>
              <c:y val="0.9239648281374901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7696256"/>
        <c:crosses val="autoZero"/>
        <c:auto val="1"/>
        <c:lblAlgn val="ctr"/>
        <c:lblOffset val="100"/>
        <c:tickLblSkip val="1"/>
        <c:tickMarkSkip val="1"/>
        <c:noMultiLvlLbl val="0"/>
      </c:catAx>
      <c:valAx>
        <c:axId val="207696256"/>
        <c:scaling>
          <c:orientation val="minMax"/>
          <c:max val="180"/>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Presmolts</a:t>
                </a:r>
              </a:p>
            </c:rich>
          </c:tx>
          <c:layout>
            <c:manualLayout>
              <c:xMode val="edge"/>
              <c:yMode val="edge"/>
              <c:x val="1.3682504933520081E-2"/>
              <c:y val="0.1912689690767071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689984"/>
        <c:crosses val="autoZero"/>
        <c:crossBetween val="between"/>
      </c:valAx>
      <c:spPr>
        <a:solidFill>
          <a:srgbClr val="FFFFFF"/>
        </a:solidFill>
        <a:ln w="25400">
          <a:noFill/>
        </a:ln>
      </c:spPr>
    </c:plotArea>
    <c:legend>
      <c:legendPos val="r"/>
      <c:legendEntry>
        <c:idx val="0"/>
        <c:delete val="1"/>
      </c:legendEntry>
      <c:legendEntry>
        <c:idx val="1"/>
        <c:delete val="1"/>
      </c:legendEntry>
      <c:layout>
        <c:manualLayout>
          <c:xMode val="edge"/>
          <c:yMode val="edge"/>
          <c:x val="0.4472423682465701"/>
          <c:y val="0.63742240852986898"/>
          <c:w val="0.46357817213146862"/>
          <c:h val="0.13803945151247499"/>
        </c:manualLayout>
      </c:layout>
      <c:overlay val="1"/>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25786126509972"/>
          <c:y val="5.4258325622966203E-2"/>
          <c:w val="0.78973247178183448"/>
          <c:h val="0.75555253435047243"/>
        </c:manualLayout>
      </c:layout>
      <c:lineChart>
        <c:grouping val="standard"/>
        <c:varyColors val="0"/>
        <c:ser>
          <c:idx val="2"/>
          <c:order val="0"/>
          <c:tx>
            <c:v>Number of Presmolts</c:v>
          </c:tx>
          <c:spPr>
            <a:ln w="19050">
              <a:solidFill>
                <a:srgbClr val="000000"/>
              </a:solidFill>
              <a:prstDash val="solid"/>
            </a:ln>
          </c:spPr>
          <c:marker>
            <c:symbol val="circle"/>
            <c:size val="4"/>
            <c:spPr>
              <a:solidFill>
                <a:srgbClr val="000000"/>
              </a:solidFill>
              <a:ln>
                <a:solidFill>
                  <a:srgbClr val="000000"/>
                </a:solidFill>
                <a:prstDash val="solid"/>
              </a:ln>
            </c:spPr>
          </c:marker>
          <c:dPt>
            <c:idx val="21"/>
            <c:marker>
              <c:spPr>
                <a:solidFill>
                  <a:schemeClr val="tx1"/>
                </a:solidFill>
                <a:ln>
                  <a:solidFill>
                    <a:srgbClr val="000000"/>
                  </a:solidFill>
                  <a:prstDash val="solid"/>
                </a:ln>
              </c:spPr>
            </c:marker>
            <c:bubble3D val="0"/>
          </c:dPt>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smolts'!$Q$9:$Q$42</c:f>
              <c:numCache>
                <c:formatCode>#,##0.0</c:formatCode>
                <c:ptCount val="34"/>
                <c:pt idx="0">
                  <c:v>79.059283687943264</c:v>
                </c:pt>
                <c:pt idx="1">
                  <c:v>63.685573625747651</c:v>
                </c:pt>
                <c:pt idx="3">
                  <c:v>38.50897252747253</c:v>
                </c:pt>
                <c:pt idx="4">
                  <c:v>45.748407417360923</c:v>
                </c:pt>
                <c:pt idx="5">
                  <c:v>70.321670599675855</c:v>
                </c:pt>
                <c:pt idx="6">
                  <c:v>88.982830344736328</c:v>
                </c:pt>
                <c:pt idx="7">
                  <c:v>51.657707251928066</c:v>
                </c:pt>
                <c:pt idx="8">
                  <c:v>54.851125734919684</c:v>
                </c:pt>
                <c:pt idx="9">
                  <c:v>56.283565478211656</c:v>
                </c:pt>
                <c:pt idx="10">
                  <c:v>61.727782651064203</c:v>
                </c:pt>
                <c:pt idx="11">
                  <c:v>57.400521079928957</c:v>
                </c:pt>
                <c:pt idx="12">
                  <c:v>82.893037735849049</c:v>
                </c:pt>
                <c:pt idx="13">
                  <c:v>134.63992171995588</c:v>
                </c:pt>
                <c:pt idx="14">
                  <c:v>91.60507256727459</c:v>
                </c:pt>
                <c:pt idx="15">
                  <c:v>66.771637288419413</c:v>
                </c:pt>
                <c:pt idx="16">
                  <c:v>80.516774227168582</c:v>
                </c:pt>
                <c:pt idx="17">
                  <c:v>132.65451764705881</c:v>
                </c:pt>
                <c:pt idx="18">
                  <c:v>62.444404303192243</c:v>
                </c:pt>
                <c:pt idx="19">
                  <c:v>102.60988524590164</c:v>
                </c:pt>
                <c:pt idx="20">
                  <c:v>102.91788484872714</c:v>
                </c:pt>
                <c:pt idx="21">
                  <c:v>77.08122089689185</c:v>
                </c:pt>
                <c:pt idx="22">
                  <c:v>101.57857668711657</c:v>
                </c:pt>
                <c:pt idx="23">
                  <c:v>120.63155813953489</c:v>
                </c:pt>
                <c:pt idx="24">
                  <c:v>98.469845462730603</c:v>
                </c:pt>
                <c:pt idx="25">
                  <c:v>84.0173870967742</c:v>
                </c:pt>
                <c:pt idx="26">
                  <c:v>72.315070422535214</c:v>
                </c:pt>
                <c:pt idx="27">
                  <c:v>96.179621187077387</c:v>
                </c:pt>
                <c:pt idx="28">
                  <c:v>64.348799999999997</c:v>
                </c:pt>
                <c:pt idx="29">
                  <c:v>86.995734108650637</c:v>
                </c:pt>
                <c:pt idx="30">
                  <c:v>86.174126126126126</c:v>
                </c:pt>
                <c:pt idx="31">
                  <c:v>99.144333333333321</c:v>
                </c:pt>
                <c:pt idx="32">
                  <c:v>149.08988619278006</c:v>
                </c:pt>
                <c:pt idx="33">
                  <c:v>104.4903733167797</c:v>
                </c:pt>
              </c:numCache>
            </c:numRef>
          </c:val>
          <c:smooth val="0"/>
        </c:ser>
        <c:ser>
          <c:idx val="0"/>
          <c:order val="1"/>
          <c:tx>
            <c:v>Series1</c:v>
          </c:tx>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smolts'!$R$9:$R$42</c:f>
              <c:numCache>
                <c:formatCode>#,##0.0</c:formatCode>
                <c:ptCount val="34"/>
                <c:pt idx="0">
                  <c:v>67.885750360646895</c:v>
                </c:pt>
                <c:pt idx="1">
                  <c:v>52.707014702480642</c:v>
                </c:pt>
                <c:pt idx="3">
                  <c:v>33.632317645990597</c:v>
                </c:pt>
                <c:pt idx="4">
                  <c:v>40.690941082801039</c:v>
                </c:pt>
                <c:pt idx="5">
                  <c:v>61.225895266812472</c:v>
                </c:pt>
                <c:pt idx="6">
                  <c:v>79.610532262524018</c:v>
                </c:pt>
                <c:pt idx="7">
                  <c:v>47.036114689399305</c:v>
                </c:pt>
                <c:pt idx="8">
                  <c:v>50.170293182418789</c:v>
                </c:pt>
                <c:pt idx="9">
                  <c:v>51.55905329087242</c:v>
                </c:pt>
                <c:pt idx="10">
                  <c:v>56.833350091732051</c:v>
                </c:pt>
                <c:pt idx="11">
                  <c:v>52.985338522615798</c:v>
                </c:pt>
                <c:pt idx="12">
                  <c:v>74.692470307235581</c:v>
                </c:pt>
                <c:pt idx="13">
                  <c:v>110.83679337940525</c:v>
                </c:pt>
                <c:pt idx="14">
                  <c:v>77.25109452144406</c:v>
                </c:pt>
                <c:pt idx="15">
                  <c:v>61.503882028343654</c:v>
                </c:pt>
                <c:pt idx="16">
                  <c:v>74.615578839665801</c:v>
                </c:pt>
                <c:pt idx="17">
                  <c:v>118.17227388358124</c:v>
                </c:pt>
                <c:pt idx="18">
                  <c:v>54.369743710831337</c:v>
                </c:pt>
                <c:pt idx="19">
                  <c:v>84.475595650226111</c:v>
                </c:pt>
                <c:pt idx="20">
                  <c:v>95.752136411174163</c:v>
                </c:pt>
                <c:pt idx="21">
                  <c:v>71.056925261981064</c:v>
                </c:pt>
                <c:pt idx="22">
                  <c:v>89.512080805956316</c:v>
                </c:pt>
                <c:pt idx="23">
                  <c:v>102.92839314839793</c:v>
                </c:pt>
                <c:pt idx="24">
                  <c:v>89.230056659059841</c:v>
                </c:pt>
                <c:pt idx="25">
                  <c:v>74.165771556430741</c:v>
                </c:pt>
                <c:pt idx="26">
                  <c:v>66.474463658707151</c:v>
                </c:pt>
                <c:pt idx="27">
                  <c:v>81.784862752324727</c:v>
                </c:pt>
                <c:pt idx="28">
                  <c:v>56.05850955200119</c:v>
                </c:pt>
                <c:pt idx="29">
                  <c:v>73.547521983176097</c:v>
                </c:pt>
                <c:pt idx="30">
                  <c:v>72.694934381501128</c:v>
                </c:pt>
                <c:pt idx="31">
                  <c:v>84.588095477903096</c:v>
                </c:pt>
                <c:pt idx="32">
                  <c:v>127.31177426900982</c:v>
                </c:pt>
                <c:pt idx="33">
                  <c:v>90.003683306048231</c:v>
                </c:pt>
              </c:numCache>
            </c:numRef>
          </c:val>
          <c:smooth val="0"/>
        </c:ser>
        <c:ser>
          <c:idx val="1"/>
          <c:order val="2"/>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smolts'!$S$9:$S$42</c:f>
              <c:numCache>
                <c:formatCode>#,##0.0</c:formatCode>
                <c:ptCount val="34"/>
                <c:pt idx="0">
                  <c:v>94.635672468511146</c:v>
                </c:pt>
                <c:pt idx="1">
                  <c:v>80.440946178033997</c:v>
                </c:pt>
                <c:pt idx="3">
                  <c:v>45.039685117715315</c:v>
                </c:pt>
                <c:pt idx="4">
                  <c:v>52.241488207480977</c:v>
                </c:pt>
                <c:pt idx="5">
                  <c:v>82.591546779065311</c:v>
                </c:pt>
                <c:pt idx="6">
                  <c:v>100.85632944280397</c:v>
                </c:pt>
                <c:pt idx="7">
                  <c:v>57.286460416202225</c:v>
                </c:pt>
                <c:pt idx="8">
                  <c:v>60.495266846420805</c:v>
                </c:pt>
                <c:pt idx="9">
                  <c:v>61.961263706553133</c:v>
                </c:pt>
                <c:pt idx="10">
                  <c:v>67.544663009309659</c:v>
                </c:pt>
                <c:pt idx="11">
                  <c:v>62.618412075252003</c:v>
                </c:pt>
                <c:pt idx="12">
                  <c:v>93.116386984197689</c:v>
                </c:pt>
                <c:pt idx="13">
                  <c:v>171.4630445314686</c:v>
                </c:pt>
                <c:pt idx="14">
                  <c:v>112.51059692509131</c:v>
                </c:pt>
                <c:pt idx="15">
                  <c:v>73.026275787961609</c:v>
                </c:pt>
                <c:pt idx="16">
                  <c:v>87.431559644937082</c:v>
                </c:pt>
                <c:pt idx="17">
                  <c:v>151.18219150987863</c:v>
                </c:pt>
                <c:pt idx="18">
                  <c:v>73.335784913745016</c:v>
                </c:pt>
                <c:pt idx="19">
                  <c:v>130.65813278715692</c:v>
                </c:pt>
                <c:pt idx="20">
                  <c:v>111.24290734282216</c:v>
                </c:pt>
                <c:pt idx="21">
                  <c:v>84.221637411580161</c:v>
                </c:pt>
                <c:pt idx="22">
                  <c:v>117.40514031110409</c:v>
                </c:pt>
                <c:pt idx="23">
                  <c:v>145.6894010231174</c:v>
                </c:pt>
                <c:pt idx="24">
                  <c:v>109.84423637301721</c:v>
                </c:pt>
                <c:pt idx="25">
                  <c:v>96.887135339674131</c:v>
                </c:pt>
                <c:pt idx="26">
                  <c:v>79.280879808021169</c:v>
                </c:pt>
                <c:pt idx="27">
                  <c:v>116.72391960231208</c:v>
                </c:pt>
                <c:pt idx="28">
                  <c:v>75.516690534472303</c:v>
                </c:pt>
                <c:pt idx="29">
                  <c:v>106.46246490929711</c:v>
                </c:pt>
                <c:pt idx="30">
                  <c:v>105.7898147547815</c:v>
                </c:pt>
                <c:pt idx="31">
                  <c:v>119.75164759019454</c:v>
                </c:pt>
                <c:pt idx="32">
                  <c:v>179.8563369730698</c:v>
                </c:pt>
                <c:pt idx="33">
                  <c:v>124.53512856049338</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7747328"/>
        <c:axId val="207757696"/>
      </c:lineChart>
      <c:lineChart>
        <c:grouping val="standard"/>
        <c:varyColors val="0"/>
        <c:ser>
          <c:idx val="3"/>
          <c:order val="3"/>
          <c:tx>
            <c:v>Thousands of Pink Salmon</c:v>
          </c:tx>
          <c:spPr>
            <a:ln w="25400">
              <a:solidFill>
                <a:schemeClr val="accent1">
                  <a:lumMod val="75000"/>
                </a:schemeClr>
              </a:solidFill>
              <a:prstDash val="sysDash"/>
            </a:ln>
          </c:spPr>
          <c:marker>
            <c:symbol val="none"/>
          </c:marker>
          <c:val>
            <c:numRef>
              <c:f>'Master smolts'!$BG$5:$BG$38</c:f>
              <c:numCache>
                <c:formatCode>General_)</c:formatCode>
                <c:ptCount val="34"/>
                <c:pt idx="0">
                  <c:v>0.3</c:v>
                </c:pt>
                <c:pt idx="1">
                  <c:v>34</c:v>
                </c:pt>
                <c:pt idx="2">
                  <c:v>4.5</c:v>
                </c:pt>
                <c:pt idx="3">
                  <c:v>17</c:v>
                </c:pt>
                <c:pt idx="4">
                  <c:v>19</c:v>
                </c:pt>
                <c:pt idx="5">
                  <c:v>27.1</c:v>
                </c:pt>
                <c:pt idx="6">
                  <c:v>14.33</c:v>
                </c:pt>
                <c:pt idx="7">
                  <c:v>58.7</c:v>
                </c:pt>
                <c:pt idx="8">
                  <c:v>22.742000000000001</c:v>
                </c:pt>
                <c:pt idx="9">
                  <c:v>56.3</c:v>
                </c:pt>
                <c:pt idx="10">
                  <c:v>41.246000000000002</c:v>
                </c:pt>
                <c:pt idx="11">
                  <c:v>86.7</c:v>
                </c:pt>
                <c:pt idx="12">
                  <c:v>79.972999999999999</c:v>
                </c:pt>
                <c:pt idx="13">
                  <c:v>30.4</c:v>
                </c:pt>
                <c:pt idx="14">
                  <c:v>73.894999999999996</c:v>
                </c:pt>
                <c:pt idx="15">
                  <c:v>90</c:v>
                </c:pt>
                <c:pt idx="16">
                  <c:v>158.44499999999999</c:v>
                </c:pt>
                <c:pt idx="17">
                  <c:v>32.942</c:v>
                </c:pt>
                <c:pt idx="18">
                  <c:v>38.173000000000002</c:v>
                </c:pt>
                <c:pt idx="19">
                  <c:v>510</c:v>
                </c:pt>
                <c:pt idx="20">
                  <c:v>151</c:v>
                </c:pt>
                <c:pt idx="21">
                  <c:v>180</c:v>
                </c:pt>
                <c:pt idx="22">
                  <c:v>97</c:v>
                </c:pt>
                <c:pt idx="23">
                  <c:v>175</c:v>
                </c:pt>
                <c:pt idx="24">
                  <c:v>83</c:v>
                </c:pt>
                <c:pt idx="25">
                  <c:v>160</c:v>
                </c:pt>
                <c:pt idx="26">
                  <c:v>80.5</c:v>
                </c:pt>
                <c:pt idx="27">
                  <c:v>93</c:v>
                </c:pt>
                <c:pt idx="28">
                  <c:v>83</c:v>
                </c:pt>
                <c:pt idx="29">
                  <c:v>113.1</c:v>
                </c:pt>
                <c:pt idx="30">
                  <c:v>132</c:v>
                </c:pt>
                <c:pt idx="31">
                  <c:v>147</c:v>
                </c:pt>
                <c:pt idx="32">
                  <c:v>111</c:v>
                </c:pt>
                <c:pt idx="33">
                  <c:v>172.6</c:v>
                </c:pt>
              </c:numCache>
            </c:numRef>
          </c:val>
          <c:smooth val="0"/>
        </c:ser>
        <c:ser>
          <c:idx val="4"/>
          <c:order val="4"/>
          <c:tx>
            <c:v>Pink Salmon Trend</c:v>
          </c:tx>
          <c:spPr>
            <a:ln w="41275">
              <a:solidFill>
                <a:schemeClr val="accent1">
                  <a:lumMod val="60000"/>
                  <a:lumOff val="40000"/>
                </a:schemeClr>
              </a:solidFill>
            </a:ln>
          </c:spPr>
          <c:marker>
            <c:symbol val="none"/>
          </c:marker>
          <c:val>
            <c:numRef>
              <c:f>'Master smolts'!$BH$5:$BH$38</c:f>
              <c:numCache>
                <c:formatCode>General_)</c:formatCode>
                <c:ptCount val="34"/>
                <c:pt idx="0">
                  <c:v>10.685345078741184</c:v>
                </c:pt>
                <c:pt idx="1">
                  <c:v>12.992107304858353</c:v>
                </c:pt>
                <c:pt idx="2">
                  <c:v>15.590629384361502</c:v>
                </c:pt>
                <c:pt idx="3">
                  <c:v>17.94877696759788</c:v>
                </c:pt>
                <c:pt idx="4">
                  <c:v>18.645917322874567</c:v>
                </c:pt>
                <c:pt idx="5">
                  <c:v>23.900393568336906</c:v>
                </c:pt>
                <c:pt idx="6">
                  <c:v>30.288777554954329</c:v>
                </c:pt>
                <c:pt idx="7">
                  <c:v>34.703224833821864</c:v>
                </c:pt>
                <c:pt idx="8">
                  <c:v>41.574643996861397</c:v>
                </c:pt>
                <c:pt idx="9">
                  <c:v>47.118354970655865</c:v>
                </c:pt>
                <c:pt idx="10">
                  <c:v>58.782769591841486</c:v>
                </c:pt>
                <c:pt idx="11">
                  <c:v>64.646865110546912</c:v>
                </c:pt>
                <c:pt idx="12">
                  <c:v>64.504985616262843</c:v>
                </c:pt>
                <c:pt idx="13">
                  <c:v>65.857547696092141</c:v>
                </c:pt>
                <c:pt idx="14">
                  <c:v>75.940290682795904</c:v>
                </c:pt>
                <c:pt idx="15">
                  <c:v>91.747124406690773</c:v>
                </c:pt>
                <c:pt idx="16">
                  <c:v>88.226276571850065</c:v>
                </c:pt>
                <c:pt idx="17">
                  <c:v>98.889404604683548</c:v>
                </c:pt>
                <c:pt idx="18">
                  <c:v>127.28299280854358</c:v>
                </c:pt>
                <c:pt idx="19">
                  <c:v>155.94319466844729</c:v>
                </c:pt>
                <c:pt idx="20">
                  <c:v>179.94492735227035</c:v>
                </c:pt>
                <c:pt idx="21">
                  <c:v>162.7910229952698</c:v>
                </c:pt>
                <c:pt idx="22">
                  <c:v>142.28023573849907</c:v>
                </c:pt>
                <c:pt idx="23">
                  <c:v>130.41391334359733</c:v>
                </c:pt>
                <c:pt idx="24">
                  <c:v>127.47978208081997</c:v>
                </c:pt>
                <c:pt idx="25">
                  <c:v>114.67285166829264</c:v>
                </c:pt>
                <c:pt idx="26">
                  <c:v>104.58774230873733</c:v>
                </c:pt>
                <c:pt idx="27">
                  <c:v>95.946025719467499</c:v>
                </c:pt>
                <c:pt idx="28">
                  <c:v>97.933571113394052</c:v>
                </c:pt>
                <c:pt idx="29">
                  <c:v>111.60922645038403</c:v>
                </c:pt>
                <c:pt idx="30">
                  <c:v>123.99631819335583</c:v>
                </c:pt>
                <c:pt idx="31">
                  <c:v>131.88317535165248</c:v>
                </c:pt>
                <c:pt idx="32">
                  <c:v>137.08426431399795</c:v>
                </c:pt>
                <c:pt idx="33">
                  <c:v>141.15577475821527</c:v>
                </c:pt>
              </c:numCache>
            </c:numRef>
          </c:val>
          <c:smooth val="0"/>
        </c:ser>
        <c:dLbls>
          <c:showLegendKey val="0"/>
          <c:showVal val="0"/>
          <c:showCatName val="0"/>
          <c:showSerName val="0"/>
          <c:showPercent val="0"/>
          <c:showBubbleSize val="0"/>
        </c:dLbls>
        <c:marker val="1"/>
        <c:smooth val="0"/>
        <c:axId val="207774080"/>
        <c:axId val="207759616"/>
      </c:lineChart>
      <c:catAx>
        <c:axId val="207747328"/>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baseline="0"/>
                  <a:t>Rearing </a:t>
                </a:r>
                <a:r>
                  <a:rPr lang="en-US"/>
                  <a:t>Year</a:t>
                </a:r>
              </a:p>
            </c:rich>
          </c:tx>
          <c:layout>
            <c:manualLayout>
              <c:xMode val="edge"/>
              <c:yMode val="edge"/>
              <c:x val="0.43513042932413715"/>
              <c:y val="0.9239648281374901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7757696"/>
        <c:crosses val="autoZero"/>
        <c:auto val="1"/>
        <c:lblAlgn val="ctr"/>
        <c:lblOffset val="100"/>
        <c:tickLblSkip val="1"/>
        <c:tickMarkSkip val="1"/>
        <c:noMultiLvlLbl val="0"/>
      </c:catAx>
      <c:valAx>
        <c:axId val="207757696"/>
        <c:scaling>
          <c:orientation val="minMax"/>
          <c:max val="180"/>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Coho Presmolts</a:t>
                </a:r>
              </a:p>
            </c:rich>
          </c:tx>
          <c:layout>
            <c:manualLayout>
              <c:xMode val="edge"/>
              <c:yMode val="edge"/>
              <c:x val="7.7034316898728465E-3"/>
              <c:y val="0.1369124542885376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747328"/>
        <c:crosses val="autoZero"/>
        <c:crossBetween val="between"/>
      </c:valAx>
      <c:valAx>
        <c:axId val="207759616"/>
        <c:scaling>
          <c:orientation val="minMax"/>
          <c:max val="300"/>
          <c:min val="0"/>
        </c:scaling>
        <c:delete val="0"/>
        <c:axPos val="r"/>
        <c:title>
          <c:tx>
            <c:rich>
              <a:bodyPr rot="-5400000" vert="horz"/>
              <a:lstStyle/>
              <a:p>
                <a:pPr>
                  <a:defRPr sz="1400" b="0"/>
                </a:pPr>
                <a:r>
                  <a:rPr lang="en-US" sz="1400" b="0"/>
                  <a:t>Thousands of Pink Salmon</a:t>
                </a:r>
              </a:p>
            </c:rich>
          </c:tx>
          <c:overlay val="0"/>
        </c:title>
        <c:numFmt formatCode="0" sourceLinked="0"/>
        <c:majorTickMark val="out"/>
        <c:minorTickMark val="none"/>
        <c:tickLblPos val="nextTo"/>
        <c:txPr>
          <a:bodyPr/>
          <a:lstStyle/>
          <a:p>
            <a:pPr>
              <a:defRPr sz="1100" b="0"/>
            </a:pPr>
            <a:endParaRPr lang="en-US"/>
          </a:p>
        </c:txPr>
        <c:crossAx val="207774080"/>
        <c:crosses val="max"/>
        <c:crossBetween val="between"/>
      </c:valAx>
      <c:catAx>
        <c:axId val="207774080"/>
        <c:scaling>
          <c:orientation val="minMax"/>
        </c:scaling>
        <c:delete val="1"/>
        <c:axPos val="b"/>
        <c:majorTickMark val="out"/>
        <c:minorTickMark val="none"/>
        <c:tickLblPos val="nextTo"/>
        <c:crossAx val="207759616"/>
        <c:crosses val="autoZero"/>
        <c:auto val="1"/>
        <c:lblAlgn val="ctr"/>
        <c:lblOffset val="100"/>
        <c:noMultiLvlLbl val="0"/>
      </c:catAx>
      <c:spPr>
        <a:solidFill>
          <a:srgbClr val="FFFFFF"/>
        </a:solidFill>
        <a:ln w="25400">
          <a:noFill/>
        </a:ln>
      </c:spPr>
    </c:plotArea>
    <c:legend>
      <c:legendPos val="r"/>
      <c:legendEntry>
        <c:idx val="1"/>
        <c:delete val="1"/>
      </c:legendEntry>
      <c:legendEntry>
        <c:idx val="2"/>
        <c:delete val="1"/>
      </c:legendEntry>
      <c:layout>
        <c:manualLayout>
          <c:xMode val="edge"/>
          <c:yMode val="edge"/>
          <c:x val="0.5150051983412387"/>
          <c:y val="0.66042744656917884"/>
          <c:w val="0.39854556297054794"/>
          <c:h val="0.14500414720887161"/>
        </c:manualLayout>
      </c:layout>
      <c:overlay val="1"/>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25786126509972"/>
          <c:y val="5.4258325622966203E-2"/>
          <c:w val="0.78973247178183448"/>
          <c:h val="0.75555253435047243"/>
        </c:manualLayout>
      </c:layout>
      <c:lineChart>
        <c:grouping val="standard"/>
        <c:varyColors val="0"/>
        <c:ser>
          <c:idx val="0"/>
          <c:order val="0"/>
          <c:tx>
            <c:v>Series1</c:v>
          </c:tx>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smolts'!$R$9:$R$42</c:f>
              <c:numCache>
                <c:formatCode>#,##0.0</c:formatCode>
                <c:ptCount val="34"/>
                <c:pt idx="0">
                  <c:v>67.885750360646895</c:v>
                </c:pt>
                <c:pt idx="1">
                  <c:v>52.707014702480642</c:v>
                </c:pt>
                <c:pt idx="3">
                  <c:v>33.632317645990597</c:v>
                </c:pt>
                <c:pt idx="4">
                  <c:v>40.690941082801039</c:v>
                </c:pt>
                <c:pt idx="5">
                  <c:v>61.225895266812472</c:v>
                </c:pt>
                <c:pt idx="6">
                  <c:v>79.610532262524018</c:v>
                </c:pt>
                <c:pt idx="7">
                  <c:v>47.036114689399305</c:v>
                </c:pt>
                <c:pt idx="8">
                  <c:v>50.170293182418789</c:v>
                </c:pt>
                <c:pt idx="9">
                  <c:v>51.55905329087242</c:v>
                </c:pt>
                <c:pt idx="10">
                  <c:v>56.833350091732051</c:v>
                </c:pt>
                <c:pt idx="11">
                  <c:v>52.985338522615798</c:v>
                </c:pt>
                <c:pt idx="12">
                  <c:v>74.692470307235581</c:v>
                </c:pt>
                <c:pt idx="13">
                  <c:v>110.83679337940525</c:v>
                </c:pt>
                <c:pt idx="14">
                  <c:v>77.25109452144406</c:v>
                </c:pt>
                <c:pt idx="15">
                  <c:v>61.503882028343654</c:v>
                </c:pt>
                <c:pt idx="16">
                  <c:v>74.615578839665801</c:v>
                </c:pt>
                <c:pt idx="17">
                  <c:v>118.17227388358124</c:v>
                </c:pt>
                <c:pt idx="18">
                  <c:v>54.369743710831337</c:v>
                </c:pt>
                <c:pt idx="19">
                  <c:v>84.475595650226111</c:v>
                </c:pt>
                <c:pt idx="20">
                  <c:v>95.752136411174163</c:v>
                </c:pt>
                <c:pt idx="21">
                  <c:v>71.056925261981064</c:v>
                </c:pt>
                <c:pt idx="22">
                  <c:v>89.512080805956316</c:v>
                </c:pt>
                <c:pt idx="23">
                  <c:v>102.92839314839793</c:v>
                </c:pt>
                <c:pt idx="24">
                  <c:v>89.230056659059841</c:v>
                </c:pt>
                <c:pt idx="25">
                  <c:v>74.165771556430741</c:v>
                </c:pt>
                <c:pt idx="26">
                  <c:v>66.474463658707151</c:v>
                </c:pt>
                <c:pt idx="27">
                  <c:v>81.784862752324727</c:v>
                </c:pt>
                <c:pt idx="28">
                  <c:v>56.05850955200119</c:v>
                </c:pt>
                <c:pt idx="29">
                  <c:v>73.547521983176097</c:v>
                </c:pt>
                <c:pt idx="30">
                  <c:v>72.694934381501128</c:v>
                </c:pt>
                <c:pt idx="31">
                  <c:v>84.588095477903096</c:v>
                </c:pt>
                <c:pt idx="32">
                  <c:v>127.31177426900982</c:v>
                </c:pt>
                <c:pt idx="33">
                  <c:v>90.003683306048231</c:v>
                </c:pt>
              </c:numCache>
            </c:numRef>
          </c:val>
          <c:smooth val="0"/>
        </c:ser>
        <c:ser>
          <c:idx val="1"/>
          <c:order val="1"/>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smolts'!$S$9:$S$42</c:f>
              <c:numCache>
                <c:formatCode>#,##0.0</c:formatCode>
                <c:ptCount val="34"/>
                <c:pt idx="0">
                  <c:v>94.635672468511146</c:v>
                </c:pt>
                <c:pt idx="1">
                  <c:v>80.440946178033997</c:v>
                </c:pt>
                <c:pt idx="3">
                  <c:v>45.039685117715315</c:v>
                </c:pt>
                <c:pt idx="4">
                  <c:v>52.241488207480977</c:v>
                </c:pt>
                <c:pt idx="5">
                  <c:v>82.591546779065311</c:v>
                </c:pt>
                <c:pt idx="6">
                  <c:v>100.85632944280397</c:v>
                </c:pt>
                <c:pt idx="7">
                  <c:v>57.286460416202225</c:v>
                </c:pt>
                <c:pt idx="8">
                  <c:v>60.495266846420805</c:v>
                </c:pt>
                <c:pt idx="9">
                  <c:v>61.961263706553133</c:v>
                </c:pt>
                <c:pt idx="10">
                  <c:v>67.544663009309659</c:v>
                </c:pt>
                <c:pt idx="11">
                  <c:v>62.618412075252003</c:v>
                </c:pt>
                <c:pt idx="12">
                  <c:v>93.116386984197689</c:v>
                </c:pt>
                <c:pt idx="13">
                  <c:v>171.4630445314686</c:v>
                </c:pt>
                <c:pt idx="14">
                  <c:v>112.51059692509131</c:v>
                </c:pt>
                <c:pt idx="15">
                  <c:v>73.026275787961609</c:v>
                </c:pt>
                <c:pt idx="16">
                  <c:v>87.431559644937082</c:v>
                </c:pt>
                <c:pt idx="17">
                  <c:v>151.18219150987863</c:v>
                </c:pt>
                <c:pt idx="18">
                  <c:v>73.335784913745016</c:v>
                </c:pt>
                <c:pt idx="19">
                  <c:v>130.65813278715692</c:v>
                </c:pt>
                <c:pt idx="20">
                  <c:v>111.24290734282216</c:v>
                </c:pt>
                <c:pt idx="21">
                  <c:v>84.221637411580161</c:v>
                </c:pt>
                <c:pt idx="22">
                  <c:v>117.40514031110409</c:v>
                </c:pt>
                <c:pt idx="23">
                  <c:v>145.6894010231174</c:v>
                </c:pt>
                <c:pt idx="24">
                  <c:v>109.84423637301721</c:v>
                </c:pt>
                <c:pt idx="25">
                  <c:v>96.887135339674131</c:v>
                </c:pt>
                <c:pt idx="26">
                  <c:v>79.280879808021169</c:v>
                </c:pt>
                <c:pt idx="27">
                  <c:v>116.72391960231208</c:v>
                </c:pt>
                <c:pt idx="28">
                  <c:v>75.516690534472303</c:v>
                </c:pt>
                <c:pt idx="29">
                  <c:v>106.46246490929711</c:v>
                </c:pt>
                <c:pt idx="30">
                  <c:v>105.7898147547815</c:v>
                </c:pt>
                <c:pt idx="31">
                  <c:v>119.75164759019454</c:v>
                </c:pt>
                <c:pt idx="32">
                  <c:v>179.8563369730698</c:v>
                </c:pt>
                <c:pt idx="33">
                  <c:v>124.53512856049338</c:v>
                </c:pt>
              </c:numCache>
            </c:numRef>
          </c:val>
          <c:smooth val="0"/>
        </c:ser>
        <c:ser>
          <c:idx val="2"/>
          <c:order val="2"/>
          <c:tx>
            <c:v>Number of Presmolts</c:v>
          </c:tx>
          <c:spPr>
            <a:ln w="19050">
              <a:solidFill>
                <a:srgbClr val="000000"/>
              </a:solidFill>
              <a:prstDash val="solid"/>
            </a:ln>
          </c:spPr>
          <c:marker>
            <c:symbol val="circle"/>
            <c:size val="4"/>
            <c:spPr>
              <a:solidFill>
                <a:srgbClr val="000000"/>
              </a:solidFill>
              <a:ln>
                <a:solidFill>
                  <a:srgbClr val="000000"/>
                </a:solidFill>
                <a:prstDash val="solid"/>
              </a:ln>
            </c:spPr>
          </c:marker>
          <c:dPt>
            <c:idx val="21"/>
            <c:marker>
              <c:spPr>
                <a:solidFill>
                  <a:schemeClr val="tx1"/>
                </a:solidFill>
                <a:ln>
                  <a:solidFill>
                    <a:srgbClr val="000000"/>
                  </a:solidFill>
                  <a:prstDash val="solid"/>
                </a:ln>
              </c:spPr>
            </c:marker>
            <c:bubble3D val="0"/>
          </c:dPt>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smolts'!$Q$9:$Q$42</c:f>
              <c:numCache>
                <c:formatCode>#,##0.0</c:formatCode>
                <c:ptCount val="34"/>
                <c:pt idx="0">
                  <c:v>79.059283687943264</c:v>
                </c:pt>
                <c:pt idx="1">
                  <c:v>63.685573625747651</c:v>
                </c:pt>
                <c:pt idx="3">
                  <c:v>38.50897252747253</c:v>
                </c:pt>
                <c:pt idx="4">
                  <c:v>45.748407417360923</c:v>
                </c:pt>
                <c:pt idx="5">
                  <c:v>70.321670599675855</c:v>
                </c:pt>
                <c:pt idx="6">
                  <c:v>88.982830344736328</c:v>
                </c:pt>
                <c:pt idx="7">
                  <c:v>51.657707251928066</c:v>
                </c:pt>
                <c:pt idx="8">
                  <c:v>54.851125734919684</c:v>
                </c:pt>
                <c:pt idx="9">
                  <c:v>56.283565478211656</c:v>
                </c:pt>
                <c:pt idx="10">
                  <c:v>61.727782651064203</c:v>
                </c:pt>
                <c:pt idx="11">
                  <c:v>57.400521079928957</c:v>
                </c:pt>
                <c:pt idx="12">
                  <c:v>82.893037735849049</c:v>
                </c:pt>
                <c:pt idx="13">
                  <c:v>134.63992171995588</c:v>
                </c:pt>
                <c:pt idx="14">
                  <c:v>91.60507256727459</c:v>
                </c:pt>
                <c:pt idx="15">
                  <c:v>66.771637288419413</c:v>
                </c:pt>
                <c:pt idx="16">
                  <c:v>80.516774227168582</c:v>
                </c:pt>
                <c:pt idx="17">
                  <c:v>132.65451764705881</c:v>
                </c:pt>
                <c:pt idx="18">
                  <c:v>62.444404303192243</c:v>
                </c:pt>
                <c:pt idx="19">
                  <c:v>102.60988524590164</c:v>
                </c:pt>
                <c:pt idx="20">
                  <c:v>102.91788484872714</c:v>
                </c:pt>
                <c:pt idx="21">
                  <c:v>77.08122089689185</c:v>
                </c:pt>
                <c:pt idx="22">
                  <c:v>101.57857668711657</c:v>
                </c:pt>
                <c:pt idx="23">
                  <c:v>120.63155813953489</c:v>
                </c:pt>
                <c:pt idx="24">
                  <c:v>98.469845462730603</c:v>
                </c:pt>
                <c:pt idx="25">
                  <c:v>84.0173870967742</c:v>
                </c:pt>
                <c:pt idx="26">
                  <c:v>72.315070422535214</c:v>
                </c:pt>
                <c:pt idx="27">
                  <c:v>96.179621187077387</c:v>
                </c:pt>
                <c:pt idx="28">
                  <c:v>64.348799999999997</c:v>
                </c:pt>
                <c:pt idx="29">
                  <c:v>86.995734108650637</c:v>
                </c:pt>
                <c:pt idx="30">
                  <c:v>86.174126126126126</c:v>
                </c:pt>
                <c:pt idx="31">
                  <c:v>99.144333333333321</c:v>
                </c:pt>
                <c:pt idx="32">
                  <c:v>149.08988619278006</c:v>
                </c:pt>
                <c:pt idx="33">
                  <c:v>104.4903733167797</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7807232"/>
        <c:axId val="207809152"/>
      </c:lineChart>
      <c:lineChart>
        <c:grouping val="standard"/>
        <c:varyColors val="0"/>
        <c:ser>
          <c:idx val="3"/>
          <c:order val="3"/>
          <c:tx>
            <c:v>Thousands of Pink Salmon</c:v>
          </c:tx>
          <c:spPr>
            <a:ln w="31750">
              <a:solidFill>
                <a:schemeClr val="accent1">
                  <a:lumMod val="60000"/>
                  <a:lumOff val="40000"/>
                </a:schemeClr>
              </a:solidFill>
              <a:prstDash val="sysDash"/>
            </a:ln>
          </c:spPr>
          <c:marker>
            <c:symbol val="none"/>
          </c:marker>
          <c:val>
            <c:numRef>
              <c:f>'Master smolts'!$BD$5:$BD$38</c:f>
              <c:numCache>
                <c:formatCode>0.0</c:formatCode>
                <c:ptCount val="34"/>
                <c:pt idx="0">
                  <c:v>0.3</c:v>
                </c:pt>
                <c:pt idx="1">
                  <c:v>34</c:v>
                </c:pt>
                <c:pt idx="2">
                  <c:v>4.5</c:v>
                </c:pt>
                <c:pt idx="3">
                  <c:v>17</c:v>
                </c:pt>
                <c:pt idx="4">
                  <c:v>19</c:v>
                </c:pt>
                <c:pt idx="5">
                  <c:v>27.1</c:v>
                </c:pt>
                <c:pt idx="6">
                  <c:v>14.33</c:v>
                </c:pt>
                <c:pt idx="7">
                  <c:v>58.7</c:v>
                </c:pt>
                <c:pt idx="8">
                  <c:v>22.742000000000001</c:v>
                </c:pt>
                <c:pt idx="9">
                  <c:v>56.3</c:v>
                </c:pt>
                <c:pt idx="10">
                  <c:v>41.246000000000002</c:v>
                </c:pt>
                <c:pt idx="11">
                  <c:v>86.7</c:v>
                </c:pt>
                <c:pt idx="12">
                  <c:v>79.972999999999999</c:v>
                </c:pt>
                <c:pt idx="13">
                  <c:v>30.4</c:v>
                </c:pt>
                <c:pt idx="14">
                  <c:v>73.894999999999996</c:v>
                </c:pt>
                <c:pt idx="15">
                  <c:v>90</c:v>
                </c:pt>
                <c:pt idx="16">
                  <c:v>158.44499999999999</c:v>
                </c:pt>
                <c:pt idx="17">
                  <c:v>32.942</c:v>
                </c:pt>
                <c:pt idx="18">
                  <c:v>38.173000000000002</c:v>
                </c:pt>
                <c:pt idx="19">
                  <c:v>510</c:v>
                </c:pt>
                <c:pt idx="20">
                  <c:v>151</c:v>
                </c:pt>
                <c:pt idx="21">
                  <c:v>180</c:v>
                </c:pt>
                <c:pt idx="22">
                  <c:v>97</c:v>
                </c:pt>
                <c:pt idx="23">
                  <c:v>175</c:v>
                </c:pt>
                <c:pt idx="24">
                  <c:v>83</c:v>
                </c:pt>
                <c:pt idx="25">
                  <c:v>160</c:v>
                </c:pt>
                <c:pt idx="26">
                  <c:v>80.5</c:v>
                </c:pt>
                <c:pt idx="27">
                  <c:v>93</c:v>
                </c:pt>
                <c:pt idx="28">
                  <c:v>83</c:v>
                </c:pt>
                <c:pt idx="29">
                  <c:v>113.1</c:v>
                </c:pt>
                <c:pt idx="30">
                  <c:v>132</c:v>
                </c:pt>
                <c:pt idx="31">
                  <c:v>147</c:v>
                </c:pt>
                <c:pt idx="32">
                  <c:v>111</c:v>
                </c:pt>
                <c:pt idx="33">
                  <c:v>172.6</c:v>
                </c:pt>
              </c:numCache>
            </c:numRef>
          </c:val>
          <c:smooth val="0"/>
        </c:ser>
        <c:dLbls>
          <c:showLegendKey val="0"/>
          <c:showVal val="0"/>
          <c:showCatName val="0"/>
          <c:showSerName val="0"/>
          <c:showPercent val="0"/>
          <c:showBubbleSize val="0"/>
        </c:dLbls>
        <c:marker val="1"/>
        <c:smooth val="0"/>
        <c:axId val="207825536"/>
        <c:axId val="207823616"/>
      </c:lineChart>
      <c:catAx>
        <c:axId val="207807232"/>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baseline="0"/>
                  <a:t>Rearing </a:t>
                </a:r>
                <a:r>
                  <a:rPr lang="en-US"/>
                  <a:t>Year</a:t>
                </a:r>
              </a:p>
            </c:rich>
          </c:tx>
          <c:layout>
            <c:manualLayout>
              <c:xMode val="edge"/>
              <c:yMode val="edge"/>
              <c:x val="0.43513042932413715"/>
              <c:y val="0.9239648281374901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7809152"/>
        <c:crosses val="autoZero"/>
        <c:auto val="1"/>
        <c:lblAlgn val="ctr"/>
        <c:lblOffset val="100"/>
        <c:tickLblSkip val="1"/>
        <c:tickMarkSkip val="1"/>
        <c:noMultiLvlLbl val="0"/>
      </c:catAx>
      <c:valAx>
        <c:axId val="207809152"/>
        <c:scaling>
          <c:orientation val="minMax"/>
          <c:max val="180"/>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Coho Presmolts</a:t>
                </a:r>
              </a:p>
            </c:rich>
          </c:tx>
          <c:layout>
            <c:manualLayout>
              <c:xMode val="edge"/>
              <c:yMode val="edge"/>
              <c:x val="7.7034316898728465E-3"/>
              <c:y val="0.1369124542885376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807232"/>
        <c:crosses val="autoZero"/>
        <c:crossBetween val="between"/>
      </c:valAx>
      <c:valAx>
        <c:axId val="207823616"/>
        <c:scaling>
          <c:orientation val="minMax"/>
          <c:max val="250"/>
          <c:min val="0"/>
        </c:scaling>
        <c:delete val="0"/>
        <c:axPos val="r"/>
        <c:title>
          <c:tx>
            <c:rich>
              <a:bodyPr rot="-5400000" vert="horz"/>
              <a:lstStyle/>
              <a:p>
                <a:pPr>
                  <a:defRPr sz="1400" b="0"/>
                </a:pPr>
                <a:r>
                  <a:rPr lang="en-US" sz="1400" b="0"/>
                  <a:t>Thousands of Pink Salmon</a:t>
                </a:r>
              </a:p>
            </c:rich>
          </c:tx>
          <c:overlay val="0"/>
        </c:title>
        <c:numFmt formatCode="0" sourceLinked="0"/>
        <c:majorTickMark val="out"/>
        <c:minorTickMark val="none"/>
        <c:tickLblPos val="nextTo"/>
        <c:txPr>
          <a:bodyPr/>
          <a:lstStyle/>
          <a:p>
            <a:pPr>
              <a:defRPr sz="1100" b="0"/>
            </a:pPr>
            <a:endParaRPr lang="en-US"/>
          </a:p>
        </c:txPr>
        <c:crossAx val="207825536"/>
        <c:crosses val="max"/>
        <c:crossBetween val="between"/>
      </c:valAx>
      <c:catAx>
        <c:axId val="207825536"/>
        <c:scaling>
          <c:orientation val="minMax"/>
        </c:scaling>
        <c:delete val="1"/>
        <c:axPos val="b"/>
        <c:majorTickMark val="out"/>
        <c:minorTickMark val="none"/>
        <c:tickLblPos val="nextTo"/>
        <c:crossAx val="207823616"/>
        <c:crosses val="autoZero"/>
        <c:auto val="1"/>
        <c:lblAlgn val="ctr"/>
        <c:lblOffset val="100"/>
        <c:noMultiLvlLbl val="0"/>
      </c:catAx>
      <c:spPr>
        <a:solidFill>
          <a:srgbClr val="FFFFFF"/>
        </a:solidFill>
        <a:ln w="25400">
          <a:noFill/>
        </a:ln>
      </c:spPr>
    </c:plotArea>
    <c:legend>
      <c:legendPos val="r"/>
      <c:legendEntry>
        <c:idx val="0"/>
        <c:delete val="1"/>
      </c:legendEntry>
      <c:legendEntry>
        <c:idx val="1"/>
        <c:delete val="1"/>
      </c:legendEntry>
      <c:layout>
        <c:manualLayout>
          <c:xMode val="edge"/>
          <c:yMode val="edge"/>
          <c:x val="0.46916563680660994"/>
          <c:y val="0.67579171308622399"/>
          <c:w val="0.42046883153058784"/>
          <c:h val="0.1276882116354161"/>
        </c:manualLayout>
      </c:layout>
      <c:overlay val="1"/>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25786126509972"/>
          <c:y val="5.4258325622966203E-2"/>
          <c:w val="0.78973247178183448"/>
          <c:h val="0.75555253435047243"/>
        </c:manualLayout>
      </c:layout>
      <c:lineChart>
        <c:grouping val="standard"/>
        <c:varyColors val="0"/>
        <c:ser>
          <c:idx val="2"/>
          <c:order val="0"/>
          <c:tx>
            <c:v>Number of Presmolts</c:v>
          </c:tx>
          <c:spPr>
            <a:ln w="19050">
              <a:solidFill>
                <a:srgbClr val="000000"/>
              </a:solidFill>
              <a:prstDash val="solid"/>
            </a:ln>
          </c:spPr>
          <c:marker>
            <c:symbol val="circle"/>
            <c:size val="4"/>
            <c:spPr>
              <a:solidFill>
                <a:srgbClr val="000000"/>
              </a:solidFill>
              <a:ln>
                <a:solidFill>
                  <a:srgbClr val="000000"/>
                </a:solidFill>
                <a:prstDash val="solid"/>
              </a:ln>
            </c:spPr>
          </c:marker>
          <c:dPt>
            <c:idx val="21"/>
            <c:marker>
              <c:spPr>
                <a:solidFill>
                  <a:schemeClr val="tx1"/>
                </a:solidFill>
                <a:ln>
                  <a:solidFill>
                    <a:srgbClr val="000000"/>
                  </a:solidFill>
                  <a:prstDash val="solid"/>
                </a:ln>
              </c:spPr>
            </c:marker>
            <c:bubble3D val="0"/>
          </c:dPt>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smolts'!$Q$9:$Q$42</c:f>
              <c:numCache>
                <c:formatCode>#,##0.0</c:formatCode>
                <c:ptCount val="34"/>
                <c:pt idx="0">
                  <c:v>79.059283687943264</c:v>
                </c:pt>
                <c:pt idx="1">
                  <c:v>63.685573625747651</c:v>
                </c:pt>
                <c:pt idx="3">
                  <c:v>38.50897252747253</c:v>
                </c:pt>
                <c:pt idx="4">
                  <c:v>45.748407417360923</c:v>
                </c:pt>
                <c:pt idx="5">
                  <c:v>70.321670599675855</c:v>
                </c:pt>
                <c:pt idx="6">
                  <c:v>88.982830344736328</c:v>
                </c:pt>
                <c:pt idx="7">
                  <c:v>51.657707251928066</c:v>
                </c:pt>
                <c:pt idx="8">
                  <c:v>54.851125734919684</c:v>
                </c:pt>
                <c:pt idx="9">
                  <c:v>56.283565478211656</c:v>
                </c:pt>
                <c:pt idx="10">
                  <c:v>61.727782651064203</c:v>
                </c:pt>
                <c:pt idx="11">
                  <c:v>57.400521079928957</c:v>
                </c:pt>
                <c:pt idx="12">
                  <c:v>82.893037735849049</c:v>
                </c:pt>
                <c:pt idx="13">
                  <c:v>134.63992171995588</c:v>
                </c:pt>
                <c:pt idx="14">
                  <c:v>91.60507256727459</c:v>
                </c:pt>
                <c:pt idx="15">
                  <c:v>66.771637288419413</c:v>
                </c:pt>
                <c:pt idx="16">
                  <c:v>80.516774227168582</c:v>
                </c:pt>
                <c:pt idx="17">
                  <c:v>132.65451764705881</c:v>
                </c:pt>
                <c:pt idx="18">
                  <c:v>62.444404303192243</c:v>
                </c:pt>
                <c:pt idx="19">
                  <c:v>102.60988524590164</c:v>
                </c:pt>
                <c:pt idx="20">
                  <c:v>102.91788484872714</c:v>
                </c:pt>
                <c:pt idx="21">
                  <c:v>77.08122089689185</c:v>
                </c:pt>
                <c:pt idx="22">
                  <c:v>101.57857668711657</c:v>
                </c:pt>
                <c:pt idx="23">
                  <c:v>120.63155813953489</c:v>
                </c:pt>
                <c:pt idx="24">
                  <c:v>98.469845462730603</c:v>
                </c:pt>
                <c:pt idx="25">
                  <c:v>84.0173870967742</c:v>
                </c:pt>
                <c:pt idx="26">
                  <c:v>72.315070422535214</c:v>
                </c:pt>
                <c:pt idx="27">
                  <c:v>96.179621187077387</c:v>
                </c:pt>
                <c:pt idx="28">
                  <c:v>64.348799999999997</c:v>
                </c:pt>
                <c:pt idx="29">
                  <c:v>86.995734108650637</c:v>
                </c:pt>
                <c:pt idx="30">
                  <c:v>86.174126126126126</c:v>
                </c:pt>
                <c:pt idx="31">
                  <c:v>99.144333333333321</c:v>
                </c:pt>
                <c:pt idx="32">
                  <c:v>149.08988619278006</c:v>
                </c:pt>
                <c:pt idx="33">
                  <c:v>104.4903733167797</c:v>
                </c:pt>
              </c:numCache>
            </c:numRef>
          </c:val>
          <c:smooth val="0"/>
        </c:ser>
        <c:ser>
          <c:idx val="0"/>
          <c:order val="1"/>
          <c:tx>
            <c:v>Series1</c:v>
          </c:tx>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smolts'!$R$9:$R$42</c:f>
              <c:numCache>
                <c:formatCode>#,##0.0</c:formatCode>
                <c:ptCount val="34"/>
                <c:pt idx="0">
                  <c:v>67.885750360646895</c:v>
                </c:pt>
                <c:pt idx="1">
                  <c:v>52.707014702480642</c:v>
                </c:pt>
                <c:pt idx="3">
                  <c:v>33.632317645990597</c:v>
                </c:pt>
                <c:pt idx="4">
                  <c:v>40.690941082801039</c:v>
                </c:pt>
                <c:pt idx="5">
                  <c:v>61.225895266812472</c:v>
                </c:pt>
                <c:pt idx="6">
                  <c:v>79.610532262524018</c:v>
                </c:pt>
                <c:pt idx="7">
                  <c:v>47.036114689399305</c:v>
                </c:pt>
                <c:pt idx="8">
                  <c:v>50.170293182418789</c:v>
                </c:pt>
                <c:pt idx="9">
                  <c:v>51.55905329087242</c:v>
                </c:pt>
                <c:pt idx="10">
                  <c:v>56.833350091732051</c:v>
                </c:pt>
                <c:pt idx="11">
                  <c:v>52.985338522615798</c:v>
                </c:pt>
                <c:pt idx="12">
                  <c:v>74.692470307235581</c:v>
                </c:pt>
                <c:pt idx="13">
                  <c:v>110.83679337940525</c:v>
                </c:pt>
                <c:pt idx="14">
                  <c:v>77.25109452144406</c:v>
                </c:pt>
                <c:pt idx="15">
                  <c:v>61.503882028343654</c:v>
                </c:pt>
                <c:pt idx="16">
                  <c:v>74.615578839665801</c:v>
                </c:pt>
                <c:pt idx="17">
                  <c:v>118.17227388358124</c:v>
                </c:pt>
                <c:pt idx="18">
                  <c:v>54.369743710831337</c:v>
                </c:pt>
                <c:pt idx="19">
                  <c:v>84.475595650226111</c:v>
                </c:pt>
                <c:pt idx="20">
                  <c:v>95.752136411174163</c:v>
                </c:pt>
                <c:pt idx="21">
                  <c:v>71.056925261981064</c:v>
                </c:pt>
                <c:pt idx="22">
                  <c:v>89.512080805956316</c:v>
                </c:pt>
                <c:pt idx="23">
                  <c:v>102.92839314839793</c:v>
                </c:pt>
                <c:pt idx="24">
                  <c:v>89.230056659059841</c:v>
                </c:pt>
                <c:pt idx="25">
                  <c:v>74.165771556430741</c:v>
                </c:pt>
                <c:pt idx="26">
                  <c:v>66.474463658707151</c:v>
                </c:pt>
                <c:pt idx="27">
                  <c:v>81.784862752324727</c:v>
                </c:pt>
                <c:pt idx="28">
                  <c:v>56.05850955200119</c:v>
                </c:pt>
                <c:pt idx="29">
                  <c:v>73.547521983176097</c:v>
                </c:pt>
                <c:pt idx="30">
                  <c:v>72.694934381501128</c:v>
                </c:pt>
                <c:pt idx="31">
                  <c:v>84.588095477903096</c:v>
                </c:pt>
                <c:pt idx="32">
                  <c:v>127.31177426900982</c:v>
                </c:pt>
                <c:pt idx="33">
                  <c:v>90.003683306048231</c:v>
                </c:pt>
              </c:numCache>
            </c:numRef>
          </c:val>
          <c:smooth val="0"/>
        </c:ser>
        <c:ser>
          <c:idx val="1"/>
          <c:order val="2"/>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smolts'!$S$9:$S$42</c:f>
              <c:numCache>
                <c:formatCode>#,##0.0</c:formatCode>
                <c:ptCount val="34"/>
                <c:pt idx="0">
                  <c:v>94.635672468511146</c:v>
                </c:pt>
                <c:pt idx="1">
                  <c:v>80.440946178033997</c:v>
                </c:pt>
                <c:pt idx="3">
                  <c:v>45.039685117715315</c:v>
                </c:pt>
                <c:pt idx="4">
                  <c:v>52.241488207480977</c:v>
                </c:pt>
                <c:pt idx="5">
                  <c:v>82.591546779065311</c:v>
                </c:pt>
                <c:pt idx="6">
                  <c:v>100.85632944280397</c:v>
                </c:pt>
                <c:pt idx="7">
                  <c:v>57.286460416202225</c:v>
                </c:pt>
                <c:pt idx="8">
                  <c:v>60.495266846420805</c:v>
                </c:pt>
                <c:pt idx="9">
                  <c:v>61.961263706553133</c:v>
                </c:pt>
                <c:pt idx="10">
                  <c:v>67.544663009309659</c:v>
                </c:pt>
                <c:pt idx="11">
                  <c:v>62.618412075252003</c:v>
                </c:pt>
                <c:pt idx="12">
                  <c:v>93.116386984197689</c:v>
                </c:pt>
                <c:pt idx="13">
                  <c:v>171.4630445314686</c:v>
                </c:pt>
                <c:pt idx="14">
                  <c:v>112.51059692509131</c:v>
                </c:pt>
                <c:pt idx="15">
                  <c:v>73.026275787961609</c:v>
                </c:pt>
                <c:pt idx="16">
                  <c:v>87.431559644937082</c:v>
                </c:pt>
                <c:pt idx="17">
                  <c:v>151.18219150987863</c:v>
                </c:pt>
                <c:pt idx="18">
                  <c:v>73.335784913745016</c:v>
                </c:pt>
                <c:pt idx="19">
                  <c:v>130.65813278715692</c:v>
                </c:pt>
                <c:pt idx="20">
                  <c:v>111.24290734282216</c:v>
                </c:pt>
                <c:pt idx="21">
                  <c:v>84.221637411580161</c:v>
                </c:pt>
                <c:pt idx="22">
                  <c:v>117.40514031110409</c:v>
                </c:pt>
                <c:pt idx="23">
                  <c:v>145.6894010231174</c:v>
                </c:pt>
                <c:pt idx="24">
                  <c:v>109.84423637301721</c:v>
                </c:pt>
                <c:pt idx="25">
                  <c:v>96.887135339674131</c:v>
                </c:pt>
                <c:pt idx="26">
                  <c:v>79.280879808021169</c:v>
                </c:pt>
                <c:pt idx="27">
                  <c:v>116.72391960231208</c:v>
                </c:pt>
                <c:pt idx="28">
                  <c:v>75.516690534472303</c:v>
                </c:pt>
                <c:pt idx="29">
                  <c:v>106.46246490929711</c:v>
                </c:pt>
                <c:pt idx="30">
                  <c:v>105.7898147547815</c:v>
                </c:pt>
                <c:pt idx="31">
                  <c:v>119.75164759019454</c:v>
                </c:pt>
                <c:pt idx="32">
                  <c:v>179.8563369730698</c:v>
                </c:pt>
                <c:pt idx="33">
                  <c:v>124.53512856049338</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7871360"/>
        <c:axId val="208078336"/>
      </c:lineChart>
      <c:lineChart>
        <c:grouping val="standard"/>
        <c:varyColors val="0"/>
        <c:ser>
          <c:idx val="3"/>
          <c:order val="3"/>
          <c:tx>
            <c:v>Thousands of Pink Salmon</c:v>
          </c:tx>
          <c:spPr>
            <a:ln w="31750">
              <a:solidFill>
                <a:schemeClr val="accent1">
                  <a:lumMod val="60000"/>
                  <a:lumOff val="40000"/>
                </a:schemeClr>
              </a:solidFill>
              <a:prstDash val="sysDash"/>
            </a:ln>
          </c:spPr>
          <c:marker>
            <c:symbol val="none"/>
          </c:marker>
          <c:val>
            <c:numRef>
              <c:f>'Master smolts'!$BG$5:$BG$38</c:f>
              <c:numCache>
                <c:formatCode>General_)</c:formatCode>
                <c:ptCount val="34"/>
                <c:pt idx="0">
                  <c:v>0.3</c:v>
                </c:pt>
                <c:pt idx="1">
                  <c:v>34</c:v>
                </c:pt>
                <c:pt idx="2">
                  <c:v>4.5</c:v>
                </c:pt>
                <c:pt idx="3">
                  <c:v>17</c:v>
                </c:pt>
                <c:pt idx="4">
                  <c:v>19</c:v>
                </c:pt>
                <c:pt idx="5">
                  <c:v>27.1</c:v>
                </c:pt>
                <c:pt idx="6">
                  <c:v>14.33</c:v>
                </c:pt>
                <c:pt idx="7">
                  <c:v>58.7</c:v>
                </c:pt>
                <c:pt idx="8">
                  <c:v>22.742000000000001</c:v>
                </c:pt>
                <c:pt idx="9">
                  <c:v>56.3</c:v>
                </c:pt>
                <c:pt idx="10">
                  <c:v>41.246000000000002</c:v>
                </c:pt>
                <c:pt idx="11">
                  <c:v>86.7</c:v>
                </c:pt>
                <c:pt idx="12">
                  <c:v>79.972999999999999</c:v>
                </c:pt>
                <c:pt idx="13">
                  <c:v>30.4</c:v>
                </c:pt>
                <c:pt idx="14">
                  <c:v>73.894999999999996</c:v>
                </c:pt>
                <c:pt idx="15">
                  <c:v>90</c:v>
                </c:pt>
                <c:pt idx="16">
                  <c:v>158.44499999999999</c:v>
                </c:pt>
                <c:pt idx="17">
                  <c:v>32.942</c:v>
                </c:pt>
                <c:pt idx="18">
                  <c:v>38.173000000000002</c:v>
                </c:pt>
                <c:pt idx="19">
                  <c:v>510</c:v>
                </c:pt>
                <c:pt idx="20">
                  <c:v>151</c:v>
                </c:pt>
                <c:pt idx="21">
                  <c:v>180</c:v>
                </c:pt>
                <c:pt idx="22">
                  <c:v>97</c:v>
                </c:pt>
                <c:pt idx="23">
                  <c:v>175</c:v>
                </c:pt>
                <c:pt idx="24">
                  <c:v>83</c:v>
                </c:pt>
                <c:pt idx="25">
                  <c:v>160</c:v>
                </c:pt>
                <c:pt idx="26">
                  <c:v>80.5</c:v>
                </c:pt>
                <c:pt idx="27">
                  <c:v>93</c:v>
                </c:pt>
                <c:pt idx="28">
                  <c:v>83</c:v>
                </c:pt>
                <c:pt idx="29">
                  <c:v>113.1</c:v>
                </c:pt>
                <c:pt idx="30">
                  <c:v>132</c:v>
                </c:pt>
                <c:pt idx="31">
                  <c:v>147</c:v>
                </c:pt>
                <c:pt idx="32">
                  <c:v>111</c:v>
                </c:pt>
                <c:pt idx="33">
                  <c:v>172.6</c:v>
                </c:pt>
              </c:numCache>
            </c:numRef>
          </c:val>
          <c:smooth val="0"/>
        </c:ser>
        <c:dLbls>
          <c:showLegendKey val="0"/>
          <c:showVal val="0"/>
          <c:showCatName val="0"/>
          <c:showSerName val="0"/>
          <c:showPercent val="0"/>
          <c:showBubbleSize val="0"/>
        </c:dLbls>
        <c:marker val="1"/>
        <c:smooth val="0"/>
        <c:axId val="208102912"/>
        <c:axId val="208080256"/>
      </c:lineChart>
      <c:catAx>
        <c:axId val="207871360"/>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baseline="0"/>
                  <a:t>Rearing </a:t>
                </a:r>
                <a:r>
                  <a:rPr lang="en-US"/>
                  <a:t>Year</a:t>
                </a:r>
              </a:p>
            </c:rich>
          </c:tx>
          <c:layout>
            <c:manualLayout>
              <c:xMode val="edge"/>
              <c:yMode val="edge"/>
              <c:x val="0.43513042932413715"/>
              <c:y val="0.9239648281374901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078336"/>
        <c:crosses val="autoZero"/>
        <c:auto val="1"/>
        <c:lblAlgn val="ctr"/>
        <c:lblOffset val="100"/>
        <c:tickLblSkip val="1"/>
        <c:tickMarkSkip val="1"/>
        <c:noMultiLvlLbl val="0"/>
      </c:catAx>
      <c:valAx>
        <c:axId val="208078336"/>
        <c:scaling>
          <c:orientation val="minMax"/>
          <c:max val="180"/>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Coho Presmolts</a:t>
                </a:r>
              </a:p>
            </c:rich>
          </c:tx>
          <c:layout>
            <c:manualLayout>
              <c:xMode val="edge"/>
              <c:yMode val="edge"/>
              <c:x val="7.7034316898728465E-3"/>
              <c:y val="0.1369124542885376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871360"/>
        <c:crosses val="autoZero"/>
        <c:crossBetween val="between"/>
      </c:valAx>
      <c:valAx>
        <c:axId val="208080256"/>
        <c:scaling>
          <c:orientation val="minMax"/>
          <c:max val="300"/>
          <c:min val="0"/>
        </c:scaling>
        <c:delete val="0"/>
        <c:axPos val="r"/>
        <c:title>
          <c:tx>
            <c:rich>
              <a:bodyPr rot="-5400000" vert="horz"/>
              <a:lstStyle/>
              <a:p>
                <a:pPr>
                  <a:defRPr sz="1400" b="0"/>
                </a:pPr>
                <a:r>
                  <a:rPr lang="en-US" sz="1400" b="0"/>
                  <a:t>Thousands of Pink Salmon</a:t>
                </a:r>
              </a:p>
            </c:rich>
          </c:tx>
          <c:overlay val="0"/>
        </c:title>
        <c:numFmt formatCode="0" sourceLinked="0"/>
        <c:majorTickMark val="out"/>
        <c:minorTickMark val="none"/>
        <c:tickLblPos val="nextTo"/>
        <c:txPr>
          <a:bodyPr/>
          <a:lstStyle/>
          <a:p>
            <a:pPr>
              <a:defRPr sz="1100" b="0"/>
            </a:pPr>
            <a:endParaRPr lang="en-US"/>
          </a:p>
        </c:txPr>
        <c:crossAx val="208102912"/>
        <c:crosses val="max"/>
        <c:crossBetween val="between"/>
      </c:valAx>
      <c:catAx>
        <c:axId val="208102912"/>
        <c:scaling>
          <c:orientation val="minMax"/>
        </c:scaling>
        <c:delete val="1"/>
        <c:axPos val="b"/>
        <c:majorTickMark val="out"/>
        <c:minorTickMark val="none"/>
        <c:tickLblPos val="nextTo"/>
        <c:crossAx val="208080256"/>
        <c:crosses val="autoZero"/>
        <c:auto val="1"/>
        <c:lblAlgn val="ctr"/>
        <c:lblOffset val="100"/>
        <c:noMultiLvlLbl val="0"/>
      </c:catAx>
      <c:spPr>
        <a:solidFill>
          <a:srgbClr val="FFFFFF"/>
        </a:solidFill>
        <a:ln w="25400">
          <a:noFill/>
        </a:ln>
      </c:spPr>
    </c:plotArea>
    <c:legend>
      <c:legendPos val="r"/>
      <c:legendEntry>
        <c:idx val="1"/>
        <c:delete val="1"/>
      </c:legendEntry>
      <c:legendEntry>
        <c:idx val="2"/>
        <c:delete val="1"/>
      </c:legendEntry>
      <c:layout>
        <c:manualLayout>
          <c:xMode val="edge"/>
          <c:yMode val="edge"/>
          <c:x val="0.52098427158488592"/>
          <c:y val="0.69217347831521059"/>
          <c:w val="0.39057346531235165"/>
          <c:h val="0.11325811546283987"/>
        </c:manualLayout>
      </c:layout>
      <c:overlay val="1"/>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25786126509972"/>
          <c:y val="5.4258325622966203E-2"/>
          <c:w val="0.78973247178183448"/>
          <c:h val="0.75555253435047243"/>
        </c:manualLayout>
      </c:layout>
      <c:lineChart>
        <c:grouping val="standard"/>
        <c:varyColors val="0"/>
        <c:ser>
          <c:idx val="2"/>
          <c:order val="0"/>
          <c:tx>
            <c:v>Number of Presmolts</c:v>
          </c:tx>
          <c:spPr>
            <a:ln w="19050">
              <a:solidFill>
                <a:srgbClr val="000000"/>
              </a:solidFill>
              <a:prstDash val="solid"/>
            </a:ln>
          </c:spPr>
          <c:marker>
            <c:symbol val="circle"/>
            <c:size val="4"/>
            <c:spPr>
              <a:solidFill>
                <a:srgbClr val="000000"/>
              </a:solidFill>
              <a:ln>
                <a:solidFill>
                  <a:srgbClr val="000000"/>
                </a:solidFill>
                <a:prstDash val="solid"/>
              </a:ln>
            </c:spPr>
          </c:marker>
          <c:dPt>
            <c:idx val="21"/>
            <c:marker>
              <c:spPr>
                <a:solidFill>
                  <a:schemeClr val="tx1"/>
                </a:solidFill>
                <a:ln>
                  <a:solidFill>
                    <a:srgbClr val="000000"/>
                  </a:solidFill>
                  <a:prstDash val="solid"/>
                </a:ln>
              </c:spPr>
            </c:marker>
            <c:bubble3D val="0"/>
          </c:dPt>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smolts'!$Q$9:$Q$42</c:f>
              <c:numCache>
                <c:formatCode>#,##0.0</c:formatCode>
                <c:ptCount val="34"/>
                <c:pt idx="0">
                  <c:v>79.059283687943264</c:v>
                </c:pt>
                <c:pt idx="1">
                  <c:v>63.685573625747651</c:v>
                </c:pt>
                <c:pt idx="3">
                  <c:v>38.50897252747253</c:v>
                </c:pt>
                <c:pt idx="4">
                  <c:v>45.748407417360923</c:v>
                </c:pt>
                <c:pt idx="5">
                  <c:v>70.321670599675855</c:v>
                </c:pt>
                <c:pt idx="6">
                  <c:v>88.982830344736328</c:v>
                </c:pt>
                <c:pt idx="7">
                  <c:v>51.657707251928066</c:v>
                </c:pt>
                <c:pt idx="8">
                  <c:v>54.851125734919684</c:v>
                </c:pt>
                <c:pt idx="9">
                  <c:v>56.283565478211656</c:v>
                </c:pt>
                <c:pt idx="10">
                  <c:v>61.727782651064203</c:v>
                </c:pt>
                <c:pt idx="11">
                  <c:v>57.400521079928957</c:v>
                </c:pt>
                <c:pt idx="12">
                  <c:v>82.893037735849049</c:v>
                </c:pt>
                <c:pt idx="13">
                  <c:v>134.63992171995588</c:v>
                </c:pt>
                <c:pt idx="14">
                  <c:v>91.60507256727459</c:v>
                </c:pt>
                <c:pt idx="15">
                  <c:v>66.771637288419413</c:v>
                </c:pt>
                <c:pt idx="16">
                  <c:v>80.516774227168582</c:v>
                </c:pt>
                <c:pt idx="17">
                  <c:v>132.65451764705881</c:v>
                </c:pt>
                <c:pt idx="18">
                  <c:v>62.444404303192243</c:v>
                </c:pt>
                <c:pt idx="19">
                  <c:v>102.60988524590164</c:v>
                </c:pt>
                <c:pt idx="20">
                  <c:v>102.91788484872714</c:v>
                </c:pt>
                <c:pt idx="21">
                  <c:v>77.08122089689185</c:v>
                </c:pt>
                <c:pt idx="22">
                  <c:v>101.57857668711657</c:v>
                </c:pt>
                <c:pt idx="23">
                  <c:v>120.63155813953489</c:v>
                </c:pt>
                <c:pt idx="24">
                  <c:v>98.469845462730603</c:v>
                </c:pt>
                <c:pt idx="25">
                  <c:v>84.0173870967742</c:v>
                </c:pt>
                <c:pt idx="26">
                  <c:v>72.315070422535214</c:v>
                </c:pt>
                <c:pt idx="27">
                  <c:v>96.179621187077387</c:v>
                </c:pt>
                <c:pt idx="28">
                  <c:v>64.348799999999997</c:v>
                </c:pt>
                <c:pt idx="29">
                  <c:v>86.995734108650637</c:v>
                </c:pt>
                <c:pt idx="30">
                  <c:v>86.174126126126126</c:v>
                </c:pt>
                <c:pt idx="31">
                  <c:v>99.144333333333321</c:v>
                </c:pt>
                <c:pt idx="32">
                  <c:v>149.08988619278006</c:v>
                </c:pt>
                <c:pt idx="33">
                  <c:v>104.4903733167797</c:v>
                </c:pt>
              </c:numCache>
            </c:numRef>
          </c:val>
          <c:smooth val="0"/>
        </c:ser>
        <c:ser>
          <c:idx val="0"/>
          <c:order val="1"/>
          <c:tx>
            <c:v>Series1</c:v>
          </c:tx>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smolts'!$R$9:$R$42</c:f>
              <c:numCache>
                <c:formatCode>#,##0.0</c:formatCode>
                <c:ptCount val="34"/>
                <c:pt idx="0">
                  <c:v>67.885750360646895</c:v>
                </c:pt>
                <c:pt idx="1">
                  <c:v>52.707014702480642</c:v>
                </c:pt>
                <c:pt idx="3">
                  <c:v>33.632317645990597</c:v>
                </c:pt>
                <c:pt idx="4">
                  <c:v>40.690941082801039</c:v>
                </c:pt>
                <c:pt idx="5">
                  <c:v>61.225895266812472</c:v>
                </c:pt>
                <c:pt idx="6">
                  <c:v>79.610532262524018</c:v>
                </c:pt>
                <c:pt idx="7">
                  <c:v>47.036114689399305</c:v>
                </c:pt>
                <c:pt idx="8">
                  <c:v>50.170293182418789</c:v>
                </c:pt>
                <c:pt idx="9">
                  <c:v>51.55905329087242</c:v>
                </c:pt>
                <c:pt idx="10">
                  <c:v>56.833350091732051</c:v>
                </c:pt>
                <c:pt idx="11">
                  <c:v>52.985338522615798</c:v>
                </c:pt>
                <c:pt idx="12">
                  <c:v>74.692470307235581</c:v>
                </c:pt>
                <c:pt idx="13">
                  <c:v>110.83679337940525</c:v>
                </c:pt>
                <c:pt idx="14">
                  <c:v>77.25109452144406</c:v>
                </c:pt>
                <c:pt idx="15">
                  <c:v>61.503882028343654</c:v>
                </c:pt>
                <c:pt idx="16">
                  <c:v>74.615578839665801</c:v>
                </c:pt>
                <c:pt idx="17">
                  <c:v>118.17227388358124</c:v>
                </c:pt>
                <c:pt idx="18">
                  <c:v>54.369743710831337</c:v>
                </c:pt>
                <c:pt idx="19">
                  <c:v>84.475595650226111</c:v>
                </c:pt>
                <c:pt idx="20">
                  <c:v>95.752136411174163</c:v>
                </c:pt>
                <c:pt idx="21">
                  <c:v>71.056925261981064</c:v>
                </c:pt>
                <c:pt idx="22">
                  <c:v>89.512080805956316</c:v>
                </c:pt>
                <c:pt idx="23">
                  <c:v>102.92839314839793</c:v>
                </c:pt>
                <c:pt idx="24">
                  <c:v>89.230056659059841</c:v>
                </c:pt>
                <c:pt idx="25">
                  <c:v>74.165771556430741</c:v>
                </c:pt>
                <c:pt idx="26">
                  <c:v>66.474463658707151</c:v>
                </c:pt>
                <c:pt idx="27">
                  <c:v>81.784862752324727</c:v>
                </c:pt>
                <c:pt idx="28">
                  <c:v>56.05850955200119</c:v>
                </c:pt>
                <c:pt idx="29">
                  <c:v>73.547521983176097</c:v>
                </c:pt>
                <c:pt idx="30">
                  <c:v>72.694934381501128</c:v>
                </c:pt>
                <c:pt idx="31">
                  <c:v>84.588095477903096</c:v>
                </c:pt>
                <c:pt idx="32">
                  <c:v>127.31177426900982</c:v>
                </c:pt>
                <c:pt idx="33">
                  <c:v>90.003683306048231</c:v>
                </c:pt>
              </c:numCache>
            </c:numRef>
          </c:val>
          <c:smooth val="0"/>
        </c:ser>
        <c:ser>
          <c:idx val="1"/>
          <c:order val="2"/>
          <c:spPr>
            <a:ln w="28575">
              <a:noFill/>
            </a:ln>
          </c:spPr>
          <c:marker>
            <c:symbol val="none"/>
          </c:marker>
          <c:cat>
            <c:numRef>
              <c:f>'Master smolts'!$A$7:$A$40</c:f>
              <c:numCache>
                <c:formatCode>General_)</c:formatCode>
                <c:ptCount val="3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numCache>
            </c:numRef>
          </c:cat>
          <c:val>
            <c:numRef>
              <c:f>'Master smolts'!$S$9:$S$42</c:f>
              <c:numCache>
                <c:formatCode>#,##0.0</c:formatCode>
                <c:ptCount val="34"/>
                <c:pt idx="0">
                  <c:v>94.635672468511146</c:v>
                </c:pt>
                <c:pt idx="1">
                  <c:v>80.440946178033997</c:v>
                </c:pt>
                <c:pt idx="3">
                  <c:v>45.039685117715315</c:v>
                </c:pt>
                <c:pt idx="4">
                  <c:v>52.241488207480977</c:v>
                </c:pt>
                <c:pt idx="5">
                  <c:v>82.591546779065311</c:v>
                </c:pt>
                <c:pt idx="6">
                  <c:v>100.85632944280397</c:v>
                </c:pt>
                <c:pt idx="7">
                  <c:v>57.286460416202225</c:v>
                </c:pt>
                <c:pt idx="8">
                  <c:v>60.495266846420805</c:v>
                </c:pt>
                <c:pt idx="9">
                  <c:v>61.961263706553133</c:v>
                </c:pt>
                <c:pt idx="10">
                  <c:v>67.544663009309659</c:v>
                </c:pt>
                <c:pt idx="11">
                  <c:v>62.618412075252003</c:v>
                </c:pt>
                <c:pt idx="12">
                  <c:v>93.116386984197689</c:v>
                </c:pt>
                <c:pt idx="13">
                  <c:v>171.4630445314686</c:v>
                </c:pt>
                <c:pt idx="14">
                  <c:v>112.51059692509131</c:v>
                </c:pt>
                <c:pt idx="15">
                  <c:v>73.026275787961609</c:v>
                </c:pt>
                <c:pt idx="16">
                  <c:v>87.431559644937082</c:v>
                </c:pt>
                <c:pt idx="17">
                  <c:v>151.18219150987863</c:v>
                </c:pt>
                <c:pt idx="18">
                  <c:v>73.335784913745016</c:v>
                </c:pt>
                <c:pt idx="19">
                  <c:v>130.65813278715692</c:v>
                </c:pt>
                <c:pt idx="20">
                  <c:v>111.24290734282216</c:v>
                </c:pt>
                <c:pt idx="21">
                  <c:v>84.221637411580161</c:v>
                </c:pt>
                <c:pt idx="22">
                  <c:v>117.40514031110409</c:v>
                </c:pt>
                <c:pt idx="23">
                  <c:v>145.6894010231174</c:v>
                </c:pt>
                <c:pt idx="24">
                  <c:v>109.84423637301721</c:v>
                </c:pt>
                <c:pt idx="25">
                  <c:v>96.887135339674131</c:v>
                </c:pt>
                <c:pt idx="26">
                  <c:v>79.280879808021169</c:v>
                </c:pt>
                <c:pt idx="27">
                  <c:v>116.72391960231208</c:v>
                </c:pt>
                <c:pt idx="28">
                  <c:v>75.516690534472303</c:v>
                </c:pt>
                <c:pt idx="29">
                  <c:v>106.46246490929711</c:v>
                </c:pt>
                <c:pt idx="30">
                  <c:v>105.7898147547815</c:v>
                </c:pt>
                <c:pt idx="31">
                  <c:v>119.75164759019454</c:v>
                </c:pt>
                <c:pt idx="32">
                  <c:v>179.8563369730698</c:v>
                </c:pt>
                <c:pt idx="33">
                  <c:v>124.53512856049338</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8156928"/>
        <c:axId val="208163200"/>
      </c:lineChart>
      <c:lineChart>
        <c:grouping val="standard"/>
        <c:varyColors val="0"/>
        <c:ser>
          <c:idx val="3"/>
          <c:order val="3"/>
          <c:tx>
            <c:v>Thousands of Pink Salmon</c:v>
          </c:tx>
          <c:spPr>
            <a:ln w="25400">
              <a:solidFill>
                <a:schemeClr val="accent1">
                  <a:lumMod val="75000"/>
                </a:schemeClr>
              </a:solidFill>
              <a:prstDash val="sysDash"/>
            </a:ln>
          </c:spPr>
          <c:marker>
            <c:symbol val="none"/>
          </c:marker>
          <c:val>
            <c:numRef>
              <c:f>'Master smolts'!$BE$5:$BE$38</c:f>
              <c:numCache>
                <c:formatCode>General_)</c:formatCode>
                <c:ptCount val="34"/>
                <c:pt idx="0">
                  <c:v>17.649999999999999</c:v>
                </c:pt>
                <c:pt idx="1">
                  <c:v>17.149999999999999</c:v>
                </c:pt>
                <c:pt idx="2">
                  <c:v>19.25</c:v>
                </c:pt>
                <c:pt idx="3">
                  <c:v>10.75</c:v>
                </c:pt>
                <c:pt idx="4">
                  <c:v>18</c:v>
                </c:pt>
                <c:pt idx="5">
                  <c:v>23.05</c:v>
                </c:pt>
                <c:pt idx="6">
                  <c:v>20.715</c:v>
                </c:pt>
                <c:pt idx="7">
                  <c:v>36.515000000000001</c:v>
                </c:pt>
                <c:pt idx="8">
                  <c:v>40.721000000000004</c:v>
                </c:pt>
                <c:pt idx="9">
                  <c:v>39.521000000000001</c:v>
                </c:pt>
                <c:pt idx="10">
                  <c:v>48.772999999999996</c:v>
                </c:pt>
                <c:pt idx="11">
                  <c:v>63.972999999999999</c:v>
                </c:pt>
                <c:pt idx="12">
                  <c:v>83.336500000000001</c:v>
                </c:pt>
                <c:pt idx="13">
                  <c:v>55.186499999999995</c:v>
                </c:pt>
                <c:pt idx="14">
                  <c:v>52.147499999999994</c:v>
                </c:pt>
                <c:pt idx="15">
                  <c:v>81.947499999999991</c:v>
                </c:pt>
                <c:pt idx="16">
                  <c:v>124.2225</c:v>
                </c:pt>
                <c:pt idx="17">
                  <c:v>95.6935</c:v>
                </c:pt>
                <c:pt idx="18">
                  <c:v>35.557500000000005</c:v>
                </c:pt>
                <c:pt idx="19">
                  <c:v>274.0865</c:v>
                </c:pt>
                <c:pt idx="20">
                  <c:v>330.5</c:v>
                </c:pt>
                <c:pt idx="21">
                  <c:v>165.5</c:v>
                </c:pt>
                <c:pt idx="22">
                  <c:v>138.5</c:v>
                </c:pt>
                <c:pt idx="23">
                  <c:v>136</c:v>
                </c:pt>
                <c:pt idx="24">
                  <c:v>129</c:v>
                </c:pt>
                <c:pt idx="25">
                  <c:v>121.5</c:v>
                </c:pt>
                <c:pt idx="26">
                  <c:v>120.25</c:v>
                </c:pt>
                <c:pt idx="27">
                  <c:v>86.75</c:v>
                </c:pt>
                <c:pt idx="28">
                  <c:v>88</c:v>
                </c:pt>
                <c:pt idx="29">
                  <c:v>98.05</c:v>
                </c:pt>
                <c:pt idx="30">
                  <c:v>122.55</c:v>
                </c:pt>
                <c:pt idx="31">
                  <c:v>139.5</c:v>
                </c:pt>
                <c:pt idx="32">
                  <c:v>129</c:v>
                </c:pt>
                <c:pt idx="33">
                  <c:v>141.80000000000001</c:v>
                </c:pt>
              </c:numCache>
            </c:numRef>
          </c:val>
          <c:smooth val="0"/>
        </c:ser>
        <c:dLbls>
          <c:showLegendKey val="0"/>
          <c:showVal val="0"/>
          <c:showCatName val="0"/>
          <c:showSerName val="0"/>
          <c:showPercent val="0"/>
          <c:showBubbleSize val="0"/>
        </c:dLbls>
        <c:marker val="1"/>
        <c:smooth val="0"/>
        <c:axId val="208175488"/>
        <c:axId val="208165120"/>
      </c:lineChart>
      <c:catAx>
        <c:axId val="208156928"/>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baseline="0"/>
                  <a:t>Rearing </a:t>
                </a:r>
                <a:r>
                  <a:rPr lang="en-US"/>
                  <a:t>Year</a:t>
                </a:r>
              </a:p>
            </c:rich>
          </c:tx>
          <c:layout>
            <c:manualLayout>
              <c:xMode val="edge"/>
              <c:yMode val="edge"/>
              <c:x val="0.43513042932413715"/>
              <c:y val="0.9239648281374901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163200"/>
        <c:crosses val="autoZero"/>
        <c:auto val="1"/>
        <c:lblAlgn val="ctr"/>
        <c:lblOffset val="100"/>
        <c:tickLblSkip val="1"/>
        <c:tickMarkSkip val="1"/>
        <c:noMultiLvlLbl val="0"/>
      </c:catAx>
      <c:valAx>
        <c:axId val="208163200"/>
        <c:scaling>
          <c:orientation val="minMax"/>
          <c:max val="180"/>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Coho Presmolts</a:t>
                </a:r>
              </a:p>
            </c:rich>
          </c:tx>
          <c:layout>
            <c:manualLayout>
              <c:xMode val="edge"/>
              <c:yMode val="edge"/>
              <c:x val="7.7034316898728465E-3"/>
              <c:y val="0.1369124542885376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156928"/>
        <c:crosses val="autoZero"/>
        <c:crossBetween val="between"/>
      </c:valAx>
      <c:valAx>
        <c:axId val="208165120"/>
        <c:scaling>
          <c:orientation val="minMax"/>
          <c:max val="300"/>
          <c:min val="0"/>
        </c:scaling>
        <c:delete val="0"/>
        <c:axPos val="r"/>
        <c:title>
          <c:tx>
            <c:rich>
              <a:bodyPr rot="-5400000" vert="horz"/>
              <a:lstStyle/>
              <a:p>
                <a:pPr>
                  <a:defRPr sz="1400" b="0"/>
                </a:pPr>
                <a:r>
                  <a:rPr lang="en-US" sz="1400" b="0"/>
                  <a:t>Thousands of Pink Salmon</a:t>
                </a:r>
              </a:p>
            </c:rich>
          </c:tx>
          <c:overlay val="0"/>
        </c:title>
        <c:numFmt formatCode="0" sourceLinked="0"/>
        <c:majorTickMark val="out"/>
        <c:minorTickMark val="none"/>
        <c:tickLblPos val="nextTo"/>
        <c:txPr>
          <a:bodyPr/>
          <a:lstStyle/>
          <a:p>
            <a:pPr>
              <a:defRPr sz="1100" b="0"/>
            </a:pPr>
            <a:endParaRPr lang="en-US"/>
          </a:p>
        </c:txPr>
        <c:crossAx val="208175488"/>
        <c:crosses val="max"/>
        <c:crossBetween val="between"/>
      </c:valAx>
      <c:catAx>
        <c:axId val="208175488"/>
        <c:scaling>
          <c:orientation val="minMax"/>
        </c:scaling>
        <c:delete val="1"/>
        <c:axPos val="b"/>
        <c:majorTickMark val="out"/>
        <c:minorTickMark val="none"/>
        <c:tickLblPos val="nextTo"/>
        <c:crossAx val="208165120"/>
        <c:crosses val="autoZero"/>
        <c:auto val="1"/>
        <c:lblAlgn val="ctr"/>
        <c:lblOffset val="100"/>
        <c:noMultiLvlLbl val="0"/>
      </c:catAx>
      <c:spPr>
        <a:solidFill>
          <a:srgbClr val="FFFFFF"/>
        </a:solidFill>
        <a:ln w="25400">
          <a:noFill/>
        </a:ln>
      </c:spPr>
    </c:plotArea>
    <c:legend>
      <c:legendPos val="r"/>
      <c:legendEntry>
        <c:idx val="1"/>
        <c:delete val="1"/>
      </c:legendEntry>
      <c:legendEntry>
        <c:idx val="2"/>
        <c:delete val="1"/>
      </c:legendEntry>
      <c:layout>
        <c:manualLayout>
          <c:xMode val="edge"/>
          <c:yMode val="edge"/>
          <c:x val="0.52098427158488592"/>
          <c:y val="0.69217347831521059"/>
          <c:w val="0.39057346531235165"/>
          <c:h val="0.11325811546283987"/>
        </c:manualLayout>
      </c:layout>
      <c:overlay val="1"/>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a:t>Auke Creek</a:t>
            </a:r>
          </a:p>
        </c:rich>
      </c:tx>
      <c:overlay val="0"/>
    </c:title>
    <c:autoTitleDeleted val="0"/>
    <c:plotArea>
      <c:layout>
        <c:manualLayout>
          <c:layoutTarget val="inner"/>
          <c:xMode val="edge"/>
          <c:yMode val="edge"/>
          <c:x val="0.12951814672455045"/>
          <c:y val="5.4314248854486408E-2"/>
          <c:w val="0.85297591355582925"/>
          <c:h val="0.79199808710351882"/>
        </c:manualLayout>
      </c:layout>
      <c:lineChart>
        <c:grouping val="standard"/>
        <c:varyColors val="0"/>
        <c:ser>
          <c:idx val="0"/>
          <c:order val="0"/>
          <c:tx>
            <c:v>Annual Smolt Production</c:v>
          </c:tx>
          <c:spPr>
            <a:ln>
              <a:solidFill>
                <a:schemeClr val="bg1">
                  <a:lumMod val="50000"/>
                </a:schemeClr>
              </a:solidFill>
              <a:prstDash val="sysDash"/>
            </a:ln>
          </c:spPr>
          <c:marker>
            <c:symbol val="none"/>
          </c:marker>
          <c:cat>
            <c:numRef>
              <c:f>'Master smolts'!$W$7:$W$45</c:f>
              <c:numCache>
                <c:formatCode>General_)</c:formatCode>
                <c:ptCount val="39"/>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numCache>
            </c:numRef>
          </c:cat>
          <c:val>
            <c:numRef>
              <c:f>'Master smolts'!$X$7:$X$45</c:f>
              <c:numCache>
                <c:formatCode>General_)</c:formatCode>
                <c:ptCount val="39"/>
                <c:pt idx="0">
                  <c:v>8789</c:v>
                </c:pt>
                <c:pt idx="1">
                  <c:v>10714</c:v>
                </c:pt>
                <c:pt idx="2">
                  <c:v>6967</c:v>
                </c:pt>
                <c:pt idx="3">
                  <c:v>6849</c:v>
                </c:pt>
                <c:pt idx="4">
                  <c:v>6901</c:v>
                </c:pt>
                <c:pt idx="5">
                  <c:v>6838</c:v>
                </c:pt>
                <c:pt idx="6">
                  <c:v>5852</c:v>
                </c:pt>
                <c:pt idx="7">
                  <c:v>5617</c:v>
                </c:pt>
                <c:pt idx="8">
                  <c:v>7014</c:v>
                </c:pt>
                <c:pt idx="9">
                  <c:v>7685</c:v>
                </c:pt>
                <c:pt idx="10">
                  <c:v>7011</c:v>
                </c:pt>
                <c:pt idx="11">
                  <c:v>5137</c:v>
                </c:pt>
                <c:pt idx="12">
                  <c:v>5690</c:v>
                </c:pt>
                <c:pt idx="13">
                  <c:v>6596</c:v>
                </c:pt>
                <c:pt idx="14">
                  <c:v>8647</c:v>
                </c:pt>
                <c:pt idx="15">
                  <c:v>7495</c:v>
                </c:pt>
                <c:pt idx="16">
                  <c:v>4884</c:v>
                </c:pt>
                <c:pt idx="17">
                  <c:v>3934</c:v>
                </c:pt>
                <c:pt idx="18">
                  <c:v>6111</c:v>
                </c:pt>
                <c:pt idx="19">
                  <c:v>7420</c:v>
                </c:pt>
                <c:pt idx="20">
                  <c:v>5233</c:v>
                </c:pt>
                <c:pt idx="21">
                  <c:v>4969</c:v>
                </c:pt>
                <c:pt idx="22">
                  <c:v>5980</c:v>
                </c:pt>
                <c:pt idx="23">
                  <c:v>3616</c:v>
                </c:pt>
                <c:pt idx="24">
                  <c:v>3695</c:v>
                </c:pt>
                <c:pt idx="25">
                  <c:v>4549</c:v>
                </c:pt>
                <c:pt idx="26">
                  <c:v>4287</c:v>
                </c:pt>
                <c:pt idx="27">
                  <c:v>4515</c:v>
                </c:pt>
                <c:pt idx="28">
                  <c:v>4053</c:v>
                </c:pt>
                <c:pt idx="29">
                  <c:v>3815</c:v>
                </c:pt>
                <c:pt idx="30">
                  <c:v>4667</c:v>
                </c:pt>
                <c:pt idx="31">
                  <c:v>6053</c:v>
                </c:pt>
                <c:pt idx="32">
                  <c:v>10333</c:v>
                </c:pt>
                <c:pt idx="33">
                  <c:v>6143</c:v>
                </c:pt>
                <c:pt idx="34">
                  <c:v>9575</c:v>
                </c:pt>
                <c:pt idx="35">
                  <c:v>5793</c:v>
                </c:pt>
                <c:pt idx="36">
                  <c:v>6418</c:v>
                </c:pt>
                <c:pt idx="37">
                  <c:v>9590</c:v>
                </c:pt>
                <c:pt idx="38">
                  <c:v>4178</c:v>
                </c:pt>
              </c:numCache>
            </c:numRef>
          </c:val>
          <c:smooth val="0"/>
        </c:ser>
        <c:ser>
          <c:idx val="2"/>
          <c:order val="1"/>
          <c:tx>
            <c:v>9 pt LOESS Trend</c:v>
          </c:tx>
          <c:spPr>
            <a:ln>
              <a:solidFill>
                <a:srgbClr val="000000"/>
              </a:solidFill>
            </a:ln>
          </c:spPr>
          <c:marker>
            <c:symbol val="none"/>
          </c:marker>
          <c:cat>
            <c:numRef>
              <c:f>'Master smolts'!$W$7:$W$45</c:f>
              <c:numCache>
                <c:formatCode>General_)</c:formatCode>
                <c:ptCount val="39"/>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numCache>
            </c:numRef>
          </c:cat>
          <c:val>
            <c:numRef>
              <c:f>'Master smolts'!$AA$7:$AA$44</c:f>
              <c:numCache>
                <c:formatCode>General_)</c:formatCode>
                <c:ptCount val="38"/>
                <c:pt idx="0">
                  <c:v>9421.5996879545546</c:v>
                </c:pt>
                <c:pt idx="1">
                  <c:v>8764.1128426364194</c:v>
                </c:pt>
                <c:pt idx="2">
                  <c:v>8147.0929847668913</c:v>
                </c:pt>
                <c:pt idx="3">
                  <c:v>7540.018105717294</c:v>
                </c:pt>
                <c:pt idx="4">
                  <c:v>6840.6724201364832</c:v>
                </c:pt>
                <c:pt idx="5">
                  <c:v>6485.8037300704218</c:v>
                </c:pt>
                <c:pt idx="6">
                  <c:v>6444.2246264773685</c:v>
                </c:pt>
                <c:pt idx="7">
                  <c:v>6540.072617014046</c:v>
                </c:pt>
                <c:pt idx="8">
                  <c:v>6610.5368348161555</c:v>
                </c:pt>
                <c:pt idx="9">
                  <c:v>6581.2110257368486</c:v>
                </c:pt>
                <c:pt idx="10">
                  <c:v>6498.0251272941241</c:v>
                </c:pt>
                <c:pt idx="11">
                  <c:v>6440.4708385868944</c:v>
                </c:pt>
                <c:pt idx="12">
                  <c:v>6539.5667010641646</c:v>
                </c:pt>
                <c:pt idx="13">
                  <c:v>6696.6456449583966</c:v>
                </c:pt>
                <c:pt idx="14">
                  <c:v>6673.3359828058756</c:v>
                </c:pt>
                <c:pt idx="15">
                  <c:v>6416.9425222562368</c:v>
                </c:pt>
                <c:pt idx="16">
                  <c:v>6124.4145718827531</c:v>
                </c:pt>
                <c:pt idx="17">
                  <c:v>5847.1006514781757</c:v>
                </c:pt>
                <c:pt idx="18">
                  <c:v>5638.1108014125557</c:v>
                </c:pt>
                <c:pt idx="19">
                  <c:v>5676.3099431367536</c:v>
                </c:pt>
                <c:pt idx="20">
                  <c:v>5742.1574355020093</c:v>
                </c:pt>
                <c:pt idx="21">
                  <c:v>5384.6734220964991</c:v>
                </c:pt>
                <c:pt idx="22">
                  <c:v>4847.346358414783</c:v>
                </c:pt>
                <c:pt idx="23">
                  <c:v>4544.7449378213068</c:v>
                </c:pt>
                <c:pt idx="24">
                  <c:v>4357.7567878300479</c:v>
                </c:pt>
                <c:pt idx="25">
                  <c:v>4218.4760441426424</c:v>
                </c:pt>
                <c:pt idx="26">
                  <c:v>4220.7884808977151</c:v>
                </c:pt>
                <c:pt idx="27">
                  <c:v>4248.8366164739518</c:v>
                </c:pt>
                <c:pt idx="28">
                  <c:v>4325.7768608379511</c:v>
                </c:pt>
                <c:pt idx="29">
                  <c:v>4755.5647691428712</c:v>
                </c:pt>
                <c:pt idx="30">
                  <c:v>5562.4751344062934</c:v>
                </c:pt>
                <c:pt idx="31">
                  <c:v>6401.6294719493708</c:v>
                </c:pt>
                <c:pt idx="32">
                  <c:v>7199.7670855737415</c:v>
                </c:pt>
                <c:pt idx="33">
                  <c:v>7598.2089776222274</c:v>
                </c:pt>
                <c:pt idx="34">
                  <c:v>7597.0370572082074</c:v>
                </c:pt>
                <c:pt idx="35">
                  <c:v>7380.1700440586073</c:v>
                </c:pt>
                <c:pt idx="36">
                  <c:v>6935.3590419962948</c:v>
                </c:pt>
                <c:pt idx="37">
                  <c:v>6489.3910401569574</c:v>
                </c:pt>
              </c:numCache>
            </c:numRef>
          </c:val>
          <c:smooth val="0"/>
        </c:ser>
        <c:ser>
          <c:idx val="1"/>
          <c:order val="2"/>
          <c:tx>
            <c:v>2.4% Annual Rate of Decrease</c:v>
          </c:tx>
          <c:spPr>
            <a:ln w="15875">
              <a:solidFill>
                <a:srgbClr val="0033CC"/>
              </a:solidFill>
              <a:prstDash val="sysDash"/>
            </a:ln>
          </c:spPr>
          <c:marker>
            <c:symbol val="none"/>
          </c:marker>
          <c:cat>
            <c:numRef>
              <c:f>'Master smolts'!$W$7:$W$45</c:f>
              <c:numCache>
                <c:formatCode>General_)</c:formatCode>
                <c:ptCount val="39"/>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numCache>
            </c:numRef>
          </c:cat>
          <c:val>
            <c:numRef>
              <c:f>'Master smolts'!$AC$7:$AC$44</c:f>
              <c:numCache>
                <c:formatCode>General</c:formatCode>
                <c:ptCount val="38"/>
                <c:pt idx="0">
                  <c:v>8227.3354778442481</c:v>
                </c:pt>
                <c:pt idx="1">
                  <c:v>8032.9955644038509</c:v>
                </c:pt>
                <c:pt idx="2">
                  <c:v>7843.2462018237829</c:v>
                </c:pt>
                <c:pt idx="3">
                  <c:v>7657.9789555739017</c:v>
                </c:pt>
                <c:pt idx="4">
                  <c:v>7477.0879524827578</c:v>
                </c:pt>
                <c:pt idx="5">
                  <c:v>7300.469820235101</c:v>
                </c:pt>
                <c:pt idx="6">
                  <c:v>7128.0236282985516</c:v>
                </c:pt>
                <c:pt idx="7">
                  <c:v>6959.6508302456377</c:v>
                </c:pt>
                <c:pt idx="8">
                  <c:v>6795.2552074382747</c:v>
                </c:pt>
                <c:pt idx="9">
                  <c:v>6634.7428140424754</c:v>
                </c:pt>
                <c:pt idx="10">
                  <c:v>6478.0219233418866</c:v>
                </c:pt>
                <c:pt idx="11">
                  <c:v>6325.0029753194667</c:v>
                </c:pt>
                <c:pt idx="12">
                  <c:v>6175.5985254773523</c:v>
                </c:pt>
                <c:pt idx="13">
                  <c:v>6029.7231948656517</c:v>
                </c:pt>
                <c:pt idx="14">
                  <c:v>5887.2936212916338</c:v>
                </c:pt>
                <c:pt idx="15">
                  <c:v>5748.2284116814135</c:v>
                </c:pt>
                <c:pt idx="16">
                  <c:v>5612.448095566906</c:v>
                </c:pt>
                <c:pt idx="17">
                  <c:v>5479.8750796714867</c:v>
                </c:pt>
                <c:pt idx="18">
                  <c:v>5350.43360356839</c:v>
                </c:pt>
                <c:pt idx="19">
                  <c:v>5224.049696386508</c:v>
                </c:pt>
                <c:pt idx="20">
                  <c:v>5100.6511345388644</c:v>
                </c:pt>
                <c:pt idx="21">
                  <c:v>4980.1674004495771</c:v>
                </c:pt>
                <c:pt idx="22">
                  <c:v>4862.5296422557603</c:v>
                </c:pt>
                <c:pt idx="23">
                  <c:v>4747.6706344613012</c:v>
                </c:pt>
                <c:pt idx="24">
                  <c:v>4635.5247395200531</c:v>
                </c:pt>
                <c:pt idx="25">
                  <c:v>4526.0278703264821</c:v>
                </c:pt>
                <c:pt idx="26">
                  <c:v>4419.117453592321</c:v>
                </c:pt>
                <c:pt idx="27">
                  <c:v>4314.7323940883289</c:v>
                </c:pt>
                <c:pt idx="28">
                  <c:v>4212.8130397306886</c:v>
                </c:pt>
                <c:pt idx="29">
                  <c:v>4113.3011474921141</c:v>
                </c:pt>
              </c:numCache>
            </c:numRef>
          </c:val>
          <c:smooth val="0"/>
        </c:ser>
        <c:dLbls>
          <c:showLegendKey val="0"/>
          <c:showVal val="0"/>
          <c:showCatName val="0"/>
          <c:showSerName val="0"/>
          <c:showPercent val="0"/>
          <c:showBubbleSize val="0"/>
        </c:dLbls>
        <c:marker val="1"/>
        <c:smooth val="0"/>
        <c:axId val="208210176"/>
        <c:axId val="208220544"/>
      </c:lineChart>
      <c:catAx>
        <c:axId val="208210176"/>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Sea-entry Year</a:t>
                </a:r>
              </a:p>
            </c:rich>
          </c:tx>
          <c:layout>
            <c:manualLayout>
              <c:xMode val="edge"/>
              <c:yMode val="edge"/>
              <c:x val="0.50405443395404959"/>
              <c:y val="0.94386538547088394"/>
            </c:manualLayout>
          </c:layout>
          <c:overlay val="0"/>
        </c:title>
        <c:numFmt formatCode="General_)" sourceLinked="1"/>
        <c:majorTickMark val="out"/>
        <c:minorTickMark val="none"/>
        <c:tickLblPos val="nextTo"/>
        <c:txPr>
          <a:bodyPr rot="-5400000" vert="horz"/>
          <a:lstStyle/>
          <a:p>
            <a:pPr>
              <a:defRPr sz="1000" b="0" i="0" u="none" strike="noStrike" baseline="0">
                <a:solidFill>
                  <a:srgbClr val="000000"/>
                </a:solidFill>
                <a:latin typeface="Arial"/>
                <a:ea typeface="Arial"/>
                <a:cs typeface="Arial"/>
              </a:defRPr>
            </a:pPr>
            <a:endParaRPr lang="en-US"/>
          </a:p>
        </c:txPr>
        <c:crossAx val="208220544"/>
        <c:crossesAt val="0"/>
        <c:auto val="1"/>
        <c:lblAlgn val="ctr"/>
        <c:lblOffset val="100"/>
        <c:noMultiLvlLbl val="0"/>
      </c:catAx>
      <c:valAx>
        <c:axId val="208220544"/>
        <c:scaling>
          <c:orientation val="minMax"/>
          <c:max val="12000"/>
          <c:min val="0"/>
        </c:scaling>
        <c:delete val="0"/>
        <c:axPos val="l"/>
        <c:title>
          <c:tx>
            <c:rich>
              <a:bodyPr/>
              <a:lstStyle/>
              <a:p>
                <a:pPr>
                  <a:defRPr sz="1400" b="0" i="0" u="none" strike="noStrike" baseline="0">
                    <a:solidFill>
                      <a:srgbClr val="000000"/>
                    </a:solidFill>
                    <a:latin typeface="Arial"/>
                    <a:ea typeface="Arial"/>
                    <a:cs typeface="Arial"/>
                  </a:defRPr>
                </a:pPr>
                <a:r>
                  <a:rPr lang="en-US"/>
                  <a:t>Number of Smolts</a:t>
                </a:r>
              </a:p>
            </c:rich>
          </c:tx>
          <c:layout>
            <c:manualLayout>
              <c:xMode val="edge"/>
              <c:yMode val="edge"/>
              <c:x val="1.4274895479962239E-4"/>
              <c:y val="0.24990546320598814"/>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Arial"/>
                <a:ea typeface="Arial"/>
                <a:cs typeface="Arial"/>
              </a:defRPr>
            </a:pPr>
            <a:endParaRPr lang="en-US"/>
          </a:p>
        </c:txPr>
        <c:crossAx val="208210176"/>
        <c:crosses val="autoZero"/>
        <c:crossBetween val="between"/>
      </c:valAx>
    </c:plotArea>
    <c:legend>
      <c:legendPos val="r"/>
      <c:layout>
        <c:manualLayout>
          <c:xMode val="edge"/>
          <c:yMode val="edge"/>
          <c:x val="0.26394961293345442"/>
          <c:y val="0.11558009697940301"/>
          <c:w val="0.54668181299471952"/>
          <c:h val="0.13773135996889277"/>
        </c:manualLayout>
      </c:layout>
      <c:overlay val="1"/>
      <c:spPr>
        <a:ln>
          <a:noFill/>
        </a:ln>
      </c:spPr>
      <c:txPr>
        <a:bodyPr/>
        <a:lstStyle/>
        <a:p>
          <a:pPr>
            <a:defRPr sz="1010" b="0" i="0" u="none" strike="noStrike" baseline="0">
              <a:solidFill>
                <a:srgbClr val="000000"/>
              </a:solidFill>
              <a:latin typeface="Arial"/>
              <a:ea typeface="Arial"/>
              <a:cs typeface="Arial"/>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21393034825871"/>
          <c:y val="4.46660407493326E-2"/>
          <c:w val="0.76980217025110664"/>
          <c:h val="0.7683421967584273"/>
        </c:manualLayout>
      </c:layout>
      <c:lineChart>
        <c:grouping val="standard"/>
        <c:varyColors val="0"/>
        <c:ser>
          <c:idx val="0"/>
          <c:order val="0"/>
          <c:tx>
            <c:v>Series1</c:v>
          </c:tx>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smolts'!$K$17:$K$44</c:f>
              <c:numCache>
                <c:formatCode>#,##0</c:formatCode>
                <c:ptCount val="28"/>
                <c:pt idx="0">
                  <c:v>130.80497667317852</c:v>
                </c:pt>
                <c:pt idx="1">
                  <c:v>126.56469367046927</c:v>
                </c:pt>
                <c:pt idx="2">
                  <c:v>163.43328983338344</c:v>
                </c:pt>
                <c:pt idx="3">
                  <c:v>290.32939665487908</c:v>
                </c:pt>
                <c:pt idx="4">
                  <c:v>230.3036165711234</c:v>
                </c:pt>
                <c:pt idx="5">
                  <c:v>161.10086219745085</c:v>
                </c:pt>
                <c:pt idx="6">
                  <c:v>170.93861515680797</c:v>
                </c:pt>
                <c:pt idx="7">
                  <c:v>120.63936665529452</c:v>
                </c:pt>
                <c:pt idx="8">
                  <c:v>119.49258726186592</c:v>
                </c:pt>
                <c:pt idx="9">
                  <c:v>222.18477626244194</c:v>
                </c:pt>
                <c:pt idx="10">
                  <c:v>161.8717185688474</c:v>
                </c:pt>
                <c:pt idx="11">
                  <c:v>242.03395534562253</c:v>
                </c:pt>
                <c:pt idx="12">
                  <c:v>228.96989745978459</c:v>
                </c:pt>
                <c:pt idx="13">
                  <c:v>132.35533338181901</c:v>
                </c:pt>
                <c:pt idx="14">
                  <c:v>166.61162818095559</c:v>
                </c:pt>
                <c:pt idx="15">
                  <c:v>128.12423359620283</c:v>
                </c:pt>
                <c:pt idx="16">
                  <c:v>109.58551476236188</c:v>
                </c:pt>
                <c:pt idx="17">
                  <c:v>101.65684118196423</c:v>
                </c:pt>
                <c:pt idx="18">
                  <c:v>79.446569010132222</c:v>
                </c:pt>
                <c:pt idx="19">
                  <c:v>83.600236376301837</c:v>
                </c:pt>
                <c:pt idx="20">
                  <c:v>137.76933974461318</c:v>
                </c:pt>
                <c:pt idx="21">
                  <c:v>108.00907651889088</c:v>
                </c:pt>
                <c:pt idx="22">
                  <c:v>100.30617077919017</c:v>
                </c:pt>
                <c:pt idx="23">
                  <c:v>126.58510175900525</c:v>
                </c:pt>
                <c:pt idx="24">
                  <c:v>204.98635408374238</c:v>
                </c:pt>
                <c:pt idx="25">
                  <c:v>151.45835253137707</c:v>
                </c:pt>
                <c:pt idx="26">
                  <c:v>157.78701933473516</c:v>
                </c:pt>
                <c:pt idx="27">
                  <c:v>276.5014883772634</c:v>
                </c:pt>
              </c:numCache>
            </c:numRef>
          </c:val>
          <c:smooth val="0"/>
        </c:ser>
        <c:ser>
          <c:idx val="1"/>
          <c:order val="1"/>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smolts'!$L$17:$L$44</c:f>
              <c:numCache>
                <c:formatCode>#,##0</c:formatCode>
                <c:ptCount val="28"/>
                <c:pt idx="0">
                  <c:v>219.76733605957446</c:v>
                </c:pt>
                <c:pt idx="1">
                  <c:v>159.89595136670476</c:v>
                </c:pt>
                <c:pt idx="2">
                  <c:v>220.39751959504454</c:v>
                </c:pt>
                <c:pt idx="3">
                  <c:v>372.47685519799205</c:v>
                </c:pt>
                <c:pt idx="4">
                  <c:v>286.93548094890104</c:v>
                </c:pt>
                <c:pt idx="5">
                  <c:v>207.82298377241793</c:v>
                </c:pt>
                <c:pt idx="6">
                  <c:v>224.30483929384854</c:v>
                </c:pt>
                <c:pt idx="7">
                  <c:v>149.75245395253845</c:v>
                </c:pt>
                <c:pt idx="8">
                  <c:v>168.8839613620535</c:v>
                </c:pt>
                <c:pt idx="9">
                  <c:v>291.50532098804331</c:v>
                </c:pt>
                <c:pt idx="10">
                  <c:v>210.53137737252868</c:v>
                </c:pt>
                <c:pt idx="11">
                  <c:v>302.16415161402801</c:v>
                </c:pt>
                <c:pt idx="12">
                  <c:v>313.35898935302134</c:v>
                </c:pt>
                <c:pt idx="13">
                  <c:v>169.16436493170579</c:v>
                </c:pt>
                <c:pt idx="14">
                  <c:v>208.26793118385999</c:v>
                </c:pt>
                <c:pt idx="15">
                  <c:v>166.4092479934057</c:v>
                </c:pt>
                <c:pt idx="16">
                  <c:v>142.96724922431346</c:v>
                </c:pt>
                <c:pt idx="17">
                  <c:v>131.44704377615912</c:v>
                </c:pt>
                <c:pt idx="18">
                  <c:v>101.60388815214985</c:v>
                </c:pt>
                <c:pt idx="19">
                  <c:v>131.8359653472456</c:v>
                </c:pt>
                <c:pt idx="20">
                  <c:v>192.57781583384912</c:v>
                </c:pt>
                <c:pt idx="21">
                  <c:v>165.54701467628144</c:v>
                </c:pt>
                <c:pt idx="22">
                  <c:v>127.56535344982092</c:v>
                </c:pt>
                <c:pt idx="23">
                  <c:v>187.13152022381962</c:v>
                </c:pt>
                <c:pt idx="24">
                  <c:v>267.26349377107022</c:v>
                </c:pt>
                <c:pt idx="25">
                  <c:v>200.57022208869338</c:v>
                </c:pt>
                <c:pt idx="26">
                  <c:v>214.25291296053678</c:v>
                </c:pt>
                <c:pt idx="27">
                  <c:v>402.63191139224068</c:v>
                </c:pt>
              </c:numCache>
            </c:numRef>
          </c:val>
          <c:smooth val="0"/>
        </c:ser>
        <c:ser>
          <c:idx val="2"/>
          <c:order val="2"/>
          <c:tx>
            <c:v>Number of Smolts</c:v>
          </c:tx>
          <c:spPr>
            <a:ln w="12700">
              <a:solidFill>
                <a:srgbClr val="000000"/>
              </a:solidFill>
              <a:prstDash val="solid"/>
            </a:ln>
          </c:spPr>
          <c:marker>
            <c:symbol val="circle"/>
            <c:size val="4"/>
            <c:spPr>
              <a:solidFill>
                <a:srgbClr val="000000"/>
              </a:solidFill>
              <a:ln>
                <a:solidFill>
                  <a:srgbClr val="000000"/>
                </a:solidFill>
                <a:prstDash val="solid"/>
              </a:ln>
            </c:spPr>
          </c:marker>
          <c:dPt>
            <c:idx val="21"/>
            <c:marker>
              <c:spPr>
                <a:solidFill>
                  <a:schemeClr val="tx1"/>
                </a:solidFill>
                <a:ln>
                  <a:solidFill>
                    <a:srgbClr val="000000"/>
                  </a:solidFill>
                  <a:prstDash val="solid"/>
                </a:ln>
              </c:spPr>
            </c:marker>
            <c:bubble3D val="0"/>
          </c:dPt>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smolts'!$J$17:$J$44</c:f>
              <c:numCache>
                <c:formatCode>#,##0</c:formatCode>
                <c:ptCount val="28"/>
                <c:pt idx="0">
                  <c:v>163.99799999999999</c:v>
                </c:pt>
                <c:pt idx="1">
                  <c:v>141.291</c:v>
                </c:pt>
                <c:pt idx="2">
                  <c:v>187.68799999999999</c:v>
                </c:pt>
                <c:pt idx="3">
                  <c:v>326.31200000000001</c:v>
                </c:pt>
                <c:pt idx="4">
                  <c:v>255.51900000000001</c:v>
                </c:pt>
                <c:pt idx="5">
                  <c:v>181.50299999999999</c:v>
                </c:pt>
                <c:pt idx="6">
                  <c:v>194.01900000000001</c:v>
                </c:pt>
                <c:pt idx="7">
                  <c:v>133.62899999999999</c:v>
                </c:pt>
                <c:pt idx="8">
                  <c:v>139.959</c:v>
                </c:pt>
                <c:pt idx="9">
                  <c:v>252.16800000000001</c:v>
                </c:pt>
                <c:pt idx="10">
                  <c:v>183.023</c:v>
                </c:pt>
                <c:pt idx="11">
                  <c:v>268.77699999999999</c:v>
                </c:pt>
                <c:pt idx="12">
                  <c:v>264.59899999999999</c:v>
                </c:pt>
                <c:pt idx="13">
                  <c:v>148.51300000000001</c:v>
                </c:pt>
                <c:pt idx="14">
                  <c:v>185.125</c:v>
                </c:pt>
                <c:pt idx="15">
                  <c:v>144.77799999999999</c:v>
                </c:pt>
                <c:pt idx="16">
                  <c:v>124.07</c:v>
                </c:pt>
                <c:pt idx="17">
                  <c:v>114.648</c:v>
                </c:pt>
                <c:pt idx="18">
                  <c:v>89.168999999999997</c:v>
                </c:pt>
                <c:pt idx="19">
                  <c:v>102.318</c:v>
                </c:pt>
                <c:pt idx="20">
                  <c:v>160.62700000000001</c:v>
                </c:pt>
                <c:pt idx="21">
                  <c:v>130.727</c:v>
                </c:pt>
                <c:pt idx="22">
                  <c:v>112.30500000000001</c:v>
                </c:pt>
                <c:pt idx="23">
                  <c:v>151.01599999999999</c:v>
                </c:pt>
                <c:pt idx="24">
                  <c:v>232.01900000000001</c:v>
                </c:pt>
                <c:pt idx="25">
                  <c:v>172.58799999999999</c:v>
                </c:pt>
                <c:pt idx="26">
                  <c:v>181.73500000000001</c:v>
                </c:pt>
                <c:pt idx="27">
                  <c:v>327.85406462389125</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8267136"/>
        <c:axId val="207425536"/>
      </c:lineChart>
      <c:lineChart>
        <c:grouping val="standard"/>
        <c:varyColors val="0"/>
        <c:ser>
          <c:idx val="3"/>
          <c:order val="3"/>
          <c:tx>
            <c:v>July-November Precipitation</c:v>
          </c:tx>
          <c:spPr>
            <a:ln w="19050">
              <a:solidFill>
                <a:srgbClr val="000000"/>
              </a:solidFill>
              <a:prstDash val="sysDash"/>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smolts'!$M$17:$M$46</c:f>
              <c:numCache>
                <c:formatCode>0.00</c:formatCode>
                <c:ptCount val="30"/>
                <c:pt idx="0">
                  <c:v>87.70620000000001</c:v>
                </c:pt>
                <c:pt idx="1">
                  <c:v>67.360799999999998</c:v>
                </c:pt>
                <c:pt idx="2">
                  <c:v>81.559399999999997</c:v>
                </c:pt>
                <c:pt idx="3">
                  <c:v>121.539</c:v>
                </c:pt>
                <c:pt idx="4">
                  <c:v>90.068399999999983</c:v>
                </c:pt>
                <c:pt idx="5">
                  <c:v>86.233000000000004</c:v>
                </c:pt>
                <c:pt idx="6">
                  <c:v>93.700600000000009</c:v>
                </c:pt>
                <c:pt idx="7">
                  <c:v>65.455799999999996</c:v>
                </c:pt>
                <c:pt idx="8">
                  <c:v>77.977999999999994</c:v>
                </c:pt>
                <c:pt idx="9">
                  <c:v>88.976200000000006</c:v>
                </c:pt>
                <c:pt idx="10">
                  <c:v>80.695800000000006</c:v>
                </c:pt>
                <c:pt idx="11">
                  <c:v>100.203</c:v>
                </c:pt>
                <c:pt idx="12">
                  <c:v>99.796599999999998</c:v>
                </c:pt>
                <c:pt idx="13">
                  <c:v>77.952600000000004</c:v>
                </c:pt>
                <c:pt idx="14">
                  <c:v>101.47300000000001</c:v>
                </c:pt>
                <c:pt idx="15">
                  <c:v>76.301600000000008</c:v>
                </c:pt>
                <c:pt idx="16">
                  <c:v>78.333600000000004</c:v>
                </c:pt>
                <c:pt idx="17">
                  <c:v>113.13160000000001</c:v>
                </c:pt>
                <c:pt idx="18">
                  <c:v>110.8456</c:v>
                </c:pt>
                <c:pt idx="19">
                  <c:v>83.743799999999993</c:v>
                </c:pt>
                <c:pt idx="20">
                  <c:v>114.8588</c:v>
                </c:pt>
                <c:pt idx="21">
                  <c:v>80.492599999999996</c:v>
                </c:pt>
                <c:pt idx="22">
                  <c:v>79.044800000000009</c:v>
                </c:pt>
                <c:pt idx="23">
                  <c:v>96.21520000000001</c:v>
                </c:pt>
                <c:pt idx="24">
                  <c:v>81.457800000000006</c:v>
                </c:pt>
                <c:pt idx="25">
                  <c:v>85.750399999999999</c:v>
                </c:pt>
                <c:pt idx="26">
                  <c:v>96.52</c:v>
                </c:pt>
                <c:pt idx="27">
                  <c:v>127.15240000000001</c:v>
                </c:pt>
                <c:pt idx="28">
                  <c:v>78.816200000000009</c:v>
                </c:pt>
                <c:pt idx="29">
                  <c:v>90.093800000000002</c:v>
                </c:pt>
              </c:numCache>
            </c:numRef>
          </c:val>
          <c:smooth val="0"/>
        </c:ser>
        <c:dLbls>
          <c:showLegendKey val="0"/>
          <c:showVal val="0"/>
          <c:showCatName val="0"/>
          <c:showSerName val="0"/>
          <c:showPercent val="0"/>
          <c:showBubbleSize val="0"/>
        </c:dLbls>
        <c:marker val="1"/>
        <c:smooth val="0"/>
        <c:axId val="207427456"/>
        <c:axId val="207428992"/>
      </c:lineChart>
      <c:catAx>
        <c:axId val="208267136"/>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Sea-EntryYear</a:t>
                </a:r>
              </a:p>
            </c:rich>
          </c:tx>
          <c:layout>
            <c:manualLayout>
              <c:xMode val="edge"/>
              <c:yMode val="edge"/>
              <c:x val="0.42915140831276688"/>
              <c:y val="0.92396473785467315"/>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7425536"/>
        <c:crosses val="autoZero"/>
        <c:auto val="1"/>
        <c:lblAlgn val="ctr"/>
        <c:lblOffset val="100"/>
        <c:tickLblSkip val="1"/>
        <c:tickMarkSkip val="1"/>
        <c:noMultiLvlLbl val="0"/>
      </c:catAx>
      <c:valAx>
        <c:axId val="207425536"/>
        <c:scaling>
          <c:orientation val="minMax"/>
          <c:max val="405"/>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Smolts</a:t>
                </a:r>
              </a:p>
            </c:rich>
          </c:tx>
          <c:layout>
            <c:manualLayout>
              <c:xMode val="edge"/>
              <c:yMode val="edge"/>
              <c:x val="1.3682504933520081E-2"/>
              <c:y val="0.21365106340124754"/>
            </c:manualLayout>
          </c:layout>
          <c:overlay val="0"/>
          <c:spPr>
            <a:noFill/>
            <a:ln w="25400">
              <a:noFill/>
            </a:ln>
          </c:spPr>
        </c:title>
        <c:numFmt formatCode="#,##0" sourceLinked="1"/>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267136"/>
        <c:crosses val="autoZero"/>
        <c:crossBetween val="between"/>
      </c:valAx>
      <c:catAx>
        <c:axId val="207427456"/>
        <c:scaling>
          <c:orientation val="minMax"/>
        </c:scaling>
        <c:delete val="1"/>
        <c:axPos val="b"/>
        <c:numFmt formatCode="General" sourceLinked="1"/>
        <c:majorTickMark val="out"/>
        <c:minorTickMark val="none"/>
        <c:tickLblPos val="nextTo"/>
        <c:crossAx val="207428992"/>
        <c:crosses val="autoZero"/>
        <c:auto val="1"/>
        <c:lblAlgn val="ctr"/>
        <c:lblOffset val="100"/>
        <c:noMultiLvlLbl val="0"/>
      </c:catAx>
      <c:valAx>
        <c:axId val="207428992"/>
        <c:scaling>
          <c:orientation val="minMax"/>
          <c:max val="155.90600000000001"/>
          <c:min val="20"/>
        </c:scaling>
        <c:delete val="0"/>
        <c:axPos val="r"/>
        <c:title>
          <c:tx>
            <c:rich>
              <a:bodyPr/>
              <a:lstStyle/>
              <a:p>
                <a:pPr>
                  <a:defRPr sz="1400" b="0" i="0" u="none" strike="noStrike" baseline="0">
                    <a:solidFill>
                      <a:srgbClr val="000000"/>
                    </a:solidFill>
                    <a:latin typeface="Arial"/>
                    <a:ea typeface="Arial"/>
                    <a:cs typeface="Arial"/>
                  </a:defRPr>
                </a:pPr>
                <a:r>
                  <a:rPr lang="en-US"/>
                  <a:t>Precipitation (cm)</a:t>
                </a:r>
              </a:p>
            </c:rich>
          </c:tx>
          <c:layout>
            <c:manualLayout>
              <c:xMode val="edge"/>
              <c:yMode val="edge"/>
              <c:x val="0.9439746151134093"/>
              <c:y val="0.25968786457122101"/>
            </c:manualLayout>
          </c:layout>
          <c:overlay val="0"/>
        </c:title>
        <c:numFmt formatCode="0" sourceLinked="0"/>
        <c:majorTickMark val="out"/>
        <c:minorTickMark val="none"/>
        <c:tickLblPos val="nextTo"/>
        <c:txPr>
          <a:bodyPr rot="0" vert="horz"/>
          <a:lstStyle/>
          <a:p>
            <a:pPr>
              <a:defRPr sz="1100" b="0" i="0" u="none" strike="noStrike" baseline="0">
                <a:solidFill>
                  <a:srgbClr val="000000"/>
                </a:solidFill>
                <a:latin typeface="Arial"/>
                <a:ea typeface="Arial"/>
                <a:cs typeface="Arial"/>
              </a:defRPr>
            </a:pPr>
            <a:endParaRPr lang="en-US"/>
          </a:p>
        </c:txPr>
        <c:crossAx val="207427456"/>
        <c:crosses val="max"/>
        <c:crossBetween val="between"/>
        <c:majorUnit val="20"/>
      </c:valAx>
      <c:spPr>
        <a:solidFill>
          <a:srgbClr val="FFFFFF"/>
        </a:solidFill>
        <a:ln w="25400">
          <a:noFill/>
        </a:ln>
      </c:spPr>
    </c:plotArea>
    <c:legend>
      <c:legendPos val="r"/>
      <c:legendEntry>
        <c:idx val="0"/>
        <c:delete val="1"/>
      </c:legendEntry>
      <c:legendEntry>
        <c:idx val="1"/>
        <c:delete val="1"/>
      </c:legendEntry>
      <c:layout>
        <c:manualLayout>
          <c:xMode val="edge"/>
          <c:yMode val="edge"/>
          <c:x val="0.13234457633094374"/>
          <c:y val="0.64381740063001747"/>
          <c:w val="0.46357817213146862"/>
          <c:h val="0.13803945151247499"/>
        </c:manualLayout>
      </c:layout>
      <c:overlay val="1"/>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sz="1800"/>
              <a:t>Hugh Smith Lake</a:t>
            </a:r>
          </a:p>
        </c:rich>
      </c:tx>
      <c:layout>
        <c:manualLayout>
          <c:xMode val="edge"/>
          <c:yMode val="edge"/>
          <c:x val="0.39510589747710106"/>
          <c:y val="3.8882649724642109E-2"/>
        </c:manualLayout>
      </c:layout>
      <c:overlay val="1"/>
    </c:title>
    <c:autoTitleDeleted val="0"/>
    <c:plotArea>
      <c:layout>
        <c:manualLayout>
          <c:layoutTarget val="inner"/>
          <c:xMode val="edge"/>
          <c:yMode val="edge"/>
          <c:x val="9.3021800846322777E-2"/>
          <c:y val="2.8350084261040884E-2"/>
          <c:w val="0.89999907154462833"/>
          <c:h val="0.79072826001790986"/>
        </c:manualLayout>
      </c:layout>
      <c:lineChart>
        <c:grouping val="standard"/>
        <c:varyColors val="0"/>
        <c:ser>
          <c:idx val="0"/>
          <c:order val="0"/>
          <c:tx>
            <c:v>Point Estimate</c:v>
          </c:tx>
          <c:spPr>
            <a:ln w="12700">
              <a:solidFill>
                <a:srgbClr val="000000"/>
              </a:solidFill>
              <a:prstDash val="solid"/>
            </a:ln>
          </c:spPr>
          <c:marker>
            <c:symbol val="circle"/>
            <c:size val="5"/>
            <c:spPr>
              <a:solidFill>
                <a:schemeClr val="tx1"/>
              </a:solidFill>
              <a:ln>
                <a:solidFill>
                  <a:srgbClr val="000000"/>
                </a:solidFill>
                <a:prstDash val="solid"/>
              </a:ln>
            </c:spPr>
          </c:marker>
          <c:dPt>
            <c:idx val="27"/>
            <c:bubble3D val="0"/>
            <c:spPr>
              <a:ln w="12700">
                <a:solidFill>
                  <a:srgbClr val="000000"/>
                </a:solidFill>
                <a:prstDash val="solid"/>
              </a:ln>
            </c:spPr>
          </c:dPt>
          <c:dPt>
            <c:idx val="34"/>
            <c:bubble3D val="0"/>
            <c:spPr>
              <a:ln w="12700">
                <a:solidFill>
                  <a:srgbClr val="000000"/>
                </a:solidFill>
                <a:prstDash val="solid"/>
              </a:ln>
            </c:spPr>
          </c:dPt>
          <c:dPt>
            <c:idx val="35"/>
            <c:bubble3D val="0"/>
            <c:spPr>
              <a:ln w="12700">
                <a:solidFill>
                  <a:srgbClr val="000000"/>
                </a:solidFill>
                <a:prstDash val="solid"/>
              </a:ln>
            </c:spPr>
          </c:dPt>
          <c:dPt>
            <c:idx val="36"/>
            <c:bubble3D val="0"/>
          </c:dPt>
          <c:dPt>
            <c:idx val="39"/>
            <c:marker>
              <c:spPr>
                <a:solidFill>
                  <a:schemeClr val="bg1"/>
                </a:solidFill>
                <a:ln>
                  <a:solidFill>
                    <a:srgbClr val="000000"/>
                  </a:solidFill>
                  <a:prstDash val="solid"/>
                </a:ln>
              </c:spPr>
            </c:marker>
            <c:bubble3D val="0"/>
          </c:dPt>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smolts'!$T$7:$T$46</c:f>
              <c:numCache>
                <c:formatCode>General_)</c:formatCode>
                <c:ptCount val="40"/>
                <c:pt idx="3" formatCode="#,##0.0">
                  <c:v>29.117227190917898</c:v>
                </c:pt>
                <c:pt idx="4" formatCode="#,##0.0">
                  <c:v>53.226840988035505</c:v>
                </c:pt>
                <c:pt idx="5" formatCode="#,##0.0">
                  <c:v>32.28273165274463</c:v>
                </c:pt>
                <c:pt idx="6" formatCode="#,##0.0">
                  <c:v>23.572281447611633</c:v>
                </c:pt>
                <c:pt idx="7" formatCode="#,##0.0">
                  <c:v>21.878345864661654</c:v>
                </c:pt>
                <c:pt idx="8" formatCode="#,##0.0">
                  <c:v>36.217857142857142</c:v>
                </c:pt>
                <c:pt idx="9" formatCode="#,##0.0">
                  <c:v>27.904320375335118</c:v>
                </c:pt>
                <c:pt idx="10" formatCode="#,##0.0">
                  <c:v>26.619884422110555</c:v>
                </c:pt>
                <c:pt idx="11" formatCode="#,##0.0">
                  <c:v>33.101020619126039</c:v>
                </c:pt>
                <c:pt idx="12" formatCode="#,##0.0">
                  <c:v>23.372608047734502</c:v>
                </c:pt>
                <c:pt idx="13" formatCode="#,##0.0">
                  <c:v>32.657230396421028</c:v>
                </c:pt>
                <c:pt idx="14" formatCode="#,##0.0">
                  <c:v>48.433600870827284</c:v>
                </c:pt>
                <c:pt idx="15" formatCode="#,##0.0">
                  <c:v>49.515571152308524</c:v>
                </c:pt>
                <c:pt idx="16" formatCode="#,##0.0">
                  <c:v>22.26653846153846</c:v>
                </c:pt>
                <c:pt idx="17" formatCode="#,##0.0">
                  <c:v>32.293666666666667</c:v>
                </c:pt>
                <c:pt idx="18" formatCode="#,##0.0">
                  <c:v>37.435919786096257</c:v>
                </c:pt>
                <c:pt idx="19" formatCode="#,##0.0">
                  <c:v>29.874637749601931</c:v>
                </c:pt>
                <c:pt idx="20" formatCode="#,##0.0">
                  <c:v>19.902225806451614</c:v>
                </c:pt>
                <c:pt idx="21" formatCode="#,##0.0">
                  <c:v>23.326764699879067</c:v>
                </c:pt>
                <c:pt idx="22" formatCode="#,##0.0">
                  <c:v>36.487329427389895</c:v>
                </c:pt>
                <c:pt idx="23" formatCode="#,##0.0">
                  <c:v>26.841259102728113</c:v>
                </c:pt>
                <c:pt idx="24" formatCode="#,##0.0">
                  <c:v>22.997257130996857</c:v>
                </c:pt>
                <c:pt idx="25" formatCode="#,##0.0">
                  <c:v>39.924393427230044</c:v>
                </c:pt>
                <c:pt idx="26" formatCode="#,##0.0">
                  <c:v>28.183527918781724</c:v>
                </c:pt>
                <c:pt idx="27" formatCode="#,##0.0">
                  <c:v>37.267217729809204</c:v>
                </c:pt>
                <c:pt idx="28" formatCode="#,##0.0">
                  <c:v>28.793346815834767</c:v>
                </c:pt>
                <c:pt idx="29" formatCode="#,##0.0">
                  <c:v>24.006237010219913</c:v>
                </c:pt>
                <c:pt idx="30" formatCode="#,##0.0">
                  <c:v>25.812888816652702</c:v>
                </c:pt>
                <c:pt idx="31" formatCode="#,##0.0">
                  <c:v>37.742220746485707</c:v>
                </c:pt>
                <c:pt idx="32" formatCode="#,##0.0">
                  <c:v>32.482232137128946</c:v>
                </c:pt>
                <c:pt idx="33" formatCode="#,##0.0">
                  <c:v>41.092568309419839</c:v>
                </c:pt>
                <c:pt idx="34" formatCode="#,##0.0">
                  <c:v>47.246699308888843</c:v>
                </c:pt>
                <c:pt idx="35" formatCode="#,##0.0">
                  <c:v>33.860166251298907</c:v>
                </c:pt>
                <c:pt idx="36" formatCode="#,##0.0">
                  <c:v>38.808024882920613</c:v>
                </c:pt>
                <c:pt idx="37" formatCode="#,##0.0">
                  <c:v>35.143149897330595</c:v>
                </c:pt>
                <c:pt idx="38" formatCode="#,##0.0">
                  <c:v>51.88708196721312</c:v>
                </c:pt>
                <c:pt idx="39" formatCode="#,##0.0">
                  <c:v>27.620812907627705</c:v>
                </c:pt>
              </c:numCache>
            </c:numRef>
          </c:val>
          <c:smooth val="0"/>
        </c:ser>
        <c:ser>
          <c:idx val="1"/>
          <c:order val="1"/>
          <c:tx>
            <c:v>Lower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smolts'!$U$7:$U$46</c:f>
              <c:numCache>
                <c:formatCode>General_)</c:formatCode>
                <c:ptCount val="40"/>
                <c:pt idx="3" formatCode="#,##0.0">
                  <c:v>25.73762634206722</c:v>
                </c:pt>
                <c:pt idx="4" formatCode="#,##0.0">
                  <c:v>47.086554342464467</c:v>
                </c:pt>
                <c:pt idx="5" formatCode="#,##0.0">
                  <c:v>29.474228517565212</c:v>
                </c:pt>
                <c:pt idx="6" formatCode="#,##0.0">
                  <c:v>21.13635121182838</c:v>
                </c:pt>
                <c:pt idx="7" formatCode="#,##0.0">
                  <c:v>18.704738288593546</c:v>
                </c:pt>
                <c:pt idx="8" formatCode="#,##0.0">
                  <c:v>27.275798137483434</c:v>
                </c:pt>
                <c:pt idx="9" formatCode="#,##0.0">
                  <c:v>22.463365644263337</c:v>
                </c:pt>
                <c:pt idx="10" formatCode="#,##0.0">
                  <c:v>23.375513287117379</c:v>
                </c:pt>
                <c:pt idx="11" formatCode="#,##0.0">
                  <c:v>30.507210429096265</c:v>
                </c:pt>
                <c:pt idx="12" formatCode="#,##0.0">
                  <c:v>21.643135559708064</c:v>
                </c:pt>
                <c:pt idx="13" formatCode="#,##0.0">
                  <c:v>28.041692065813724</c:v>
                </c:pt>
                <c:pt idx="14" formatCode="#,##0.0">
                  <c:v>45.068701346659005</c:v>
                </c:pt>
                <c:pt idx="15" formatCode="#,##0.0">
                  <c:v>45.8981608137411</c:v>
                </c:pt>
                <c:pt idx="16" formatCode="#,##0.0">
                  <c:v>20.597181404438352</c:v>
                </c:pt>
                <c:pt idx="17" formatCode="#,##0.0">
                  <c:v>29.747762434307351</c:v>
                </c:pt>
                <c:pt idx="18" formatCode="#,##0.0">
                  <c:v>34.931828825110003</c:v>
                </c:pt>
                <c:pt idx="19" formatCode="#,##0.0">
                  <c:v>28.068000729534678</c:v>
                </c:pt>
                <c:pt idx="20" formatCode="#,##0.0">
                  <c:v>18.065789556062523</c:v>
                </c:pt>
                <c:pt idx="21" formatCode="#,##0.0">
                  <c:v>22.085657491265312</c:v>
                </c:pt>
                <c:pt idx="22" formatCode="#,##0.0">
                  <c:v>35.14749052564035</c:v>
                </c:pt>
                <c:pt idx="23" formatCode="#,##0.0">
                  <c:v>25.314647203550582</c:v>
                </c:pt>
                <c:pt idx="24" formatCode="#,##0.0">
                  <c:v>21.330728605880175</c:v>
                </c:pt>
                <c:pt idx="25" formatCode="#,##0.0">
                  <c:v>37.662194647432315</c:v>
                </c:pt>
                <c:pt idx="26" formatCode="#,##0.0">
                  <c:v>26.080326555460317</c:v>
                </c:pt>
                <c:pt idx="27" formatCode="#,##0.0">
                  <c:v>34.995938129843516</c:v>
                </c:pt>
                <c:pt idx="28" formatCode="#,##0.0">
                  <c:v>27.227559209481154</c:v>
                </c:pt>
                <c:pt idx="29" formatCode="#,##0.0">
                  <c:v>22.573337272433065</c:v>
                </c:pt>
                <c:pt idx="30" formatCode="#,##0.0">
                  <c:v>24.750784032257123</c:v>
                </c:pt>
                <c:pt idx="31" formatCode="#,##0.0">
                  <c:v>35.886430552825729</c:v>
                </c:pt>
                <c:pt idx="32" formatCode="#,##0.0">
                  <c:v>30.754650743086859</c:v>
                </c:pt>
                <c:pt idx="33" formatCode="#,##0.0">
                  <c:v>39.174734267052358</c:v>
                </c:pt>
                <c:pt idx="34" formatCode="#,##0.0">
                  <c:v>45.29997856365636</c:v>
                </c:pt>
                <c:pt idx="35" formatCode="#,##0.0">
                  <c:v>31.238327111223217</c:v>
                </c:pt>
                <c:pt idx="36" formatCode="#,##0.0">
                  <c:v>34.656074812584485</c:v>
                </c:pt>
                <c:pt idx="37" formatCode="#,##0.0">
                  <c:v>32.277270662998568</c:v>
                </c:pt>
                <c:pt idx="38" formatCode="#,##0.0">
                  <c:v>46.651794766375069</c:v>
                </c:pt>
                <c:pt idx="39" formatCode="#,##0.0">
                  <c:v>19.946670364950801</c:v>
                </c:pt>
              </c:numCache>
            </c:numRef>
          </c:val>
          <c:smooth val="0"/>
        </c:ser>
        <c:ser>
          <c:idx val="2"/>
          <c:order val="2"/>
          <c:tx>
            <c:v>Upper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smolts'!$V$7:$V$46</c:f>
              <c:numCache>
                <c:formatCode>General_)</c:formatCode>
                <c:ptCount val="40"/>
                <c:pt idx="3" formatCode="#,##0.0">
                  <c:v>33.518537394292544</c:v>
                </c:pt>
                <c:pt idx="4" formatCode="#,##0.0">
                  <c:v>61.208717708134301</c:v>
                </c:pt>
                <c:pt idx="5" formatCode="#,##0.0">
                  <c:v>35.682832409755328</c:v>
                </c:pt>
                <c:pt idx="6" formatCode="#,##0.0">
                  <c:v>26.642823719263397</c:v>
                </c:pt>
                <c:pt idx="7" formatCode="#,##0.0">
                  <c:v>26.348933710009732</c:v>
                </c:pt>
                <c:pt idx="8" formatCode="#,##0.0">
                  <c:v>53.88267790232851</c:v>
                </c:pt>
                <c:pt idx="9" formatCode="#,##0.0">
                  <c:v>36.823511948008552</c:v>
                </c:pt>
                <c:pt idx="10" formatCode="#,##0.0">
                  <c:v>30.909992950644142</c:v>
                </c:pt>
                <c:pt idx="11" formatCode="#,##0.0">
                  <c:v>36.176882529425008</c:v>
                </c:pt>
                <c:pt idx="12" formatCode="#,##0.0">
                  <c:v>25.40248484370505</c:v>
                </c:pt>
                <c:pt idx="13" formatCode="#,##0.0">
                  <c:v>39.091521760249435</c:v>
                </c:pt>
                <c:pt idx="14" formatCode="#,##0.0">
                  <c:v>52.341498793843783</c:v>
                </c:pt>
                <c:pt idx="15" formatCode="#,##0.0">
                  <c:v>53.751970388211546</c:v>
                </c:pt>
                <c:pt idx="16" formatCode="#,##0.0">
                  <c:v>24.230356512459217</c:v>
                </c:pt>
                <c:pt idx="17" formatCode="#,##0.0">
                  <c:v>35.316128663001166</c:v>
                </c:pt>
                <c:pt idx="18" formatCode="#,##0.0">
                  <c:v>40.326745805023791</c:v>
                </c:pt>
                <c:pt idx="19" formatCode="#,##0.0">
                  <c:v>31.929848100314675</c:v>
                </c:pt>
                <c:pt idx="20" formatCode="#,##0.0">
                  <c:v>22.15426679946026</c:v>
                </c:pt>
                <c:pt idx="21" formatCode="#,##0.0">
                  <c:v>24.715665656248078</c:v>
                </c:pt>
                <c:pt idx="22" formatCode="#,##0.0">
                  <c:v>37.93336726319216</c:v>
                </c:pt>
                <c:pt idx="23" formatCode="#,##0.0">
                  <c:v>28.563813530230547</c:v>
                </c:pt>
                <c:pt idx="24" formatCode="#,##0.0">
                  <c:v>24.946260133958635</c:v>
                </c:pt>
                <c:pt idx="25" formatCode="#,##0.0">
                  <c:v>42.475718981982986</c:v>
                </c:pt>
                <c:pt idx="26" formatCode="#,##0.0">
                  <c:v>30.655702287768325</c:v>
                </c:pt>
                <c:pt idx="27" formatCode="#,##0.0">
                  <c:v>39.853777076178375</c:v>
                </c:pt>
                <c:pt idx="28" formatCode="#,##0.0">
                  <c:v>30.550211707586065</c:v>
                </c:pt>
                <c:pt idx="29" formatCode="#,##0.0">
                  <c:v>25.63338075598292</c:v>
                </c:pt>
                <c:pt idx="30" formatCode="#,##0.0">
                  <c:v>26.970234586097103</c:v>
                </c:pt>
                <c:pt idx="31" formatCode="#,##0.0">
                  <c:v>39.80041425707045</c:v>
                </c:pt>
                <c:pt idx="32" formatCode="#,##0.0">
                  <c:v>34.415451753697184</c:v>
                </c:pt>
                <c:pt idx="33" formatCode="#,##0.0">
                  <c:v>43.207846980400127</c:v>
                </c:pt>
                <c:pt idx="34" formatCode="#,##0.0">
                  <c:v>49.368249898549202</c:v>
                </c:pt>
                <c:pt idx="35" formatCode="#,##0.0">
                  <c:v>36.962430556290954</c:v>
                </c:pt>
                <c:pt idx="36" formatCode="#,##0.0">
                  <c:v>44.090227962135131</c:v>
                </c:pt>
                <c:pt idx="37" formatCode="#,##0.0">
                  <c:v>38.567538157370954</c:v>
                </c:pt>
                <c:pt idx="38" formatCode="#,##0.0">
                  <c:v>58.445910610162777</c:v>
                </c:pt>
                <c:pt idx="39" formatCode="#,##0.0">
                  <c:v>38.247451415185346</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7482880"/>
        <c:axId val="207484800"/>
      </c:lineChart>
      <c:catAx>
        <c:axId val="207482880"/>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Smolt Year</a:t>
                </a:r>
              </a:p>
            </c:rich>
          </c:tx>
          <c:layout>
            <c:manualLayout>
              <c:xMode val="edge"/>
              <c:yMode val="edge"/>
              <c:x val="0.50011300311598983"/>
              <c:y val="0.93818770226537207"/>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7484800"/>
        <c:crosses val="autoZero"/>
        <c:auto val="1"/>
        <c:lblAlgn val="ctr"/>
        <c:lblOffset val="100"/>
        <c:tickLblSkip val="2"/>
        <c:tickMarkSkip val="1"/>
        <c:noMultiLvlLbl val="0"/>
      </c:catAx>
      <c:valAx>
        <c:axId val="207484800"/>
        <c:scaling>
          <c:orientation val="minMax"/>
          <c:max val="62"/>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Smolts</a:t>
                </a:r>
              </a:p>
            </c:rich>
          </c:tx>
          <c:layout>
            <c:manualLayout>
              <c:xMode val="edge"/>
              <c:yMode val="edge"/>
              <c:x val="8.2144904300755529E-3"/>
              <c:y val="0.21077440562648114"/>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482880"/>
        <c:crosses val="autoZero"/>
        <c:crossBetween val="between"/>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sz="1800"/>
              <a:t>Auke Lake</a:t>
            </a:r>
          </a:p>
        </c:rich>
      </c:tx>
      <c:layout>
        <c:manualLayout>
          <c:xMode val="edge"/>
          <c:yMode val="edge"/>
          <c:x val="0.47855260949524164"/>
          <c:y val="5.5303015218705044E-2"/>
        </c:manualLayout>
      </c:layout>
      <c:overlay val="1"/>
    </c:title>
    <c:autoTitleDeleted val="0"/>
    <c:plotArea>
      <c:layout>
        <c:manualLayout>
          <c:layoutTarget val="inner"/>
          <c:xMode val="edge"/>
          <c:yMode val="edge"/>
          <c:x val="9.3021800846322777E-2"/>
          <c:y val="2.8350084261040884E-2"/>
          <c:w val="0.89999907154462833"/>
          <c:h val="0.79072826001790986"/>
        </c:manualLayout>
      </c:layout>
      <c:lineChart>
        <c:grouping val="standard"/>
        <c:varyColors val="0"/>
        <c:ser>
          <c:idx val="0"/>
          <c:order val="0"/>
          <c:tx>
            <c:v>Point Estimate</c:v>
          </c:tx>
          <c:spPr>
            <a:ln w="12700">
              <a:solidFill>
                <a:srgbClr val="000000"/>
              </a:solidFill>
              <a:prstDash val="solid"/>
            </a:ln>
          </c:spPr>
          <c:marker>
            <c:symbol val="circle"/>
            <c:size val="5"/>
            <c:spPr>
              <a:solidFill>
                <a:schemeClr val="tx1"/>
              </a:solidFill>
              <a:ln>
                <a:solidFill>
                  <a:srgbClr val="000000"/>
                </a:solidFill>
                <a:prstDash val="solid"/>
              </a:ln>
            </c:spPr>
          </c:marker>
          <c:dPt>
            <c:idx val="27"/>
            <c:bubble3D val="0"/>
            <c:spPr>
              <a:ln w="12700">
                <a:solidFill>
                  <a:srgbClr val="000000"/>
                </a:solidFill>
                <a:prstDash val="solid"/>
              </a:ln>
            </c:spPr>
          </c:dPt>
          <c:dPt>
            <c:idx val="34"/>
            <c:bubble3D val="0"/>
            <c:spPr>
              <a:ln w="12700">
                <a:solidFill>
                  <a:srgbClr val="000000"/>
                </a:solidFill>
                <a:prstDash val="solid"/>
              </a:ln>
            </c:spPr>
          </c:dPt>
          <c:dPt>
            <c:idx val="35"/>
            <c:bubble3D val="0"/>
            <c:spPr>
              <a:ln w="12700">
                <a:solidFill>
                  <a:srgbClr val="000000"/>
                </a:solidFill>
                <a:prstDash val="solid"/>
              </a:ln>
            </c:spPr>
          </c:dPt>
          <c:dPt>
            <c:idx val="36"/>
            <c:bubble3D val="0"/>
          </c:dPt>
          <c:dPt>
            <c:idx val="39"/>
            <c:bubble3D val="0"/>
          </c:dPt>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smolts'!$AB$7:$AB$46</c:f>
              <c:numCache>
                <c:formatCode>#,##0.0</c:formatCode>
                <c:ptCount val="40"/>
                <c:pt idx="0">
                  <c:v>8.7889999999999997</c:v>
                </c:pt>
                <c:pt idx="1">
                  <c:v>10.714</c:v>
                </c:pt>
                <c:pt idx="2">
                  <c:v>6.9669999999999996</c:v>
                </c:pt>
                <c:pt idx="3">
                  <c:v>6.8490000000000002</c:v>
                </c:pt>
                <c:pt idx="4">
                  <c:v>6.9009999999999998</c:v>
                </c:pt>
                <c:pt idx="5">
                  <c:v>6.8380000000000001</c:v>
                </c:pt>
                <c:pt idx="6">
                  <c:v>5.8520000000000003</c:v>
                </c:pt>
                <c:pt idx="7">
                  <c:v>5.617</c:v>
                </c:pt>
                <c:pt idx="8">
                  <c:v>7.0140000000000002</c:v>
                </c:pt>
                <c:pt idx="9">
                  <c:v>7.6849999999999996</c:v>
                </c:pt>
                <c:pt idx="10">
                  <c:v>7.0110000000000001</c:v>
                </c:pt>
                <c:pt idx="11">
                  <c:v>5.1369999999999996</c:v>
                </c:pt>
                <c:pt idx="12">
                  <c:v>5.69</c:v>
                </c:pt>
                <c:pt idx="13">
                  <c:v>6.5960000000000001</c:v>
                </c:pt>
                <c:pt idx="14">
                  <c:v>8.6470000000000002</c:v>
                </c:pt>
                <c:pt idx="15">
                  <c:v>7.4950000000000001</c:v>
                </c:pt>
                <c:pt idx="16">
                  <c:v>4.8840000000000003</c:v>
                </c:pt>
                <c:pt idx="17">
                  <c:v>3.9340000000000002</c:v>
                </c:pt>
                <c:pt idx="18">
                  <c:v>6.1109999999999998</c:v>
                </c:pt>
                <c:pt idx="19">
                  <c:v>7.42</c:v>
                </c:pt>
                <c:pt idx="20">
                  <c:v>5.2329999999999997</c:v>
                </c:pt>
                <c:pt idx="21">
                  <c:v>4.9690000000000003</c:v>
                </c:pt>
                <c:pt idx="22">
                  <c:v>5.98</c:v>
                </c:pt>
                <c:pt idx="23">
                  <c:v>3.6160000000000001</c:v>
                </c:pt>
                <c:pt idx="24">
                  <c:v>3.6949999999999998</c:v>
                </c:pt>
                <c:pt idx="25">
                  <c:v>4.5490000000000004</c:v>
                </c:pt>
                <c:pt idx="26">
                  <c:v>4.2869999999999999</c:v>
                </c:pt>
                <c:pt idx="27">
                  <c:v>4.5149999999999997</c:v>
                </c:pt>
                <c:pt idx="28">
                  <c:v>4.0529999999999999</c:v>
                </c:pt>
                <c:pt idx="29">
                  <c:v>3.8149999999999999</c:v>
                </c:pt>
                <c:pt idx="30">
                  <c:v>4.6669999999999998</c:v>
                </c:pt>
                <c:pt idx="31">
                  <c:v>6.0529999999999999</c:v>
                </c:pt>
                <c:pt idx="32">
                  <c:v>10.333</c:v>
                </c:pt>
                <c:pt idx="33">
                  <c:v>6.1429999999999998</c:v>
                </c:pt>
                <c:pt idx="34">
                  <c:v>9.5749999999999993</c:v>
                </c:pt>
                <c:pt idx="35">
                  <c:v>5.7930000000000001</c:v>
                </c:pt>
                <c:pt idx="36">
                  <c:v>6.4180000000000001</c:v>
                </c:pt>
                <c:pt idx="37">
                  <c:v>9.59</c:v>
                </c:pt>
                <c:pt idx="38">
                  <c:v>4.1779999999999999</c:v>
                </c:pt>
                <c:pt idx="39">
                  <c:v>4.8440000000000003</c:v>
                </c:pt>
              </c:numCache>
            </c:numRef>
          </c:val>
          <c:smooth val="0"/>
        </c:ser>
        <c:ser>
          <c:idx val="1"/>
          <c:order val="1"/>
          <c:tx>
            <c:v>Lower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smolts'!$U$7:$U$46</c:f>
              <c:numCache>
                <c:formatCode>General_)</c:formatCode>
                <c:ptCount val="40"/>
                <c:pt idx="3" formatCode="#,##0.0">
                  <c:v>25.73762634206722</c:v>
                </c:pt>
                <c:pt idx="4" formatCode="#,##0.0">
                  <c:v>47.086554342464467</c:v>
                </c:pt>
                <c:pt idx="5" formatCode="#,##0.0">
                  <c:v>29.474228517565212</c:v>
                </c:pt>
                <c:pt idx="6" formatCode="#,##0.0">
                  <c:v>21.13635121182838</c:v>
                </c:pt>
                <c:pt idx="7" formatCode="#,##0.0">
                  <c:v>18.704738288593546</c:v>
                </c:pt>
                <c:pt idx="8" formatCode="#,##0.0">
                  <c:v>27.275798137483434</c:v>
                </c:pt>
                <c:pt idx="9" formatCode="#,##0.0">
                  <c:v>22.463365644263337</c:v>
                </c:pt>
                <c:pt idx="10" formatCode="#,##0.0">
                  <c:v>23.375513287117379</c:v>
                </c:pt>
                <c:pt idx="11" formatCode="#,##0.0">
                  <c:v>30.507210429096265</c:v>
                </c:pt>
                <c:pt idx="12" formatCode="#,##0.0">
                  <c:v>21.643135559708064</c:v>
                </c:pt>
                <c:pt idx="13" formatCode="#,##0.0">
                  <c:v>28.041692065813724</c:v>
                </c:pt>
                <c:pt idx="14" formatCode="#,##0.0">
                  <c:v>45.068701346659005</c:v>
                </c:pt>
                <c:pt idx="15" formatCode="#,##0.0">
                  <c:v>45.8981608137411</c:v>
                </c:pt>
                <c:pt idx="16" formatCode="#,##0.0">
                  <c:v>20.597181404438352</c:v>
                </c:pt>
                <c:pt idx="17" formatCode="#,##0.0">
                  <c:v>29.747762434307351</c:v>
                </c:pt>
                <c:pt idx="18" formatCode="#,##0.0">
                  <c:v>34.931828825110003</c:v>
                </c:pt>
                <c:pt idx="19" formatCode="#,##0.0">
                  <c:v>28.068000729534678</c:v>
                </c:pt>
                <c:pt idx="20" formatCode="#,##0.0">
                  <c:v>18.065789556062523</c:v>
                </c:pt>
                <c:pt idx="21" formatCode="#,##0.0">
                  <c:v>22.085657491265312</c:v>
                </c:pt>
                <c:pt idx="22" formatCode="#,##0.0">
                  <c:v>35.14749052564035</c:v>
                </c:pt>
                <c:pt idx="23" formatCode="#,##0.0">
                  <c:v>25.314647203550582</c:v>
                </c:pt>
                <c:pt idx="24" formatCode="#,##0.0">
                  <c:v>21.330728605880175</c:v>
                </c:pt>
                <c:pt idx="25" formatCode="#,##0.0">
                  <c:v>37.662194647432315</c:v>
                </c:pt>
                <c:pt idx="26" formatCode="#,##0.0">
                  <c:v>26.080326555460317</c:v>
                </c:pt>
                <c:pt idx="27" formatCode="#,##0.0">
                  <c:v>34.995938129843516</c:v>
                </c:pt>
                <c:pt idx="28" formatCode="#,##0.0">
                  <c:v>27.227559209481154</c:v>
                </c:pt>
                <c:pt idx="29" formatCode="#,##0.0">
                  <c:v>22.573337272433065</c:v>
                </c:pt>
                <c:pt idx="30" formatCode="#,##0.0">
                  <c:v>24.750784032257123</c:v>
                </c:pt>
                <c:pt idx="31" formatCode="#,##0.0">
                  <c:v>35.886430552825729</c:v>
                </c:pt>
                <c:pt idx="32" formatCode="#,##0.0">
                  <c:v>30.754650743086859</c:v>
                </c:pt>
                <c:pt idx="33" formatCode="#,##0.0">
                  <c:v>39.174734267052358</c:v>
                </c:pt>
                <c:pt idx="34" formatCode="#,##0.0">
                  <c:v>45.29997856365636</c:v>
                </c:pt>
                <c:pt idx="35" formatCode="#,##0.0">
                  <c:v>31.238327111223217</c:v>
                </c:pt>
                <c:pt idx="36" formatCode="#,##0.0">
                  <c:v>34.656074812584485</c:v>
                </c:pt>
                <c:pt idx="37" formatCode="#,##0.0">
                  <c:v>32.277270662998568</c:v>
                </c:pt>
                <c:pt idx="38" formatCode="#,##0.0">
                  <c:v>46.651794766375069</c:v>
                </c:pt>
                <c:pt idx="39" formatCode="#,##0.0">
                  <c:v>19.946670364950801</c:v>
                </c:pt>
              </c:numCache>
            </c:numRef>
          </c:val>
          <c:smooth val="0"/>
        </c:ser>
        <c:ser>
          <c:idx val="2"/>
          <c:order val="2"/>
          <c:tx>
            <c:v>Upper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smolts'!$V$7:$V$46</c:f>
              <c:numCache>
                <c:formatCode>General_)</c:formatCode>
                <c:ptCount val="40"/>
                <c:pt idx="3" formatCode="#,##0.0">
                  <c:v>33.518537394292544</c:v>
                </c:pt>
                <c:pt idx="4" formatCode="#,##0.0">
                  <c:v>61.208717708134301</c:v>
                </c:pt>
                <c:pt idx="5" formatCode="#,##0.0">
                  <c:v>35.682832409755328</c:v>
                </c:pt>
                <c:pt idx="6" formatCode="#,##0.0">
                  <c:v>26.642823719263397</c:v>
                </c:pt>
                <c:pt idx="7" formatCode="#,##0.0">
                  <c:v>26.348933710009732</c:v>
                </c:pt>
                <c:pt idx="8" formatCode="#,##0.0">
                  <c:v>53.88267790232851</c:v>
                </c:pt>
                <c:pt idx="9" formatCode="#,##0.0">
                  <c:v>36.823511948008552</c:v>
                </c:pt>
                <c:pt idx="10" formatCode="#,##0.0">
                  <c:v>30.909992950644142</c:v>
                </c:pt>
                <c:pt idx="11" formatCode="#,##0.0">
                  <c:v>36.176882529425008</c:v>
                </c:pt>
                <c:pt idx="12" formatCode="#,##0.0">
                  <c:v>25.40248484370505</c:v>
                </c:pt>
                <c:pt idx="13" formatCode="#,##0.0">
                  <c:v>39.091521760249435</c:v>
                </c:pt>
                <c:pt idx="14" formatCode="#,##0.0">
                  <c:v>52.341498793843783</c:v>
                </c:pt>
                <c:pt idx="15" formatCode="#,##0.0">
                  <c:v>53.751970388211546</c:v>
                </c:pt>
                <c:pt idx="16" formatCode="#,##0.0">
                  <c:v>24.230356512459217</c:v>
                </c:pt>
                <c:pt idx="17" formatCode="#,##0.0">
                  <c:v>35.316128663001166</c:v>
                </c:pt>
                <c:pt idx="18" formatCode="#,##0.0">
                  <c:v>40.326745805023791</c:v>
                </c:pt>
                <c:pt idx="19" formatCode="#,##0.0">
                  <c:v>31.929848100314675</c:v>
                </c:pt>
                <c:pt idx="20" formatCode="#,##0.0">
                  <c:v>22.15426679946026</c:v>
                </c:pt>
                <c:pt idx="21" formatCode="#,##0.0">
                  <c:v>24.715665656248078</c:v>
                </c:pt>
                <c:pt idx="22" formatCode="#,##0.0">
                  <c:v>37.93336726319216</c:v>
                </c:pt>
                <c:pt idx="23" formatCode="#,##0.0">
                  <c:v>28.563813530230547</c:v>
                </c:pt>
                <c:pt idx="24" formatCode="#,##0.0">
                  <c:v>24.946260133958635</c:v>
                </c:pt>
                <c:pt idx="25" formatCode="#,##0.0">
                  <c:v>42.475718981982986</c:v>
                </c:pt>
                <c:pt idx="26" formatCode="#,##0.0">
                  <c:v>30.655702287768325</c:v>
                </c:pt>
                <c:pt idx="27" formatCode="#,##0.0">
                  <c:v>39.853777076178375</c:v>
                </c:pt>
                <c:pt idx="28" formatCode="#,##0.0">
                  <c:v>30.550211707586065</c:v>
                </c:pt>
                <c:pt idx="29" formatCode="#,##0.0">
                  <c:v>25.63338075598292</c:v>
                </c:pt>
                <c:pt idx="30" formatCode="#,##0.0">
                  <c:v>26.970234586097103</c:v>
                </c:pt>
                <c:pt idx="31" formatCode="#,##0.0">
                  <c:v>39.80041425707045</c:v>
                </c:pt>
                <c:pt idx="32" formatCode="#,##0.0">
                  <c:v>34.415451753697184</c:v>
                </c:pt>
                <c:pt idx="33" formatCode="#,##0.0">
                  <c:v>43.207846980400127</c:v>
                </c:pt>
                <c:pt idx="34" formatCode="#,##0.0">
                  <c:v>49.368249898549202</c:v>
                </c:pt>
                <c:pt idx="35" formatCode="#,##0.0">
                  <c:v>36.962430556290954</c:v>
                </c:pt>
                <c:pt idx="36" formatCode="#,##0.0">
                  <c:v>44.090227962135131</c:v>
                </c:pt>
                <c:pt idx="37" formatCode="#,##0.0">
                  <c:v>38.567538157370954</c:v>
                </c:pt>
                <c:pt idx="38" formatCode="#,##0.0">
                  <c:v>58.445910610162777</c:v>
                </c:pt>
                <c:pt idx="39" formatCode="#,##0.0">
                  <c:v>38.247451415185346</c:v>
                </c:pt>
              </c:numCache>
            </c:numRef>
          </c:val>
          <c:smooth val="0"/>
        </c:ser>
        <c:dLbls>
          <c:showLegendKey val="0"/>
          <c:showVal val="0"/>
          <c:showCatName val="0"/>
          <c:showSerName val="0"/>
          <c:showPercent val="0"/>
          <c:showBubbleSize val="0"/>
        </c:dLbls>
        <c:marker val="1"/>
        <c:smooth val="0"/>
        <c:axId val="207540992"/>
        <c:axId val="207542912"/>
      </c:lineChart>
      <c:catAx>
        <c:axId val="207540992"/>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Smolt Year</a:t>
                </a:r>
              </a:p>
            </c:rich>
          </c:tx>
          <c:layout>
            <c:manualLayout>
              <c:xMode val="edge"/>
              <c:yMode val="edge"/>
              <c:x val="0.50011300311598983"/>
              <c:y val="0.93818770226537207"/>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7542912"/>
        <c:crosses val="autoZero"/>
        <c:auto val="1"/>
        <c:lblAlgn val="ctr"/>
        <c:lblOffset val="100"/>
        <c:tickLblSkip val="2"/>
        <c:tickMarkSkip val="1"/>
        <c:noMultiLvlLbl val="0"/>
      </c:catAx>
      <c:valAx>
        <c:axId val="207542912"/>
        <c:scaling>
          <c:orientation val="minMax"/>
          <c:max val="11"/>
          <c:min val="0"/>
        </c:scaling>
        <c:delete val="0"/>
        <c:axPos val="l"/>
        <c:title>
          <c:tx>
            <c:rich>
              <a:bodyPr/>
              <a:lstStyle/>
              <a:p>
                <a:pPr>
                  <a:defRPr sz="1400" b="0" i="0" u="none" strike="noStrike" baseline="0">
                    <a:solidFill>
                      <a:srgbClr val="000000"/>
                    </a:solidFill>
                    <a:latin typeface="Arial"/>
                    <a:ea typeface="Arial"/>
                    <a:cs typeface="Arial"/>
                  </a:defRPr>
                </a:pPr>
                <a:r>
                  <a:rPr lang="en-US"/>
                  <a:t>Thousands of Smolts</a:t>
                </a:r>
              </a:p>
            </c:rich>
          </c:tx>
          <c:layout>
            <c:manualLayout>
              <c:xMode val="edge"/>
              <c:yMode val="edge"/>
              <c:x val="8.2144904300755529E-3"/>
              <c:y val="0.21077440562648114"/>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540992"/>
        <c:crosses val="autoZero"/>
        <c:crossBetween val="between"/>
        <c:majorUnit val="1"/>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sz="1800"/>
              <a:t>Auke Creek</a:t>
            </a:r>
          </a:p>
        </c:rich>
      </c:tx>
      <c:layout>
        <c:manualLayout>
          <c:xMode val="edge"/>
          <c:yMode val="edge"/>
          <c:x val="0.43830182438324505"/>
          <c:y val="5.163008574881818E-2"/>
        </c:manualLayout>
      </c:layout>
      <c:overlay val="1"/>
    </c:title>
    <c:autoTitleDeleted val="0"/>
    <c:plotArea>
      <c:layout>
        <c:manualLayout>
          <c:layoutTarget val="inner"/>
          <c:xMode val="edge"/>
          <c:yMode val="edge"/>
          <c:x val="0.12022974276295902"/>
          <c:y val="3.5616297281640882E-2"/>
          <c:w val="0.8575157264391311"/>
          <c:h val="0.90497285931901561"/>
        </c:manualLayout>
      </c:layout>
      <c:lineChart>
        <c:grouping val="standard"/>
        <c:varyColors val="0"/>
        <c:ser>
          <c:idx val="0"/>
          <c:order val="0"/>
          <c:tx>
            <c:v>Point Estimate</c:v>
          </c:tx>
          <c:spPr>
            <a:ln w="12700">
              <a:solidFill>
                <a:srgbClr val="000000"/>
              </a:solidFill>
              <a:prstDash val="solid"/>
            </a:ln>
          </c:spPr>
          <c:marker>
            <c:symbol val="circle"/>
            <c:size val="5"/>
            <c:spPr>
              <a:solidFill>
                <a:schemeClr val="tx1"/>
              </a:solidFill>
              <a:ln>
                <a:solidFill>
                  <a:srgbClr val="000000"/>
                </a:solidFill>
                <a:prstDash val="solid"/>
              </a:ln>
            </c:spPr>
          </c:marker>
          <c:dPt>
            <c:idx val="27"/>
            <c:bubble3D val="0"/>
            <c:spPr>
              <a:ln w="12700">
                <a:solidFill>
                  <a:srgbClr val="000000"/>
                </a:solidFill>
                <a:prstDash val="solid"/>
              </a:ln>
            </c:spPr>
          </c:dPt>
          <c:dPt>
            <c:idx val="34"/>
            <c:bubble3D val="0"/>
            <c:spPr>
              <a:ln w="12700">
                <a:solidFill>
                  <a:srgbClr val="000000"/>
                </a:solidFill>
                <a:prstDash val="solid"/>
              </a:ln>
            </c:spPr>
          </c:dPt>
          <c:dPt>
            <c:idx val="35"/>
            <c:bubble3D val="0"/>
            <c:spPr>
              <a:ln w="12700">
                <a:solidFill>
                  <a:srgbClr val="000000"/>
                </a:solidFill>
                <a:prstDash val="solid"/>
              </a:ln>
            </c:spPr>
          </c:dPt>
          <c:dPt>
            <c:idx val="36"/>
            <c:bubble3D val="0"/>
          </c:dPt>
          <c:dPt>
            <c:idx val="39"/>
            <c:bubble3D val="0"/>
          </c:dPt>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smolts'!$AB$7:$AB$46</c:f>
              <c:numCache>
                <c:formatCode>#,##0.0</c:formatCode>
                <c:ptCount val="40"/>
                <c:pt idx="0">
                  <c:v>8.7889999999999997</c:v>
                </c:pt>
                <c:pt idx="1">
                  <c:v>10.714</c:v>
                </c:pt>
                <c:pt idx="2">
                  <c:v>6.9669999999999996</c:v>
                </c:pt>
                <c:pt idx="3">
                  <c:v>6.8490000000000002</c:v>
                </c:pt>
                <c:pt idx="4">
                  <c:v>6.9009999999999998</c:v>
                </c:pt>
                <c:pt idx="5">
                  <c:v>6.8380000000000001</c:v>
                </c:pt>
                <c:pt idx="6">
                  <c:v>5.8520000000000003</c:v>
                </c:pt>
                <c:pt idx="7">
                  <c:v>5.617</c:v>
                </c:pt>
                <c:pt idx="8">
                  <c:v>7.0140000000000002</c:v>
                </c:pt>
                <c:pt idx="9">
                  <c:v>7.6849999999999996</c:v>
                </c:pt>
                <c:pt idx="10">
                  <c:v>7.0110000000000001</c:v>
                </c:pt>
                <c:pt idx="11">
                  <c:v>5.1369999999999996</c:v>
                </c:pt>
                <c:pt idx="12">
                  <c:v>5.69</c:v>
                </c:pt>
                <c:pt idx="13">
                  <c:v>6.5960000000000001</c:v>
                </c:pt>
                <c:pt idx="14">
                  <c:v>8.6470000000000002</c:v>
                </c:pt>
                <c:pt idx="15">
                  <c:v>7.4950000000000001</c:v>
                </c:pt>
                <c:pt idx="16">
                  <c:v>4.8840000000000003</c:v>
                </c:pt>
                <c:pt idx="17">
                  <c:v>3.9340000000000002</c:v>
                </c:pt>
                <c:pt idx="18">
                  <c:v>6.1109999999999998</c:v>
                </c:pt>
                <c:pt idx="19">
                  <c:v>7.42</c:v>
                </c:pt>
                <c:pt idx="20">
                  <c:v>5.2329999999999997</c:v>
                </c:pt>
                <c:pt idx="21">
                  <c:v>4.9690000000000003</c:v>
                </c:pt>
                <c:pt idx="22">
                  <c:v>5.98</c:v>
                </c:pt>
                <c:pt idx="23">
                  <c:v>3.6160000000000001</c:v>
                </c:pt>
                <c:pt idx="24">
                  <c:v>3.6949999999999998</c:v>
                </c:pt>
                <c:pt idx="25">
                  <c:v>4.5490000000000004</c:v>
                </c:pt>
                <c:pt idx="26">
                  <c:v>4.2869999999999999</c:v>
                </c:pt>
                <c:pt idx="27">
                  <c:v>4.5149999999999997</c:v>
                </c:pt>
                <c:pt idx="28">
                  <c:v>4.0529999999999999</c:v>
                </c:pt>
                <c:pt idx="29">
                  <c:v>3.8149999999999999</c:v>
                </c:pt>
                <c:pt idx="30">
                  <c:v>4.6669999999999998</c:v>
                </c:pt>
                <c:pt idx="31">
                  <c:v>6.0529999999999999</c:v>
                </c:pt>
                <c:pt idx="32">
                  <c:v>10.333</c:v>
                </c:pt>
                <c:pt idx="33">
                  <c:v>6.1429999999999998</c:v>
                </c:pt>
                <c:pt idx="34">
                  <c:v>9.5749999999999993</c:v>
                </c:pt>
                <c:pt idx="35">
                  <c:v>5.7930000000000001</c:v>
                </c:pt>
                <c:pt idx="36">
                  <c:v>6.4180000000000001</c:v>
                </c:pt>
                <c:pt idx="37">
                  <c:v>9.59</c:v>
                </c:pt>
                <c:pt idx="38">
                  <c:v>4.1779999999999999</c:v>
                </c:pt>
                <c:pt idx="39">
                  <c:v>4.8440000000000003</c:v>
                </c:pt>
              </c:numCache>
            </c:numRef>
          </c:val>
          <c:smooth val="0"/>
        </c:ser>
        <c:ser>
          <c:idx val="1"/>
          <c:order val="1"/>
          <c:tx>
            <c:v>Lower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smolts'!$U$7:$U$46</c:f>
              <c:numCache>
                <c:formatCode>General_)</c:formatCode>
                <c:ptCount val="40"/>
                <c:pt idx="3" formatCode="#,##0.0">
                  <c:v>25.73762634206722</c:v>
                </c:pt>
                <c:pt idx="4" formatCode="#,##0.0">
                  <c:v>47.086554342464467</c:v>
                </c:pt>
                <c:pt idx="5" formatCode="#,##0.0">
                  <c:v>29.474228517565212</c:v>
                </c:pt>
                <c:pt idx="6" formatCode="#,##0.0">
                  <c:v>21.13635121182838</c:v>
                </c:pt>
                <c:pt idx="7" formatCode="#,##0.0">
                  <c:v>18.704738288593546</c:v>
                </c:pt>
                <c:pt idx="8" formatCode="#,##0.0">
                  <c:v>27.275798137483434</c:v>
                </c:pt>
                <c:pt idx="9" formatCode="#,##0.0">
                  <c:v>22.463365644263337</c:v>
                </c:pt>
                <c:pt idx="10" formatCode="#,##0.0">
                  <c:v>23.375513287117379</c:v>
                </c:pt>
                <c:pt idx="11" formatCode="#,##0.0">
                  <c:v>30.507210429096265</c:v>
                </c:pt>
                <c:pt idx="12" formatCode="#,##0.0">
                  <c:v>21.643135559708064</c:v>
                </c:pt>
                <c:pt idx="13" formatCode="#,##0.0">
                  <c:v>28.041692065813724</c:v>
                </c:pt>
                <c:pt idx="14" formatCode="#,##0.0">
                  <c:v>45.068701346659005</c:v>
                </c:pt>
                <c:pt idx="15" formatCode="#,##0.0">
                  <c:v>45.8981608137411</c:v>
                </c:pt>
                <c:pt idx="16" formatCode="#,##0.0">
                  <c:v>20.597181404438352</c:v>
                </c:pt>
                <c:pt idx="17" formatCode="#,##0.0">
                  <c:v>29.747762434307351</c:v>
                </c:pt>
                <c:pt idx="18" formatCode="#,##0.0">
                  <c:v>34.931828825110003</c:v>
                </c:pt>
                <c:pt idx="19" formatCode="#,##0.0">
                  <c:v>28.068000729534678</c:v>
                </c:pt>
                <c:pt idx="20" formatCode="#,##0.0">
                  <c:v>18.065789556062523</c:v>
                </c:pt>
                <c:pt idx="21" formatCode="#,##0.0">
                  <c:v>22.085657491265312</c:v>
                </c:pt>
                <c:pt idx="22" formatCode="#,##0.0">
                  <c:v>35.14749052564035</c:v>
                </c:pt>
                <c:pt idx="23" formatCode="#,##0.0">
                  <c:v>25.314647203550582</c:v>
                </c:pt>
                <c:pt idx="24" formatCode="#,##0.0">
                  <c:v>21.330728605880175</c:v>
                </c:pt>
                <c:pt idx="25" formatCode="#,##0.0">
                  <c:v>37.662194647432315</c:v>
                </c:pt>
                <c:pt idx="26" formatCode="#,##0.0">
                  <c:v>26.080326555460317</c:v>
                </c:pt>
                <c:pt idx="27" formatCode="#,##0.0">
                  <c:v>34.995938129843516</c:v>
                </c:pt>
                <c:pt idx="28" formatCode="#,##0.0">
                  <c:v>27.227559209481154</c:v>
                </c:pt>
                <c:pt idx="29" formatCode="#,##0.0">
                  <c:v>22.573337272433065</c:v>
                </c:pt>
                <c:pt idx="30" formatCode="#,##0.0">
                  <c:v>24.750784032257123</c:v>
                </c:pt>
                <c:pt idx="31" formatCode="#,##0.0">
                  <c:v>35.886430552825729</c:v>
                </c:pt>
                <c:pt idx="32" formatCode="#,##0.0">
                  <c:v>30.754650743086859</c:v>
                </c:pt>
                <c:pt idx="33" formatCode="#,##0.0">
                  <c:v>39.174734267052358</c:v>
                </c:pt>
                <c:pt idx="34" formatCode="#,##0.0">
                  <c:v>45.29997856365636</c:v>
                </c:pt>
                <c:pt idx="35" formatCode="#,##0.0">
                  <c:v>31.238327111223217</c:v>
                </c:pt>
                <c:pt idx="36" formatCode="#,##0.0">
                  <c:v>34.656074812584485</c:v>
                </c:pt>
                <c:pt idx="37" formatCode="#,##0.0">
                  <c:v>32.277270662998568</c:v>
                </c:pt>
                <c:pt idx="38" formatCode="#,##0.0">
                  <c:v>46.651794766375069</c:v>
                </c:pt>
                <c:pt idx="39" formatCode="#,##0.0">
                  <c:v>19.946670364950801</c:v>
                </c:pt>
              </c:numCache>
            </c:numRef>
          </c:val>
          <c:smooth val="0"/>
        </c:ser>
        <c:ser>
          <c:idx val="2"/>
          <c:order val="2"/>
          <c:tx>
            <c:v>Upper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smolts'!$V$7:$V$46</c:f>
              <c:numCache>
                <c:formatCode>General_)</c:formatCode>
                <c:ptCount val="40"/>
                <c:pt idx="3" formatCode="#,##0.0">
                  <c:v>33.518537394292544</c:v>
                </c:pt>
                <c:pt idx="4" formatCode="#,##0.0">
                  <c:v>61.208717708134301</c:v>
                </c:pt>
                <c:pt idx="5" formatCode="#,##0.0">
                  <c:v>35.682832409755328</c:v>
                </c:pt>
                <c:pt idx="6" formatCode="#,##0.0">
                  <c:v>26.642823719263397</c:v>
                </c:pt>
                <c:pt idx="7" formatCode="#,##0.0">
                  <c:v>26.348933710009732</c:v>
                </c:pt>
                <c:pt idx="8" formatCode="#,##0.0">
                  <c:v>53.88267790232851</c:v>
                </c:pt>
                <c:pt idx="9" formatCode="#,##0.0">
                  <c:v>36.823511948008552</c:v>
                </c:pt>
                <c:pt idx="10" formatCode="#,##0.0">
                  <c:v>30.909992950644142</c:v>
                </c:pt>
                <c:pt idx="11" formatCode="#,##0.0">
                  <c:v>36.176882529425008</c:v>
                </c:pt>
                <c:pt idx="12" formatCode="#,##0.0">
                  <c:v>25.40248484370505</c:v>
                </c:pt>
                <c:pt idx="13" formatCode="#,##0.0">
                  <c:v>39.091521760249435</c:v>
                </c:pt>
                <c:pt idx="14" formatCode="#,##0.0">
                  <c:v>52.341498793843783</c:v>
                </c:pt>
                <c:pt idx="15" formatCode="#,##0.0">
                  <c:v>53.751970388211546</c:v>
                </c:pt>
                <c:pt idx="16" formatCode="#,##0.0">
                  <c:v>24.230356512459217</c:v>
                </c:pt>
                <c:pt idx="17" formatCode="#,##0.0">
                  <c:v>35.316128663001166</c:v>
                </c:pt>
                <c:pt idx="18" formatCode="#,##0.0">
                  <c:v>40.326745805023791</c:v>
                </c:pt>
                <c:pt idx="19" formatCode="#,##0.0">
                  <c:v>31.929848100314675</c:v>
                </c:pt>
                <c:pt idx="20" formatCode="#,##0.0">
                  <c:v>22.15426679946026</c:v>
                </c:pt>
                <c:pt idx="21" formatCode="#,##0.0">
                  <c:v>24.715665656248078</c:v>
                </c:pt>
                <c:pt idx="22" formatCode="#,##0.0">
                  <c:v>37.93336726319216</c:v>
                </c:pt>
                <c:pt idx="23" formatCode="#,##0.0">
                  <c:v>28.563813530230547</c:v>
                </c:pt>
                <c:pt idx="24" formatCode="#,##0.0">
                  <c:v>24.946260133958635</c:v>
                </c:pt>
                <c:pt idx="25" formatCode="#,##0.0">
                  <c:v>42.475718981982986</c:v>
                </c:pt>
                <c:pt idx="26" formatCode="#,##0.0">
                  <c:v>30.655702287768325</c:v>
                </c:pt>
                <c:pt idx="27" formatCode="#,##0.0">
                  <c:v>39.853777076178375</c:v>
                </c:pt>
                <c:pt idx="28" formatCode="#,##0.0">
                  <c:v>30.550211707586065</c:v>
                </c:pt>
                <c:pt idx="29" formatCode="#,##0.0">
                  <c:v>25.63338075598292</c:v>
                </c:pt>
                <c:pt idx="30" formatCode="#,##0.0">
                  <c:v>26.970234586097103</c:v>
                </c:pt>
                <c:pt idx="31" formatCode="#,##0.0">
                  <c:v>39.80041425707045</c:v>
                </c:pt>
                <c:pt idx="32" formatCode="#,##0.0">
                  <c:v>34.415451753697184</c:v>
                </c:pt>
                <c:pt idx="33" formatCode="#,##0.0">
                  <c:v>43.207846980400127</c:v>
                </c:pt>
                <c:pt idx="34" formatCode="#,##0.0">
                  <c:v>49.368249898549202</c:v>
                </c:pt>
                <c:pt idx="35" formatCode="#,##0.0">
                  <c:v>36.962430556290954</c:v>
                </c:pt>
                <c:pt idx="36" formatCode="#,##0.0">
                  <c:v>44.090227962135131</c:v>
                </c:pt>
                <c:pt idx="37" formatCode="#,##0.0">
                  <c:v>38.567538157370954</c:v>
                </c:pt>
                <c:pt idx="38" formatCode="#,##0.0">
                  <c:v>58.445910610162777</c:v>
                </c:pt>
                <c:pt idx="39" formatCode="#,##0.0">
                  <c:v>38.247451415185346</c:v>
                </c:pt>
              </c:numCache>
            </c:numRef>
          </c:val>
          <c:smooth val="0"/>
        </c:ser>
        <c:dLbls>
          <c:showLegendKey val="0"/>
          <c:showVal val="0"/>
          <c:showCatName val="0"/>
          <c:showSerName val="0"/>
          <c:showPercent val="0"/>
          <c:showBubbleSize val="0"/>
        </c:dLbls>
        <c:marker val="1"/>
        <c:smooth val="0"/>
        <c:axId val="207578624"/>
        <c:axId val="207580160"/>
      </c:lineChart>
      <c:catAx>
        <c:axId val="207578624"/>
        <c:scaling>
          <c:orientation val="minMax"/>
        </c:scaling>
        <c:delete val="0"/>
        <c:axPos val="b"/>
        <c:numFmt formatCode="General_)" sourceLinked="1"/>
        <c:majorTickMark val="out"/>
        <c:minorTickMark val="none"/>
        <c:tickLblPos val="nextTo"/>
        <c:spPr>
          <a:ln w="12700">
            <a:solidFill>
              <a:srgbClr val="000000"/>
            </a:solidFill>
            <a:prstDash val="solid"/>
          </a:ln>
        </c:spPr>
        <c:txPr>
          <a:bodyPr rot="-5400000" vert="horz"/>
          <a:lstStyle/>
          <a:p>
            <a:pPr>
              <a:defRPr sz="200" b="0" i="0" u="none" strike="noStrike" baseline="0">
                <a:solidFill>
                  <a:schemeClr val="bg1"/>
                </a:solidFill>
                <a:latin typeface="Arial"/>
                <a:ea typeface="Arial"/>
                <a:cs typeface="Arial"/>
              </a:defRPr>
            </a:pPr>
            <a:endParaRPr lang="en-US"/>
          </a:p>
        </c:txPr>
        <c:crossAx val="207580160"/>
        <c:crosses val="autoZero"/>
        <c:auto val="1"/>
        <c:lblAlgn val="ctr"/>
        <c:lblOffset val="100"/>
        <c:tickLblSkip val="2"/>
        <c:tickMarkSkip val="1"/>
        <c:noMultiLvlLbl val="0"/>
      </c:catAx>
      <c:valAx>
        <c:axId val="207580160"/>
        <c:scaling>
          <c:orientation val="minMax"/>
          <c:max val="11"/>
          <c:min val="0"/>
        </c:scaling>
        <c:delete val="0"/>
        <c:axPos val="l"/>
        <c:title>
          <c:tx>
            <c:rich>
              <a:bodyPr/>
              <a:lstStyle/>
              <a:p>
                <a:pPr>
                  <a:defRPr sz="1600" b="0" i="0" u="none" strike="noStrike" baseline="0">
                    <a:solidFill>
                      <a:srgbClr val="000000"/>
                    </a:solidFill>
                    <a:latin typeface="Arial"/>
                    <a:ea typeface="Arial"/>
                    <a:cs typeface="Arial"/>
                  </a:defRPr>
                </a:pPr>
                <a:r>
                  <a:rPr lang="en-US" sz="1600"/>
                  <a:t>Thousands of Smolts</a:t>
                </a:r>
              </a:p>
            </c:rich>
          </c:tx>
          <c:layout>
            <c:manualLayout>
              <c:xMode val="edge"/>
              <c:yMode val="edge"/>
              <c:x val="8.2144069143566551E-3"/>
              <c:y val="0.19987527444628003"/>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578624"/>
        <c:crosses val="autoZero"/>
        <c:crossBetween val="between"/>
        <c:majorUnit val="1"/>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sz="1800"/>
              <a:t>Hugh Smith Lake</a:t>
            </a:r>
          </a:p>
        </c:rich>
      </c:tx>
      <c:layout>
        <c:manualLayout>
          <c:xMode val="edge"/>
          <c:yMode val="edge"/>
          <c:x val="0.39506131405705436"/>
          <c:y val="1.9178211131766581E-2"/>
        </c:manualLayout>
      </c:layout>
      <c:overlay val="1"/>
    </c:title>
    <c:autoTitleDeleted val="0"/>
    <c:plotArea>
      <c:layout>
        <c:manualLayout>
          <c:layoutTarget val="inner"/>
          <c:xMode val="edge"/>
          <c:yMode val="edge"/>
          <c:x val="0.11810833260773582"/>
          <c:y val="2.1781938063415711E-2"/>
          <c:w val="0.85961209942201344"/>
          <c:h val="0.78416011382028461"/>
        </c:manualLayout>
      </c:layout>
      <c:lineChart>
        <c:grouping val="standard"/>
        <c:varyColors val="0"/>
        <c:ser>
          <c:idx val="0"/>
          <c:order val="0"/>
          <c:tx>
            <c:v>Point Estimate</c:v>
          </c:tx>
          <c:spPr>
            <a:ln w="12700">
              <a:solidFill>
                <a:srgbClr val="000000"/>
              </a:solidFill>
              <a:prstDash val="solid"/>
            </a:ln>
          </c:spPr>
          <c:marker>
            <c:symbol val="circle"/>
            <c:size val="5"/>
            <c:spPr>
              <a:solidFill>
                <a:schemeClr val="tx1"/>
              </a:solidFill>
              <a:ln>
                <a:solidFill>
                  <a:srgbClr val="000000"/>
                </a:solidFill>
                <a:prstDash val="solid"/>
              </a:ln>
            </c:spPr>
          </c:marker>
          <c:dPt>
            <c:idx val="27"/>
            <c:bubble3D val="0"/>
            <c:spPr>
              <a:ln w="12700">
                <a:solidFill>
                  <a:srgbClr val="000000"/>
                </a:solidFill>
                <a:prstDash val="solid"/>
              </a:ln>
            </c:spPr>
          </c:dPt>
          <c:dPt>
            <c:idx val="34"/>
            <c:bubble3D val="0"/>
            <c:spPr>
              <a:ln w="12700">
                <a:solidFill>
                  <a:srgbClr val="000000"/>
                </a:solidFill>
                <a:prstDash val="solid"/>
              </a:ln>
            </c:spPr>
          </c:dPt>
          <c:dPt>
            <c:idx val="35"/>
            <c:bubble3D val="0"/>
            <c:spPr>
              <a:ln w="12700">
                <a:solidFill>
                  <a:srgbClr val="000000"/>
                </a:solidFill>
                <a:prstDash val="solid"/>
              </a:ln>
            </c:spPr>
          </c:dPt>
          <c:dPt>
            <c:idx val="36"/>
            <c:bubble3D val="0"/>
          </c:dPt>
          <c:dPt>
            <c:idx val="39"/>
            <c:marker>
              <c:spPr>
                <a:solidFill>
                  <a:schemeClr val="bg1"/>
                </a:solidFill>
                <a:ln>
                  <a:solidFill>
                    <a:srgbClr val="000000"/>
                  </a:solidFill>
                  <a:prstDash val="solid"/>
                </a:ln>
              </c:spPr>
            </c:marker>
            <c:bubble3D val="0"/>
          </c:dPt>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smolts'!$T$7:$T$46</c:f>
              <c:numCache>
                <c:formatCode>General_)</c:formatCode>
                <c:ptCount val="40"/>
                <c:pt idx="3" formatCode="#,##0.0">
                  <c:v>29.117227190917898</c:v>
                </c:pt>
                <c:pt idx="4" formatCode="#,##0.0">
                  <c:v>53.226840988035505</c:v>
                </c:pt>
                <c:pt idx="5" formatCode="#,##0.0">
                  <c:v>32.28273165274463</c:v>
                </c:pt>
                <c:pt idx="6" formatCode="#,##0.0">
                  <c:v>23.572281447611633</c:v>
                </c:pt>
                <c:pt idx="7" formatCode="#,##0.0">
                  <c:v>21.878345864661654</c:v>
                </c:pt>
                <c:pt idx="8" formatCode="#,##0.0">
                  <c:v>36.217857142857142</c:v>
                </c:pt>
                <c:pt idx="9" formatCode="#,##0.0">
                  <c:v>27.904320375335118</c:v>
                </c:pt>
                <c:pt idx="10" formatCode="#,##0.0">
                  <c:v>26.619884422110555</c:v>
                </c:pt>
                <c:pt idx="11" formatCode="#,##0.0">
                  <c:v>33.101020619126039</c:v>
                </c:pt>
                <c:pt idx="12" formatCode="#,##0.0">
                  <c:v>23.372608047734502</c:v>
                </c:pt>
                <c:pt idx="13" formatCode="#,##0.0">
                  <c:v>32.657230396421028</c:v>
                </c:pt>
                <c:pt idx="14" formatCode="#,##0.0">
                  <c:v>48.433600870827284</c:v>
                </c:pt>
                <c:pt idx="15" formatCode="#,##0.0">
                  <c:v>49.515571152308524</c:v>
                </c:pt>
                <c:pt idx="16" formatCode="#,##0.0">
                  <c:v>22.26653846153846</c:v>
                </c:pt>
                <c:pt idx="17" formatCode="#,##0.0">
                  <c:v>32.293666666666667</c:v>
                </c:pt>
                <c:pt idx="18" formatCode="#,##0.0">
                  <c:v>37.435919786096257</c:v>
                </c:pt>
                <c:pt idx="19" formatCode="#,##0.0">
                  <c:v>29.874637749601931</c:v>
                </c:pt>
                <c:pt idx="20" formatCode="#,##0.0">
                  <c:v>19.902225806451614</c:v>
                </c:pt>
                <c:pt idx="21" formatCode="#,##0.0">
                  <c:v>23.326764699879067</c:v>
                </c:pt>
                <c:pt idx="22" formatCode="#,##0.0">
                  <c:v>36.487329427389895</c:v>
                </c:pt>
                <c:pt idx="23" formatCode="#,##0.0">
                  <c:v>26.841259102728113</c:v>
                </c:pt>
                <c:pt idx="24" formatCode="#,##0.0">
                  <c:v>22.997257130996857</c:v>
                </c:pt>
                <c:pt idx="25" formatCode="#,##0.0">
                  <c:v>39.924393427230044</c:v>
                </c:pt>
                <c:pt idx="26" formatCode="#,##0.0">
                  <c:v>28.183527918781724</c:v>
                </c:pt>
                <c:pt idx="27" formatCode="#,##0.0">
                  <c:v>37.267217729809204</c:v>
                </c:pt>
                <c:pt idx="28" formatCode="#,##0.0">
                  <c:v>28.793346815834767</c:v>
                </c:pt>
                <c:pt idx="29" formatCode="#,##0.0">
                  <c:v>24.006237010219913</c:v>
                </c:pt>
                <c:pt idx="30" formatCode="#,##0.0">
                  <c:v>25.812888816652702</c:v>
                </c:pt>
                <c:pt idx="31" formatCode="#,##0.0">
                  <c:v>37.742220746485707</c:v>
                </c:pt>
                <c:pt idx="32" formatCode="#,##0.0">
                  <c:v>32.482232137128946</c:v>
                </c:pt>
                <c:pt idx="33" formatCode="#,##0.0">
                  <c:v>41.092568309419839</c:v>
                </c:pt>
                <c:pt idx="34" formatCode="#,##0.0">
                  <c:v>47.246699308888843</c:v>
                </c:pt>
                <c:pt idx="35" formatCode="#,##0.0">
                  <c:v>33.860166251298907</c:v>
                </c:pt>
                <c:pt idx="36" formatCode="#,##0.0">
                  <c:v>38.808024882920613</c:v>
                </c:pt>
                <c:pt idx="37" formatCode="#,##0.0">
                  <c:v>35.143149897330595</c:v>
                </c:pt>
                <c:pt idx="38" formatCode="#,##0.0">
                  <c:v>51.88708196721312</c:v>
                </c:pt>
                <c:pt idx="39" formatCode="#,##0.0">
                  <c:v>27.620812907627705</c:v>
                </c:pt>
              </c:numCache>
            </c:numRef>
          </c:val>
          <c:smooth val="0"/>
        </c:ser>
        <c:ser>
          <c:idx val="1"/>
          <c:order val="1"/>
          <c:tx>
            <c:v>Lower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smolts'!$U$7:$U$46</c:f>
              <c:numCache>
                <c:formatCode>General_)</c:formatCode>
                <c:ptCount val="40"/>
                <c:pt idx="3" formatCode="#,##0.0">
                  <c:v>25.73762634206722</c:v>
                </c:pt>
                <c:pt idx="4" formatCode="#,##0.0">
                  <c:v>47.086554342464467</c:v>
                </c:pt>
                <c:pt idx="5" formatCode="#,##0.0">
                  <c:v>29.474228517565212</c:v>
                </c:pt>
                <c:pt idx="6" formatCode="#,##0.0">
                  <c:v>21.13635121182838</c:v>
                </c:pt>
                <c:pt idx="7" formatCode="#,##0.0">
                  <c:v>18.704738288593546</c:v>
                </c:pt>
                <c:pt idx="8" formatCode="#,##0.0">
                  <c:v>27.275798137483434</c:v>
                </c:pt>
                <c:pt idx="9" formatCode="#,##0.0">
                  <c:v>22.463365644263337</c:v>
                </c:pt>
                <c:pt idx="10" formatCode="#,##0.0">
                  <c:v>23.375513287117379</c:v>
                </c:pt>
                <c:pt idx="11" formatCode="#,##0.0">
                  <c:v>30.507210429096265</c:v>
                </c:pt>
                <c:pt idx="12" formatCode="#,##0.0">
                  <c:v>21.643135559708064</c:v>
                </c:pt>
                <c:pt idx="13" formatCode="#,##0.0">
                  <c:v>28.041692065813724</c:v>
                </c:pt>
                <c:pt idx="14" formatCode="#,##0.0">
                  <c:v>45.068701346659005</c:v>
                </c:pt>
                <c:pt idx="15" formatCode="#,##0.0">
                  <c:v>45.8981608137411</c:v>
                </c:pt>
                <c:pt idx="16" formatCode="#,##0.0">
                  <c:v>20.597181404438352</c:v>
                </c:pt>
                <c:pt idx="17" formatCode="#,##0.0">
                  <c:v>29.747762434307351</c:v>
                </c:pt>
                <c:pt idx="18" formatCode="#,##0.0">
                  <c:v>34.931828825110003</c:v>
                </c:pt>
                <c:pt idx="19" formatCode="#,##0.0">
                  <c:v>28.068000729534678</c:v>
                </c:pt>
                <c:pt idx="20" formatCode="#,##0.0">
                  <c:v>18.065789556062523</c:v>
                </c:pt>
                <c:pt idx="21" formatCode="#,##0.0">
                  <c:v>22.085657491265312</c:v>
                </c:pt>
                <c:pt idx="22" formatCode="#,##0.0">
                  <c:v>35.14749052564035</c:v>
                </c:pt>
                <c:pt idx="23" formatCode="#,##0.0">
                  <c:v>25.314647203550582</c:v>
                </c:pt>
                <c:pt idx="24" formatCode="#,##0.0">
                  <c:v>21.330728605880175</c:v>
                </c:pt>
                <c:pt idx="25" formatCode="#,##0.0">
                  <c:v>37.662194647432315</c:v>
                </c:pt>
                <c:pt idx="26" formatCode="#,##0.0">
                  <c:v>26.080326555460317</c:v>
                </c:pt>
                <c:pt idx="27" formatCode="#,##0.0">
                  <c:v>34.995938129843516</c:v>
                </c:pt>
                <c:pt idx="28" formatCode="#,##0.0">
                  <c:v>27.227559209481154</c:v>
                </c:pt>
                <c:pt idx="29" formatCode="#,##0.0">
                  <c:v>22.573337272433065</c:v>
                </c:pt>
                <c:pt idx="30" formatCode="#,##0.0">
                  <c:v>24.750784032257123</c:v>
                </c:pt>
                <c:pt idx="31" formatCode="#,##0.0">
                  <c:v>35.886430552825729</c:v>
                </c:pt>
                <c:pt idx="32" formatCode="#,##0.0">
                  <c:v>30.754650743086859</c:v>
                </c:pt>
                <c:pt idx="33" formatCode="#,##0.0">
                  <c:v>39.174734267052358</c:v>
                </c:pt>
                <c:pt idx="34" formatCode="#,##0.0">
                  <c:v>45.29997856365636</c:v>
                </c:pt>
                <c:pt idx="35" formatCode="#,##0.0">
                  <c:v>31.238327111223217</c:v>
                </c:pt>
                <c:pt idx="36" formatCode="#,##0.0">
                  <c:v>34.656074812584485</c:v>
                </c:pt>
                <c:pt idx="37" formatCode="#,##0.0">
                  <c:v>32.277270662998568</c:v>
                </c:pt>
                <c:pt idx="38" formatCode="#,##0.0">
                  <c:v>46.651794766375069</c:v>
                </c:pt>
                <c:pt idx="39" formatCode="#,##0.0">
                  <c:v>19.946670364950801</c:v>
                </c:pt>
              </c:numCache>
            </c:numRef>
          </c:val>
          <c:smooth val="0"/>
        </c:ser>
        <c:ser>
          <c:idx val="2"/>
          <c:order val="2"/>
          <c:tx>
            <c:v>Upper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smolts'!$V$7:$V$46</c:f>
              <c:numCache>
                <c:formatCode>General_)</c:formatCode>
                <c:ptCount val="40"/>
                <c:pt idx="3" formatCode="#,##0.0">
                  <c:v>33.518537394292544</c:v>
                </c:pt>
                <c:pt idx="4" formatCode="#,##0.0">
                  <c:v>61.208717708134301</c:v>
                </c:pt>
                <c:pt idx="5" formatCode="#,##0.0">
                  <c:v>35.682832409755328</c:v>
                </c:pt>
                <c:pt idx="6" formatCode="#,##0.0">
                  <c:v>26.642823719263397</c:v>
                </c:pt>
                <c:pt idx="7" formatCode="#,##0.0">
                  <c:v>26.348933710009732</c:v>
                </c:pt>
                <c:pt idx="8" formatCode="#,##0.0">
                  <c:v>53.88267790232851</c:v>
                </c:pt>
                <c:pt idx="9" formatCode="#,##0.0">
                  <c:v>36.823511948008552</c:v>
                </c:pt>
                <c:pt idx="10" formatCode="#,##0.0">
                  <c:v>30.909992950644142</c:v>
                </c:pt>
                <c:pt idx="11" formatCode="#,##0.0">
                  <c:v>36.176882529425008</c:v>
                </c:pt>
                <c:pt idx="12" formatCode="#,##0.0">
                  <c:v>25.40248484370505</c:v>
                </c:pt>
                <c:pt idx="13" formatCode="#,##0.0">
                  <c:v>39.091521760249435</c:v>
                </c:pt>
                <c:pt idx="14" formatCode="#,##0.0">
                  <c:v>52.341498793843783</c:v>
                </c:pt>
                <c:pt idx="15" formatCode="#,##0.0">
                  <c:v>53.751970388211546</c:v>
                </c:pt>
                <c:pt idx="16" formatCode="#,##0.0">
                  <c:v>24.230356512459217</c:v>
                </c:pt>
                <c:pt idx="17" formatCode="#,##0.0">
                  <c:v>35.316128663001166</c:v>
                </c:pt>
                <c:pt idx="18" formatCode="#,##0.0">
                  <c:v>40.326745805023791</c:v>
                </c:pt>
                <c:pt idx="19" formatCode="#,##0.0">
                  <c:v>31.929848100314675</c:v>
                </c:pt>
                <c:pt idx="20" formatCode="#,##0.0">
                  <c:v>22.15426679946026</c:v>
                </c:pt>
                <c:pt idx="21" formatCode="#,##0.0">
                  <c:v>24.715665656248078</c:v>
                </c:pt>
                <c:pt idx="22" formatCode="#,##0.0">
                  <c:v>37.93336726319216</c:v>
                </c:pt>
                <c:pt idx="23" formatCode="#,##0.0">
                  <c:v>28.563813530230547</c:v>
                </c:pt>
                <c:pt idx="24" formatCode="#,##0.0">
                  <c:v>24.946260133958635</c:v>
                </c:pt>
                <c:pt idx="25" formatCode="#,##0.0">
                  <c:v>42.475718981982986</c:v>
                </c:pt>
                <c:pt idx="26" formatCode="#,##0.0">
                  <c:v>30.655702287768325</c:v>
                </c:pt>
                <c:pt idx="27" formatCode="#,##0.0">
                  <c:v>39.853777076178375</c:v>
                </c:pt>
                <c:pt idx="28" formatCode="#,##0.0">
                  <c:v>30.550211707586065</c:v>
                </c:pt>
                <c:pt idx="29" formatCode="#,##0.0">
                  <c:v>25.63338075598292</c:v>
                </c:pt>
                <c:pt idx="30" formatCode="#,##0.0">
                  <c:v>26.970234586097103</c:v>
                </c:pt>
                <c:pt idx="31" formatCode="#,##0.0">
                  <c:v>39.80041425707045</c:v>
                </c:pt>
                <c:pt idx="32" formatCode="#,##0.0">
                  <c:v>34.415451753697184</c:v>
                </c:pt>
                <c:pt idx="33" formatCode="#,##0.0">
                  <c:v>43.207846980400127</c:v>
                </c:pt>
                <c:pt idx="34" formatCode="#,##0.0">
                  <c:v>49.368249898549202</c:v>
                </c:pt>
                <c:pt idx="35" formatCode="#,##0.0">
                  <c:v>36.962430556290954</c:v>
                </c:pt>
                <c:pt idx="36" formatCode="#,##0.0">
                  <c:v>44.090227962135131</c:v>
                </c:pt>
                <c:pt idx="37" formatCode="#,##0.0">
                  <c:v>38.567538157370954</c:v>
                </c:pt>
                <c:pt idx="38" formatCode="#,##0.0">
                  <c:v>58.445910610162777</c:v>
                </c:pt>
                <c:pt idx="39" formatCode="#,##0.0">
                  <c:v>38.247451415185346</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7628928"/>
        <c:axId val="207635200"/>
      </c:lineChart>
      <c:catAx>
        <c:axId val="207628928"/>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sz="1600"/>
                  <a:t>Smolt Year</a:t>
                </a:r>
              </a:p>
            </c:rich>
          </c:tx>
          <c:layout>
            <c:manualLayout>
              <c:xMode val="edge"/>
              <c:yMode val="edge"/>
              <c:x val="0.47153737803219498"/>
              <c:y val="0.9231526819123816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7635200"/>
        <c:crosses val="autoZero"/>
        <c:auto val="1"/>
        <c:lblAlgn val="ctr"/>
        <c:lblOffset val="100"/>
        <c:tickLblSkip val="2"/>
        <c:tickMarkSkip val="1"/>
        <c:noMultiLvlLbl val="0"/>
      </c:catAx>
      <c:valAx>
        <c:axId val="207635200"/>
        <c:scaling>
          <c:orientation val="minMax"/>
          <c:max val="62"/>
          <c:min val="0"/>
        </c:scaling>
        <c:delete val="0"/>
        <c:axPos val="l"/>
        <c:title>
          <c:tx>
            <c:rich>
              <a:bodyPr/>
              <a:lstStyle/>
              <a:p>
                <a:pPr>
                  <a:defRPr sz="1600" b="0" i="0" u="none" strike="noStrike" baseline="0">
                    <a:solidFill>
                      <a:srgbClr val="000000"/>
                    </a:solidFill>
                    <a:latin typeface="Arial"/>
                    <a:ea typeface="Arial"/>
                    <a:cs typeface="Arial"/>
                  </a:defRPr>
                </a:pPr>
                <a:r>
                  <a:rPr lang="en-US" sz="1600"/>
                  <a:t>Thousands of Smolts</a:t>
                </a:r>
              </a:p>
            </c:rich>
          </c:tx>
          <c:layout>
            <c:manualLayout>
              <c:xMode val="edge"/>
              <c:yMode val="edge"/>
              <c:x val="7.9995899335268226E-4"/>
              <c:y val="0.16479733136806174"/>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7628928"/>
        <c:crosses val="autoZero"/>
        <c:crossBetween val="between"/>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sz="1800"/>
              <a:t>Ford</a:t>
            </a:r>
            <a:r>
              <a:rPr lang="en-US" sz="1800" baseline="0"/>
              <a:t> Arm Creek</a:t>
            </a:r>
            <a:endParaRPr lang="en-US" sz="1800"/>
          </a:p>
        </c:rich>
      </c:tx>
      <c:layout>
        <c:manualLayout>
          <c:xMode val="edge"/>
          <c:yMode val="edge"/>
          <c:x val="0.39506138655744949"/>
          <c:y val="1.5885944301466396E-2"/>
        </c:manualLayout>
      </c:layout>
      <c:overlay val="1"/>
    </c:title>
    <c:autoTitleDeleted val="0"/>
    <c:plotArea>
      <c:layout>
        <c:manualLayout>
          <c:layoutTarget val="inner"/>
          <c:xMode val="edge"/>
          <c:yMode val="edge"/>
          <c:x val="0.13354310243383319"/>
          <c:y val="5.4703879901203428E-2"/>
          <c:w val="0.85198978782622947"/>
          <c:h val="0.75123832701165272"/>
        </c:manualLayout>
      </c:layout>
      <c:lineChart>
        <c:grouping val="standard"/>
        <c:varyColors val="0"/>
        <c:ser>
          <c:idx val="0"/>
          <c:order val="0"/>
          <c:tx>
            <c:strRef>
              <c:f>'Master smolts'!$Q$7:$Q$46</c:f>
              <c:strCache>
                <c:ptCount val="1"/>
                <c:pt idx="0">
                  <c:v>1979 1980 79.1 63.7 1983 38.5 45.7 70.3 89.0 51.7 54.9 56.3 61.7 57.4 82.9 134.6 91.6 66.8 80.5 132.7 62.4 102.6 102.9 77.1 101.6 120.6 98.5 84.0 72.3 96.2 64.3 87.0 86.2 99.1 149.1 104.5 96.52 Prelim. Projection 78.82 90.09</c:v>
                </c:pt>
              </c:strCache>
            </c:strRef>
          </c:tx>
          <c:spPr>
            <a:ln w="12700">
              <a:solidFill>
                <a:srgbClr val="000000"/>
              </a:solidFill>
              <a:prstDash val="solid"/>
            </a:ln>
          </c:spPr>
          <c:marker>
            <c:symbol val="circle"/>
            <c:size val="5"/>
            <c:spPr>
              <a:solidFill>
                <a:schemeClr val="tx1"/>
              </a:solidFill>
              <a:ln>
                <a:solidFill>
                  <a:srgbClr val="000000"/>
                </a:solidFill>
                <a:prstDash val="solid"/>
              </a:ln>
            </c:spPr>
          </c:marker>
          <c:dPt>
            <c:idx val="27"/>
            <c:bubble3D val="0"/>
            <c:spPr>
              <a:ln w="12700">
                <a:solidFill>
                  <a:srgbClr val="000000"/>
                </a:solidFill>
                <a:prstDash val="solid"/>
              </a:ln>
            </c:spPr>
          </c:dPt>
          <c:dPt>
            <c:idx val="34"/>
            <c:bubble3D val="0"/>
            <c:spPr>
              <a:ln w="12700">
                <a:solidFill>
                  <a:srgbClr val="000000"/>
                </a:solidFill>
                <a:prstDash val="solid"/>
              </a:ln>
            </c:spPr>
          </c:dPt>
          <c:dPt>
            <c:idx val="35"/>
            <c:bubble3D val="0"/>
            <c:spPr>
              <a:ln w="12700">
                <a:solidFill>
                  <a:srgbClr val="000000"/>
                </a:solidFill>
                <a:prstDash val="solid"/>
              </a:ln>
            </c:spPr>
          </c:dPt>
          <c:dPt>
            <c:idx val="36"/>
            <c:bubble3D val="0"/>
          </c:dPt>
          <c:dPt>
            <c:idx val="39"/>
            <c:bubble3D val="0"/>
          </c:dPt>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smolts'!$Q$7:$Q$46</c:f>
              <c:numCache>
                <c:formatCode>General_)</c:formatCode>
                <c:ptCount val="40"/>
                <c:pt idx="2" formatCode="#,##0.0">
                  <c:v>79.059283687943264</c:v>
                </c:pt>
                <c:pt idx="3" formatCode="#,##0.0">
                  <c:v>63.685573625747651</c:v>
                </c:pt>
                <c:pt idx="5" formatCode="#,##0.0">
                  <c:v>38.50897252747253</c:v>
                </c:pt>
                <c:pt idx="6" formatCode="#,##0.0">
                  <c:v>45.748407417360923</c:v>
                </c:pt>
                <c:pt idx="7" formatCode="#,##0.0">
                  <c:v>70.321670599675855</c:v>
                </c:pt>
                <c:pt idx="8" formatCode="#,##0.0">
                  <c:v>88.982830344736328</c:v>
                </c:pt>
                <c:pt idx="9" formatCode="#,##0.0">
                  <c:v>51.657707251928066</c:v>
                </c:pt>
                <c:pt idx="10" formatCode="#,##0.0">
                  <c:v>54.851125734919684</c:v>
                </c:pt>
                <c:pt idx="11" formatCode="#,##0.0">
                  <c:v>56.283565478211656</c:v>
                </c:pt>
                <c:pt idx="12" formatCode="#,##0.0">
                  <c:v>61.727782651064203</c:v>
                </c:pt>
                <c:pt idx="13" formatCode="#,##0.0">
                  <c:v>57.400521079928957</c:v>
                </c:pt>
                <c:pt idx="14" formatCode="#,##0.0">
                  <c:v>82.893037735849049</c:v>
                </c:pt>
                <c:pt idx="15" formatCode="#,##0.0">
                  <c:v>134.63992171995588</c:v>
                </c:pt>
                <c:pt idx="16" formatCode="#,##0.0">
                  <c:v>91.60507256727459</c:v>
                </c:pt>
                <c:pt idx="17" formatCode="#,##0.0">
                  <c:v>66.771637288419413</c:v>
                </c:pt>
                <c:pt idx="18" formatCode="#,##0.0">
                  <c:v>80.516774227168582</c:v>
                </c:pt>
                <c:pt idx="19" formatCode="#,##0.0">
                  <c:v>132.65451764705881</c:v>
                </c:pt>
                <c:pt idx="20" formatCode="#,##0.0">
                  <c:v>62.444404303192243</c:v>
                </c:pt>
                <c:pt idx="21" formatCode="#,##0.0">
                  <c:v>102.60988524590164</c:v>
                </c:pt>
                <c:pt idx="22" formatCode="#,##0.0">
                  <c:v>102.91788484872714</c:v>
                </c:pt>
                <c:pt idx="23" formatCode="#,##0.0">
                  <c:v>77.08122089689185</c:v>
                </c:pt>
                <c:pt idx="24" formatCode="#,##0.0">
                  <c:v>101.57857668711657</c:v>
                </c:pt>
                <c:pt idx="25" formatCode="#,##0.0">
                  <c:v>120.63155813953489</c:v>
                </c:pt>
                <c:pt idx="26" formatCode="#,##0.0">
                  <c:v>98.469845462730603</c:v>
                </c:pt>
                <c:pt idx="27" formatCode="#,##0.0">
                  <c:v>84.0173870967742</c:v>
                </c:pt>
                <c:pt idx="28" formatCode="#,##0.0">
                  <c:v>72.315070422535214</c:v>
                </c:pt>
                <c:pt idx="29" formatCode="#,##0.0">
                  <c:v>96.179621187077387</c:v>
                </c:pt>
                <c:pt idx="30" formatCode="#,##0.0">
                  <c:v>64.348799999999997</c:v>
                </c:pt>
                <c:pt idx="31" formatCode="#,##0.0">
                  <c:v>86.995734108650637</c:v>
                </c:pt>
                <c:pt idx="32" formatCode="#,##0.0">
                  <c:v>86.174126126126126</c:v>
                </c:pt>
                <c:pt idx="33" formatCode="#,##0.0">
                  <c:v>99.144333333333321</c:v>
                </c:pt>
                <c:pt idx="34" formatCode="#,##0.0">
                  <c:v>149.08988619278006</c:v>
                </c:pt>
                <c:pt idx="35" formatCode="#,##0.0">
                  <c:v>104.4903733167797</c:v>
                </c:pt>
              </c:numCache>
            </c:numRef>
          </c:val>
          <c:smooth val="0"/>
        </c:ser>
        <c:ser>
          <c:idx val="1"/>
          <c:order val="1"/>
          <c:tx>
            <c:v>Lower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smolts'!$R$7:$R$46</c:f>
              <c:numCache>
                <c:formatCode>General_)</c:formatCode>
                <c:ptCount val="40"/>
                <c:pt idx="2" formatCode="#,##0.0">
                  <c:v>67.885750360646895</c:v>
                </c:pt>
                <c:pt idx="3" formatCode="#,##0.0">
                  <c:v>52.707014702480642</c:v>
                </c:pt>
                <c:pt idx="5" formatCode="#,##0.0">
                  <c:v>33.632317645990597</c:v>
                </c:pt>
                <c:pt idx="6" formatCode="#,##0.0">
                  <c:v>40.690941082801039</c:v>
                </c:pt>
                <c:pt idx="7" formatCode="#,##0.0">
                  <c:v>61.225895266812472</c:v>
                </c:pt>
                <c:pt idx="8" formatCode="#,##0.0">
                  <c:v>79.610532262524018</c:v>
                </c:pt>
                <c:pt idx="9" formatCode="#,##0.0">
                  <c:v>47.036114689399305</c:v>
                </c:pt>
                <c:pt idx="10" formatCode="#,##0.0">
                  <c:v>50.170293182418789</c:v>
                </c:pt>
                <c:pt idx="11" formatCode="#,##0.0">
                  <c:v>51.55905329087242</c:v>
                </c:pt>
                <c:pt idx="12" formatCode="#,##0.0">
                  <c:v>56.833350091732051</c:v>
                </c:pt>
                <c:pt idx="13" formatCode="#,##0.0">
                  <c:v>52.985338522615798</c:v>
                </c:pt>
                <c:pt idx="14" formatCode="#,##0.0">
                  <c:v>74.692470307235581</c:v>
                </c:pt>
                <c:pt idx="15" formatCode="#,##0.0">
                  <c:v>110.83679337940525</c:v>
                </c:pt>
                <c:pt idx="16" formatCode="#,##0.0">
                  <c:v>77.25109452144406</c:v>
                </c:pt>
                <c:pt idx="17" formatCode="#,##0.0">
                  <c:v>61.503882028343654</c:v>
                </c:pt>
                <c:pt idx="18" formatCode="#,##0.0">
                  <c:v>74.615578839665801</c:v>
                </c:pt>
                <c:pt idx="19" formatCode="#,##0.0">
                  <c:v>118.17227388358124</c:v>
                </c:pt>
                <c:pt idx="20" formatCode="#,##0.0">
                  <c:v>54.369743710831337</c:v>
                </c:pt>
                <c:pt idx="21" formatCode="#,##0.0">
                  <c:v>84.475595650226111</c:v>
                </c:pt>
                <c:pt idx="22" formatCode="#,##0.0">
                  <c:v>95.752136411174163</c:v>
                </c:pt>
                <c:pt idx="23" formatCode="#,##0.0">
                  <c:v>71.056925261981064</c:v>
                </c:pt>
                <c:pt idx="24" formatCode="#,##0.0">
                  <c:v>89.512080805956316</c:v>
                </c:pt>
                <c:pt idx="25" formatCode="#,##0.0">
                  <c:v>102.92839314839793</c:v>
                </c:pt>
                <c:pt idx="26" formatCode="#,##0.0">
                  <c:v>89.230056659059841</c:v>
                </c:pt>
                <c:pt idx="27" formatCode="#,##0.0">
                  <c:v>74.165771556430741</c:v>
                </c:pt>
                <c:pt idx="28" formatCode="#,##0.0">
                  <c:v>66.474463658707151</c:v>
                </c:pt>
                <c:pt idx="29" formatCode="#,##0.0">
                  <c:v>81.784862752324727</c:v>
                </c:pt>
                <c:pt idx="30" formatCode="#,##0.0">
                  <c:v>56.05850955200119</c:v>
                </c:pt>
                <c:pt idx="31" formatCode="#,##0.0">
                  <c:v>73.547521983176097</c:v>
                </c:pt>
                <c:pt idx="32" formatCode="#,##0.0">
                  <c:v>72.694934381501128</c:v>
                </c:pt>
                <c:pt idx="33" formatCode="#,##0.0">
                  <c:v>84.588095477903096</c:v>
                </c:pt>
                <c:pt idx="34" formatCode="#,##0.0">
                  <c:v>127.31177426900982</c:v>
                </c:pt>
                <c:pt idx="35" formatCode="#,##0.0">
                  <c:v>90.003683306048231</c:v>
                </c:pt>
              </c:numCache>
            </c:numRef>
          </c:val>
          <c:smooth val="0"/>
        </c:ser>
        <c:ser>
          <c:idx val="2"/>
          <c:order val="2"/>
          <c:tx>
            <c:v>Upper Bound</c:v>
          </c:tx>
          <c:spPr>
            <a:ln w="28575">
              <a:noFill/>
            </a:ln>
          </c:spPr>
          <c:marker>
            <c:symbol val="none"/>
          </c:marker>
          <c:cat>
            <c:numRef>
              <c:f>'Master smolts'!$W$7:$W$46</c:f>
              <c:numCache>
                <c:formatCode>General_)</c:formatCode>
                <c:ptCount val="40"/>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2018</c:v>
                </c:pt>
              </c:numCache>
            </c:numRef>
          </c:cat>
          <c:val>
            <c:numRef>
              <c:f>'Master smolts'!$S$7:$S$46</c:f>
              <c:numCache>
                <c:formatCode>General_)</c:formatCode>
                <c:ptCount val="40"/>
                <c:pt idx="2" formatCode="#,##0.0">
                  <c:v>94.635672468511146</c:v>
                </c:pt>
                <c:pt idx="3" formatCode="#,##0.0">
                  <c:v>80.440946178033997</c:v>
                </c:pt>
                <c:pt idx="5" formatCode="#,##0.0">
                  <c:v>45.039685117715315</c:v>
                </c:pt>
                <c:pt idx="6" formatCode="#,##0.0">
                  <c:v>52.241488207480977</c:v>
                </c:pt>
                <c:pt idx="7" formatCode="#,##0.0">
                  <c:v>82.591546779065311</c:v>
                </c:pt>
                <c:pt idx="8" formatCode="#,##0.0">
                  <c:v>100.85632944280397</c:v>
                </c:pt>
                <c:pt idx="9" formatCode="#,##0.0">
                  <c:v>57.286460416202225</c:v>
                </c:pt>
                <c:pt idx="10" formatCode="#,##0.0">
                  <c:v>60.495266846420805</c:v>
                </c:pt>
                <c:pt idx="11" formatCode="#,##0.0">
                  <c:v>61.961263706553133</c:v>
                </c:pt>
                <c:pt idx="12" formatCode="#,##0.0">
                  <c:v>67.544663009309659</c:v>
                </c:pt>
                <c:pt idx="13" formatCode="#,##0.0">
                  <c:v>62.618412075252003</c:v>
                </c:pt>
                <c:pt idx="14" formatCode="#,##0.0">
                  <c:v>93.116386984197689</c:v>
                </c:pt>
                <c:pt idx="15" formatCode="#,##0.0">
                  <c:v>171.4630445314686</c:v>
                </c:pt>
                <c:pt idx="16" formatCode="#,##0.0">
                  <c:v>112.51059692509131</c:v>
                </c:pt>
                <c:pt idx="17" formatCode="#,##0.0">
                  <c:v>73.026275787961609</c:v>
                </c:pt>
                <c:pt idx="18" formatCode="#,##0.0">
                  <c:v>87.431559644937082</c:v>
                </c:pt>
                <c:pt idx="19" formatCode="#,##0.0">
                  <c:v>151.18219150987863</c:v>
                </c:pt>
                <c:pt idx="20" formatCode="#,##0.0">
                  <c:v>73.335784913745016</c:v>
                </c:pt>
                <c:pt idx="21" formatCode="#,##0.0">
                  <c:v>130.65813278715692</c:v>
                </c:pt>
                <c:pt idx="22" formatCode="#,##0.0">
                  <c:v>111.24290734282216</c:v>
                </c:pt>
                <c:pt idx="23" formatCode="#,##0.0">
                  <c:v>84.221637411580161</c:v>
                </c:pt>
                <c:pt idx="24" formatCode="#,##0.0">
                  <c:v>117.40514031110409</c:v>
                </c:pt>
                <c:pt idx="25" formatCode="#,##0.0">
                  <c:v>145.6894010231174</c:v>
                </c:pt>
                <c:pt idx="26" formatCode="#,##0.0">
                  <c:v>109.84423637301721</c:v>
                </c:pt>
                <c:pt idx="27" formatCode="#,##0.0">
                  <c:v>96.887135339674131</c:v>
                </c:pt>
                <c:pt idx="28" formatCode="#,##0.0">
                  <c:v>79.280879808021169</c:v>
                </c:pt>
                <c:pt idx="29" formatCode="#,##0.0">
                  <c:v>116.72391960231208</c:v>
                </c:pt>
                <c:pt idx="30" formatCode="#,##0.0">
                  <c:v>75.516690534472303</c:v>
                </c:pt>
                <c:pt idx="31" formatCode="#,##0.0">
                  <c:v>106.46246490929711</c:v>
                </c:pt>
                <c:pt idx="32" formatCode="#,##0.0">
                  <c:v>105.7898147547815</c:v>
                </c:pt>
                <c:pt idx="33" formatCode="#,##0.0">
                  <c:v>119.75164759019454</c:v>
                </c:pt>
                <c:pt idx="34" formatCode="#,##0.0">
                  <c:v>179.8563369730698</c:v>
                </c:pt>
                <c:pt idx="35" formatCode="#,##0.0">
                  <c:v>124.53512856049338</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8605184"/>
        <c:axId val="208607104"/>
      </c:lineChart>
      <c:catAx>
        <c:axId val="208605184"/>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sz="1600"/>
                  <a:t>Smolt Year</a:t>
                </a:r>
              </a:p>
            </c:rich>
          </c:tx>
          <c:layout>
            <c:manualLayout>
              <c:xMode val="edge"/>
              <c:yMode val="edge"/>
              <c:x val="0.45936757905261844"/>
              <c:y val="0.92315269710059866"/>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607104"/>
        <c:crosses val="autoZero"/>
        <c:auto val="1"/>
        <c:lblAlgn val="ctr"/>
        <c:lblOffset val="100"/>
        <c:tickLblSkip val="2"/>
        <c:tickMarkSkip val="1"/>
        <c:noMultiLvlLbl val="0"/>
      </c:catAx>
      <c:valAx>
        <c:axId val="208607104"/>
        <c:scaling>
          <c:orientation val="minMax"/>
          <c:max val="180"/>
          <c:min val="0"/>
        </c:scaling>
        <c:delete val="0"/>
        <c:axPos val="l"/>
        <c:title>
          <c:tx>
            <c:rich>
              <a:bodyPr/>
              <a:lstStyle/>
              <a:p>
                <a:pPr>
                  <a:defRPr sz="1600" b="0" i="0" u="none" strike="noStrike" baseline="0">
                    <a:solidFill>
                      <a:srgbClr val="000000"/>
                    </a:solidFill>
                    <a:latin typeface="Arial"/>
                    <a:ea typeface="Arial"/>
                    <a:cs typeface="Arial"/>
                  </a:defRPr>
                </a:pPr>
                <a:r>
                  <a:rPr lang="en-US" sz="1600"/>
                  <a:t>Thousands of Presmolts</a:t>
                </a:r>
              </a:p>
            </c:rich>
          </c:tx>
          <c:layout>
            <c:manualLayout>
              <c:xMode val="edge"/>
              <c:yMode val="edge"/>
              <c:x val="6.2847913241614022E-3"/>
              <c:y val="0.13186743964678774"/>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605184"/>
        <c:crosses val="autoZero"/>
        <c:crossBetween val="between"/>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00"/>
            </a:pPr>
            <a:r>
              <a:rPr lang="en-US" sz="2200"/>
              <a:t>Berners</a:t>
            </a:r>
            <a:r>
              <a:rPr lang="en-US" sz="2200" baseline="0"/>
              <a:t> River</a:t>
            </a:r>
            <a:endParaRPr lang="en-US" sz="2200"/>
          </a:p>
        </c:rich>
      </c:tx>
      <c:layout>
        <c:manualLayout>
          <c:xMode val="edge"/>
          <c:yMode val="edge"/>
          <c:x val="0.34977174728158983"/>
          <c:y val="4.5062955599734923E-2"/>
        </c:manualLayout>
      </c:layout>
      <c:overlay val="1"/>
    </c:title>
    <c:autoTitleDeleted val="0"/>
    <c:plotArea>
      <c:layout>
        <c:manualLayout>
          <c:layoutTarget val="inner"/>
          <c:xMode val="edge"/>
          <c:yMode val="edge"/>
          <c:x val="0.11522981502312211"/>
          <c:y val="4.9967491638097918E-2"/>
          <c:w val="0.77377046619172607"/>
          <c:h val="0.7868975125624208"/>
        </c:manualLayout>
      </c:layout>
      <c:lineChart>
        <c:grouping val="standard"/>
        <c:varyColors val="0"/>
        <c:ser>
          <c:idx val="0"/>
          <c:order val="0"/>
          <c:tx>
            <c:v>Series1</c:v>
          </c:tx>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smolts'!$K$17:$K$45</c:f>
              <c:numCache>
                <c:formatCode>#,##0</c:formatCode>
                <c:ptCount val="29"/>
                <c:pt idx="0">
                  <c:v>130.80497667317852</c:v>
                </c:pt>
                <c:pt idx="1">
                  <c:v>126.56469367046927</c:v>
                </c:pt>
                <c:pt idx="2">
                  <c:v>163.43328983338344</c:v>
                </c:pt>
                <c:pt idx="3">
                  <c:v>290.32939665487908</c:v>
                </c:pt>
                <c:pt idx="4">
                  <c:v>230.3036165711234</c:v>
                </c:pt>
                <c:pt idx="5">
                  <c:v>161.10086219745085</c:v>
                </c:pt>
                <c:pt idx="6">
                  <c:v>170.93861515680797</c:v>
                </c:pt>
                <c:pt idx="7">
                  <c:v>120.63936665529452</c:v>
                </c:pt>
                <c:pt idx="8">
                  <c:v>119.49258726186592</c:v>
                </c:pt>
                <c:pt idx="9">
                  <c:v>222.18477626244194</c:v>
                </c:pt>
                <c:pt idx="10">
                  <c:v>161.8717185688474</c:v>
                </c:pt>
                <c:pt idx="11">
                  <c:v>242.03395534562253</c:v>
                </c:pt>
                <c:pt idx="12">
                  <c:v>228.96989745978459</c:v>
                </c:pt>
                <c:pt idx="13">
                  <c:v>132.35533338181901</c:v>
                </c:pt>
                <c:pt idx="14">
                  <c:v>166.61162818095559</c:v>
                </c:pt>
                <c:pt idx="15">
                  <c:v>128.12423359620283</c:v>
                </c:pt>
                <c:pt idx="16">
                  <c:v>109.58551476236188</c:v>
                </c:pt>
                <c:pt idx="17">
                  <c:v>101.65684118196423</c:v>
                </c:pt>
                <c:pt idx="18">
                  <c:v>79.446569010132222</c:v>
                </c:pt>
                <c:pt idx="19">
                  <c:v>83.600236376301837</c:v>
                </c:pt>
                <c:pt idx="20">
                  <c:v>137.76933974461318</c:v>
                </c:pt>
                <c:pt idx="21">
                  <c:v>108.00907651889088</c:v>
                </c:pt>
                <c:pt idx="22">
                  <c:v>100.30617077919017</c:v>
                </c:pt>
                <c:pt idx="23">
                  <c:v>126.58510175900525</c:v>
                </c:pt>
                <c:pt idx="24">
                  <c:v>204.98635408374238</c:v>
                </c:pt>
                <c:pt idx="25">
                  <c:v>151.45835253137707</c:v>
                </c:pt>
                <c:pt idx="26">
                  <c:v>157.78701933473516</c:v>
                </c:pt>
                <c:pt idx="27">
                  <c:v>276.5014883772634</c:v>
                </c:pt>
                <c:pt idx="28">
                  <c:v>110.38734753154496</c:v>
                </c:pt>
              </c:numCache>
            </c:numRef>
          </c:val>
          <c:smooth val="0"/>
        </c:ser>
        <c:ser>
          <c:idx val="1"/>
          <c:order val="1"/>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smolts'!$L$17:$L$45</c:f>
              <c:numCache>
                <c:formatCode>#,##0</c:formatCode>
                <c:ptCount val="29"/>
                <c:pt idx="0">
                  <c:v>219.76733605957446</c:v>
                </c:pt>
                <c:pt idx="1">
                  <c:v>159.89595136670476</c:v>
                </c:pt>
                <c:pt idx="2">
                  <c:v>220.39751959504454</c:v>
                </c:pt>
                <c:pt idx="3">
                  <c:v>372.47685519799205</c:v>
                </c:pt>
                <c:pt idx="4">
                  <c:v>286.93548094890104</c:v>
                </c:pt>
                <c:pt idx="5">
                  <c:v>207.82298377241793</c:v>
                </c:pt>
                <c:pt idx="6">
                  <c:v>224.30483929384854</c:v>
                </c:pt>
                <c:pt idx="7">
                  <c:v>149.75245395253845</c:v>
                </c:pt>
                <c:pt idx="8">
                  <c:v>168.8839613620535</c:v>
                </c:pt>
                <c:pt idx="9">
                  <c:v>291.50532098804331</c:v>
                </c:pt>
                <c:pt idx="10">
                  <c:v>210.53137737252868</c:v>
                </c:pt>
                <c:pt idx="11">
                  <c:v>302.16415161402801</c:v>
                </c:pt>
                <c:pt idx="12">
                  <c:v>313.35898935302134</c:v>
                </c:pt>
                <c:pt idx="13">
                  <c:v>169.16436493170579</c:v>
                </c:pt>
                <c:pt idx="14">
                  <c:v>208.26793118385999</c:v>
                </c:pt>
                <c:pt idx="15">
                  <c:v>166.4092479934057</c:v>
                </c:pt>
                <c:pt idx="16">
                  <c:v>142.96724922431346</c:v>
                </c:pt>
                <c:pt idx="17">
                  <c:v>131.44704377615912</c:v>
                </c:pt>
                <c:pt idx="18">
                  <c:v>101.60388815214985</c:v>
                </c:pt>
                <c:pt idx="19">
                  <c:v>131.8359653472456</c:v>
                </c:pt>
                <c:pt idx="20">
                  <c:v>192.57781583384912</c:v>
                </c:pt>
                <c:pt idx="21">
                  <c:v>165.54701467628144</c:v>
                </c:pt>
                <c:pt idx="22">
                  <c:v>127.56535344982092</c:v>
                </c:pt>
                <c:pt idx="23">
                  <c:v>187.13152022381962</c:v>
                </c:pt>
                <c:pt idx="24">
                  <c:v>267.26349377107022</c:v>
                </c:pt>
                <c:pt idx="25">
                  <c:v>200.57022208869338</c:v>
                </c:pt>
                <c:pt idx="26">
                  <c:v>214.25291296053678</c:v>
                </c:pt>
                <c:pt idx="27">
                  <c:v>402.63191139224068</c:v>
                </c:pt>
                <c:pt idx="28">
                  <c:v>154.68643401407618</c:v>
                </c:pt>
              </c:numCache>
            </c:numRef>
          </c:val>
          <c:smooth val="0"/>
        </c:ser>
        <c:ser>
          <c:idx val="2"/>
          <c:order val="2"/>
          <c:tx>
            <c:v>Number of Smolts</c:v>
          </c:tx>
          <c:spPr>
            <a:ln w="19050">
              <a:solidFill>
                <a:srgbClr val="FF0000"/>
              </a:solidFill>
              <a:prstDash val="solid"/>
            </a:ln>
          </c:spPr>
          <c:marker>
            <c:symbol val="circle"/>
            <c:size val="6"/>
            <c:spPr>
              <a:solidFill>
                <a:srgbClr val="FF0000"/>
              </a:solidFill>
              <a:ln>
                <a:solidFill>
                  <a:srgbClr val="000000"/>
                </a:solidFill>
                <a:prstDash val="solid"/>
              </a:ln>
            </c:spPr>
          </c:marker>
          <c:dPt>
            <c:idx val="21"/>
            <c:bubble3D val="0"/>
          </c:dPt>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smolts'!$J$17:$J$45</c:f>
              <c:numCache>
                <c:formatCode>#,##0</c:formatCode>
                <c:ptCount val="29"/>
                <c:pt idx="0">
                  <c:v>163.99799999999999</c:v>
                </c:pt>
                <c:pt idx="1">
                  <c:v>141.291</c:v>
                </c:pt>
                <c:pt idx="2">
                  <c:v>187.68799999999999</c:v>
                </c:pt>
                <c:pt idx="3">
                  <c:v>326.31200000000001</c:v>
                </c:pt>
                <c:pt idx="4">
                  <c:v>255.51900000000001</c:v>
                </c:pt>
                <c:pt idx="5">
                  <c:v>181.50299999999999</c:v>
                </c:pt>
                <c:pt idx="6">
                  <c:v>194.01900000000001</c:v>
                </c:pt>
                <c:pt idx="7">
                  <c:v>133.62899999999999</c:v>
                </c:pt>
                <c:pt idx="8">
                  <c:v>139.959</c:v>
                </c:pt>
                <c:pt idx="9">
                  <c:v>252.16800000000001</c:v>
                </c:pt>
                <c:pt idx="10">
                  <c:v>183.023</c:v>
                </c:pt>
                <c:pt idx="11">
                  <c:v>268.77699999999999</c:v>
                </c:pt>
                <c:pt idx="12">
                  <c:v>264.59899999999999</c:v>
                </c:pt>
                <c:pt idx="13">
                  <c:v>148.51300000000001</c:v>
                </c:pt>
                <c:pt idx="14">
                  <c:v>185.125</c:v>
                </c:pt>
                <c:pt idx="15">
                  <c:v>144.77799999999999</c:v>
                </c:pt>
                <c:pt idx="16">
                  <c:v>124.07</c:v>
                </c:pt>
                <c:pt idx="17">
                  <c:v>114.648</c:v>
                </c:pt>
                <c:pt idx="18">
                  <c:v>89.168999999999997</c:v>
                </c:pt>
                <c:pt idx="19">
                  <c:v>102.318</c:v>
                </c:pt>
                <c:pt idx="20">
                  <c:v>160.62700000000001</c:v>
                </c:pt>
                <c:pt idx="21">
                  <c:v>130.727</c:v>
                </c:pt>
                <c:pt idx="22">
                  <c:v>112.30500000000001</c:v>
                </c:pt>
                <c:pt idx="23">
                  <c:v>151.01599999999999</c:v>
                </c:pt>
                <c:pt idx="24">
                  <c:v>232.01900000000001</c:v>
                </c:pt>
                <c:pt idx="25">
                  <c:v>172.58799999999999</c:v>
                </c:pt>
                <c:pt idx="26">
                  <c:v>181.73500000000001</c:v>
                </c:pt>
                <c:pt idx="27">
                  <c:v>327.85406462389125</c:v>
                </c:pt>
                <c:pt idx="28">
                  <c:v>129.309</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8656640"/>
        <c:axId val="208667008"/>
      </c:lineChart>
      <c:lineChart>
        <c:grouping val="standard"/>
        <c:varyColors val="0"/>
        <c:ser>
          <c:idx val="3"/>
          <c:order val="3"/>
          <c:tx>
            <c:v>July-November Precipitation</c:v>
          </c:tx>
          <c:spPr>
            <a:ln w="28575">
              <a:solidFill>
                <a:srgbClr val="00B0F0"/>
              </a:solidFill>
              <a:prstDash val="sysDash"/>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smolts'!$M$17:$M$46</c:f>
              <c:numCache>
                <c:formatCode>0.00</c:formatCode>
                <c:ptCount val="30"/>
                <c:pt idx="0">
                  <c:v>87.70620000000001</c:v>
                </c:pt>
                <c:pt idx="1">
                  <c:v>67.360799999999998</c:v>
                </c:pt>
                <c:pt idx="2">
                  <c:v>81.559399999999997</c:v>
                </c:pt>
                <c:pt idx="3">
                  <c:v>121.539</c:v>
                </c:pt>
                <c:pt idx="4">
                  <c:v>90.068399999999983</c:v>
                </c:pt>
                <c:pt idx="5">
                  <c:v>86.233000000000004</c:v>
                </c:pt>
                <c:pt idx="6">
                  <c:v>93.700600000000009</c:v>
                </c:pt>
                <c:pt idx="7">
                  <c:v>65.455799999999996</c:v>
                </c:pt>
                <c:pt idx="8">
                  <c:v>77.977999999999994</c:v>
                </c:pt>
                <c:pt idx="9">
                  <c:v>88.976200000000006</c:v>
                </c:pt>
                <c:pt idx="10">
                  <c:v>80.695800000000006</c:v>
                </c:pt>
                <c:pt idx="11">
                  <c:v>100.203</c:v>
                </c:pt>
                <c:pt idx="12">
                  <c:v>99.796599999999998</c:v>
                </c:pt>
                <c:pt idx="13">
                  <c:v>77.952600000000004</c:v>
                </c:pt>
                <c:pt idx="14">
                  <c:v>101.47300000000001</c:v>
                </c:pt>
                <c:pt idx="15">
                  <c:v>76.301600000000008</c:v>
                </c:pt>
                <c:pt idx="16">
                  <c:v>78.333600000000004</c:v>
                </c:pt>
                <c:pt idx="17">
                  <c:v>113.13160000000001</c:v>
                </c:pt>
                <c:pt idx="18">
                  <c:v>110.8456</c:v>
                </c:pt>
                <c:pt idx="19">
                  <c:v>83.743799999999993</c:v>
                </c:pt>
                <c:pt idx="20">
                  <c:v>114.8588</c:v>
                </c:pt>
                <c:pt idx="21">
                  <c:v>80.492599999999996</c:v>
                </c:pt>
                <c:pt idx="22">
                  <c:v>79.044800000000009</c:v>
                </c:pt>
                <c:pt idx="23">
                  <c:v>96.21520000000001</c:v>
                </c:pt>
                <c:pt idx="24">
                  <c:v>81.457800000000006</c:v>
                </c:pt>
                <c:pt idx="25">
                  <c:v>85.750399999999999</c:v>
                </c:pt>
                <c:pt idx="26">
                  <c:v>96.52</c:v>
                </c:pt>
                <c:pt idx="27">
                  <c:v>127.15240000000001</c:v>
                </c:pt>
                <c:pt idx="28">
                  <c:v>78.816200000000009</c:v>
                </c:pt>
                <c:pt idx="29">
                  <c:v>90.093800000000002</c:v>
                </c:pt>
              </c:numCache>
            </c:numRef>
          </c:val>
          <c:smooth val="0"/>
        </c:ser>
        <c:dLbls>
          <c:showLegendKey val="0"/>
          <c:showVal val="0"/>
          <c:showCatName val="0"/>
          <c:showSerName val="0"/>
          <c:showPercent val="0"/>
          <c:showBubbleSize val="0"/>
        </c:dLbls>
        <c:marker val="1"/>
        <c:smooth val="0"/>
        <c:axId val="208668928"/>
        <c:axId val="208678912"/>
      </c:lineChart>
      <c:catAx>
        <c:axId val="208656640"/>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sz="1600"/>
                  <a:t>Sea-EntryYear</a:t>
                </a:r>
              </a:p>
            </c:rich>
          </c:tx>
          <c:layout>
            <c:manualLayout>
              <c:xMode val="edge"/>
              <c:yMode val="edge"/>
              <c:x val="0.42716722909636295"/>
              <c:y val="0.9266154255568948"/>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667008"/>
        <c:crosses val="autoZero"/>
        <c:auto val="1"/>
        <c:lblAlgn val="ctr"/>
        <c:lblOffset val="100"/>
        <c:tickLblSkip val="1"/>
        <c:tickMarkSkip val="1"/>
        <c:noMultiLvlLbl val="0"/>
      </c:catAx>
      <c:valAx>
        <c:axId val="208667008"/>
        <c:scaling>
          <c:orientation val="minMax"/>
          <c:max val="405"/>
          <c:min val="0"/>
        </c:scaling>
        <c:delete val="0"/>
        <c:axPos val="l"/>
        <c:title>
          <c:tx>
            <c:rich>
              <a:bodyPr/>
              <a:lstStyle/>
              <a:p>
                <a:pPr>
                  <a:defRPr sz="1600" b="0" i="0" u="none" strike="noStrike" baseline="0">
                    <a:solidFill>
                      <a:srgbClr val="000000"/>
                    </a:solidFill>
                    <a:latin typeface="Arial"/>
                    <a:ea typeface="Arial"/>
                    <a:cs typeface="Arial"/>
                  </a:defRPr>
                </a:pPr>
                <a:r>
                  <a:rPr lang="en-US" sz="1600"/>
                  <a:t>Thousands of Smolts</a:t>
                </a:r>
              </a:p>
            </c:rich>
          </c:tx>
          <c:layout>
            <c:manualLayout>
              <c:xMode val="edge"/>
              <c:yMode val="edge"/>
              <c:x val="5.7460004999375074E-3"/>
              <c:y val="0.2375078661886946"/>
            </c:manualLayout>
          </c:layout>
          <c:overlay val="0"/>
          <c:spPr>
            <a:noFill/>
            <a:ln w="25400">
              <a:noFill/>
            </a:ln>
          </c:spPr>
        </c:title>
        <c:numFmt formatCode="#,##0" sourceLinked="1"/>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656640"/>
        <c:crosses val="autoZero"/>
        <c:crossBetween val="between"/>
      </c:valAx>
      <c:catAx>
        <c:axId val="208668928"/>
        <c:scaling>
          <c:orientation val="minMax"/>
        </c:scaling>
        <c:delete val="1"/>
        <c:axPos val="b"/>
        <c:numFmt formatCode="General" sourceLinked="1"/>
        <c:majorTickMark val="out"/>
        <c:minorTickMark val="none"/>
        <c:tickLblPos val="nextTo"/>
        <c:crossAx val="208678912"/>
        <c:crosses val="autoZero"/>
        <c:auto val="1"/>
        <c:lblAlgn val="ctr"/>
        <c:lblOffset val="100"/>
        <c:noMultiLvlLbl val="0"/>
      </c:catAx>
      <c:valAx>
        <c:axId val="208678912"/>
        <c:scaling>
          <c:orientation val="minMax"/>
          <c:max val="165"/>
          <c:min val="20"/>
        </c:scaling>
        <c:delete val="0"/>
        <c:axPos val="r"/>
        <c:title>
          <c:tx>
            <c:rich>
              <a:bodyPr/>
              <a:lstStyle/>
              <a:p>
                <a:pPr>
                  <a:defRPr sz="1600" b="0" i="0" u="none" strike="noStrike" baseline="0">
                    <a:solidFill>
                      <a:srgbClr val="000000"/>
                    </a:solidFill>
                    <a:latin typeface="Arial"/>
                    <a:ea typeface="Arial"/>
                    <a:cs typeface="Arial"/>
                  </a:defRPr>
                </a:pPr>
                <a:r>
                  <a:rPr lang="en-US" sz="1600"/>
                  <a:t>Precipitation (cm)</a:t>
                </a:r>
              </a:p>
            </c:rich>
          </c:tx>
          <c:layout>
            <c:manualLayout>
              <c:xMode val="edge"/>
              <c:yMode val="edge"/>
              <c:x val="0.94595878640169984"/>
              <c:y val="0.27559242967392494"/>
            </c:manualLayout>
          </c:layout>
          <c:overlay val="0"/>
        </c:title>
        <c:numFmt formatCode="0" sourceLinked="0"/>
        <c:majorTickMark val="out"/>
        <c:minorTickMark val="none"/>
        <c:tickLblPos val="nextTo"/>
        <c:txPr>
          <a:bodyPr rot="0" vert="horz"/>
          <a:lstStyle/>
          <a:p>
            <a:pPr>
              <a:defRPr sz="1100" b="0" i="0" u="none" strike="noStrike" baseline="0">
                <a:solidFill>
                  <a:srgbClr val="000000"/>
                </a:solidFill>
                <a:latin typeface="Arial"/>
                <a:ea typeface="Arial"/>
                <a:cs typeface="Arial"/>
              </a:defRPr>
            </a:pPr>
            <a:endParaRPr lang="en-US"/>
          </a:p>
        </c:txPr>
        <c:crossAx val="208668928"/>
        <c:crosses val="max"/>
        <c:crossBetween val="between"/>
        <c:majorUnit val="20"/>
      </c:valAx>
      <c:spPr>
        <a:solidFill>
          <a:srgbClr val="FFFFFF"/>
        </a:solidFill>
        <a:ln w="25400">
          <a:noFill/>
        </a:ln>
      </c:spPr>
    </c:plotArea>
    <c:legend>
      <c:legendPos val="r"/>
      <c:legendEntry>
        <c:idx val="0"/>
        <c:delete val="1"/>
      </c:legendEntry>
      <c:legendEntry>
        <c:idx val="1"/>
        <c:delete val="1"/>
      </c:legendEntry>
      <c:layout>
        <c:manualLayout>
          <c:xMode val="edge"/>
          <c:yMode val="edge"/>
          <c:x val="0.13234457633094374"/>
          <c:y val="0.64381740063001747"/>
          <c:w val="0.46357817213146862"/>
          <c:h val="0.13803945151247499"/>
        </c:manualLayout>
      </c:layout>
      <c:overlay val="1"/>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00"/>
            </a:pPr>
            <a:r>
              <a:rPr lang="en-US" sz="2200"/>
              <a:t>Berners</a:t>
            </a:r>
            <a:r>
              <a:rPr lang="en-US" sz="2200" baseline="0"/>
              <a:t> River</a:t>
            </a:r>
            <a:endParaRPr lang="en-US" sz="2200"/>
          </a:p>
        </c:rich>
      </c:tx>
      <c:layout>
        <c:manualLayout>
          <c:xMode val="edge"/>
          <c:yMode val="edge"/>
          <c:x val="0.34977174728158983"/>
          <c:y val="3.9761431411530816E-2"/>
        </c:manualLayout>
      </c:layout>
      <c:overlay val="1"/>
    </c:title>
    <c:autoTitleDeleted val="0"/>
    <c:plotArea>
      <c:layout>
        <c:manualLayout>
          <c:layoutTarget val="inner"/>
          <c:xMode val="edge"/>
          <c:yMode val="edge"/>
          <c:x val="0.11522981502312211"/>
          <c:y val="4.4665967449893804E-2"/>
          <c:w val="0.77377046619172607"/>
          <c:h val="0.7868975125624208"/>
        </c:manualLayout>
      </c:layout>
      <c:lineChart>
        <c:grouping val="standard"/>
        <c:varyColors val="0"/>
        <c:ser>
          <c:idx val="0"/>
          <c:order val="0"/>
          <c:tx>
            <c:v>Series1</c:v>
          </c:tx>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smolts'!$K$17:$K$45</c:f>
              <c:numCache>
                <c:formatCode>#,##0</c:formatCode>
                <c:ptCount val="29"/>
                <c:pt idx="0">
                  <c:v>130.80497667317852</c:v>
                </c:pt>
                <c:pt idx="1">
                  <c:v>126.56469367046927</c:v>
                </c:pt>
                <c:pt idx="2">
                  <c:v>163.43328983338344</c:v>
                </c:pt>
                <c:pt idx="3">
                  <c:v>290.32939665487908</c:v>
                </c:pt>
                <c:pt idx="4">
                  <c:v>230.3036165711234</c:v>
                </c:pt>
                <c:pt idx="5">
                  <c:v>161.10086219745085</c:v>
                </c:pt>
                <c:pt idx="6">
                  <c:v>170.93861515680797</c:v>
                </c:pt>
                <c:pt idx="7">
                  <c:v>120.63936665529452</c:v>
                </c:pt>
                <c:pt idx="8">
                  <c:v>119.49258726186592</c:v>
                </c:pt>
                <c:pt idx="9">
                  <c:v>222.18477626244194</c:v>
                </c:pt>
                <c:pt idx="10">
                  <c:v>161.8717185688474</c:v>
                </c:pt>
                <c:pt idx="11">
                  <c:v>242.03395534562253</c:v>
                </c:pt>
                <c:pt idx="12">
                  <c:v>228.96989745978459</c:v>
                </c:pt>
                <c:pt idx="13">
                  <c:v>132.35533338181901</c:v>
                </c:pt>
                <c:pt idx="14">
                  <c:v>166.61162818095559</c:v>
                </c:pt>
                <c:pt idx="15">
                  <c:v>128.12423359620283</c:v>
                </c:pt>
                <c:pt idx="16">
                  <c:v>109.58551476236188</c:v>
                </c:pt>
                <c:pt idx="17">
                  <c:v>101.65684118196423</c:v>
                </c:pt>
                <c:pt idx="18">
                  <c:v>79.446569010132222</c:v>
                </c:pt>
                <c:pt idx="19">
                  <c:v>83.600236376301837</c:v>
                </c:pt>
                <c:pt idx="20">
                  <c:v>137.76933974461318</c:v>
                </c:pt>
                <c:pt idx="21">
                  <c:v>108.00907651889088</c:v>
                </c:pt>
                <c:pt idx="22">
                  <c:v>100.30617077919017</c:v>
                </c:pt>
                <c:pt idx="23">
                  <c:v>126.58510175900525</c:v>
                </c:pt>
                <c:pt idx="24">
                  <c:v>204.98635408374238</c:v>
                </c:pt>
                <c:pt idx="25">
                  <c:v>151.45835253137707</c:v>
                </c:pt>
                <c:pt idx="26">
                  <c:v>157.78701933473516</c:v>
                </c:pt>
                <c:pt idx="27">
                  <c:v>276.5014883772634</c:v>
                </c:pt>
                <c:pt idx="28">
                  <c:v>110.38734753154496</c:v>
                </c:pt>
              </c:numCache>
            </c:numRef>
          </c:val>
          <c:smooth val="0"/>
        </c:ser>
        <c:ser>
          <c:idx val="1"/>
          <c:order val="1"/>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smolts'!$L$17:$L$45</c:f>
              <c:numCache>
                <c:formatCode>#,##0</c:formatCode>
                <c:ptCount val="29"/>
                <c:pt idx="0">
                  <c:v>219.76733605957446</c:v>
                </c:pt>
                <c:pt idx="1">
                  <c:v>159.89595136670476</c:v>
                </c:pt>
                <c:pt idx="2">
                  <c:v>220.39751959504454</c:v>
                </c:pt>
                <c:pt idx="3">
                  <c:v>372.47685519799205</c:v>
                </c:pt>
                <c:pt idx="4">
                  <c:v>286.93548094890104</c:v>
                </c:pt>
                <c:pt idx="5">
                  <c:v>207.82298377241793</c:v>
                </c:pt>
                <c:pt idx="6">
                  <c:v>224.30483929384854</c:v>
                </c:pt>
                <c:pt idx="7">
                  <c:v>149.75245395253845</c:v>
                </c:pt>
                <c:pt idx="8">
                  <c:v>168.8839613620535</c:v>
                </c:pt>
                <c:pt idx="9">
                  <c:v>291.50532098804331</c:v>
                </c:pt>
                <c:pt idx="10">
                  <c:v>210.53137737252868</c:v>
                </c:pt>
                <c:pt idx="11">
                  <c:v>302.16415161402801</c:v>
                </c:pt>
                <c:pt idx="12">
                  <c:v>313.35898935302134</c:v>
                </c:pt>
                <c:pt idx="13">
                  <c:v>169.16436493170579</c:v>
                </c:pt>
                <c:pt idx="14">
                  <c:v>208.26793118385999</c:v>
                </c:pt>
                <c:pt idx="15">
                  <c:v>166.4092479934057</c:v>
                </c:pt>
                <c:pt idx="16">
                  <c:v>142.96724922431346</c:v>
                </c:pt>
                <c:pt idx="17">
                  <c:v>131.44704377615912</c:v>
                </c:pt>
                <c:pt idx="18">
                  <c:v>101.60388815214985</c:v>
                </c:pt>
                <c:pt idx="19">
                  <c:v>131.8359653472456</c:v>
                </c:pt>
                <c:pt idx="20">
                  <c:v>192.57781583384912</c:v>
                </c:pt>
                <c:pt idx="21">
                  <c:v>165.54701467628144</c:v>
                </c:pt>
                <c:pt idx="22">
                  <c:v>127.56535344982092</c:v>
                </c:pt>
                <c:pt idx="23">
                  <c:v>187.13152022381962</c:v>
                </c:pt>
                <c:pt idx="24">
                  <c:v>267.26349377107022</c:v>
                </c:pt>
                <c:pt idx="25">
                  <c:v>200.57022208869338</c:v>
                </c:pt>
                <c:pt idx="26">
                  <c:v>214.25291296053678</c:v>
                </c:pt>
                <c:pt idx="27">
                  <c:v>402.63191139224068</c:v>
                </c:pt>
                <c:pt idx="28">
                  <c:v>154.68643401407618</c:v>
                </c:pt>
              </c:numCache>
            </c:numRef>
          </c:val>
          <c:smooth val="0"/>
        </c:ser>
        <c:ser>
          <c:idx val="2"/>
          <c:order val="2"/>
          <c:tx>
            <c:v>Number of Smolts</c:v>
          </c:tx>
          <c:spPr>
            <a:ln w="19050">
              <a:solidFill>
                <a:srgbClr val="FF0000"/>
              </a:solidFill>
              <a:prstDash val="solid"/>
            </a:ln>
          </c:spPr>
          <c:marker>
            <c:symbol val="circle"/>
            <c:size val="6"/>
            <c:spPr>
              <a:solidFill>
                <a:srgbClr val="FF0000"/>
              </a:solidFill>
              <a:ln>
                <a:solidFill>
                  <a:srgbClr val="000000"/>
                </a:solidFill>
                <a:prstDash val="solid"/>
              </a:ln>
            </c:spPr>
          </c:marker>
          <c:dPt>
            <c:idx val="21"/>
            <c:bubble3D val="0"/>
          </c:dPt>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smolts'!$J$17:$J$46</c:f>
              <c:numCache>
                <c:formatCode>#,##0</c:formatCode>
                <c:ptCount val="30"/>
                <c:pt idx="0">
                  <c:v>163.99799999999999</c:v>
                </c:pt>
                <c:pt idx="1">
                  <c:v>141.291</c:v>
                </c:pt>
                <c:pt idx="2">
                  <c:v>187.68799999999999</c:v>
                </c:pt>
                <c:pt idx="3">
                  <c:v>326.31200000000001</c:v>
                </c:pt>
                <c:pt idx="4">
                  <c:v>255.51900000000001</c:v>
                </c:pt>
                <c:pt idx="5">
                  <c:v>181.50299999999999</c:v>
                </c:pt>
                <c:pt idx="6">
                  <c:v>194.01900000000001</c:v>
                </c:pt>
                <c:pt idx="7">
                  <c:v>133.62899999999999</c:v>
                </c:pt>
                <c:pt idx="8">
                  <c:v>139.959</c:v>
                </c:pt>
                <c:pt idx="9">
                  <c:v>252.16800000000001</c:v>
                </c:pt>
                <c:pt idx="10">
                  <c:v>183.023</c:v>
                </c:pt>
                <c:pt idx="11">
                  <c:v>268.77699999999999</c:v>
                </c:pt>
                <c:pt idx="12">
                  <c:v>264.59899999999999</c:v>
                </c:pt>
                <c:pt idx="13">
                  <c:v>148.51300000000001</c:v>
                </c:pt>
                <c:pt idx="14">
                  <c:v>185.125</c:v>
                </c:pt>
                <c:pt idx="15">
                  <c:v>144.77799999999999</c:v>
                </c:pt>
                <c:pt idx="16">
                  <c:v>124.07</c:v>
                </c:pt>
                <c:pt idx="17">
                  <c:v>114.648</c:v>
                </c:pt>
                <c:pt idx="18">
                  <c:v>89.168999999999997</c:v>
                </c:pt>
                <c:pt idx="19">
                  <c:v>102.318</c:v>
                </c:pt>
                <c:pt idx="20">
                  <c:v>160.62700000000001</c:v>
                </c:pt>
                <c:pt idx="21">
                  <c:v>130.727</c:v>
                </c:pt>
                <c:pt idx="22">
                  <c:v>112.30500000000001</c:v>
                </c:pt>
                <c:pt idx="23">
                  <c:v>151.01599999999999</c:v>
                </c:pt>
                <c:pt idx="24">
                  <c:v>232.01900000000001</c:v>
                </c:pt>
                <c:pt idx="25">
                  <c:v>172.58799999999999</c:v>
                </c:pt>
                <c:pt idx="26">
                  <c:v>181.73500000000001</c:v>
                </c:pt>
                <c:pt idx="27">
                  <c:v>327.85406462389125</c:v>
                </c:pt>
                <c:pt idx="28">
                  <c:v>129.309</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8725120"/>
        <c:axId val="208727040"/>
      </c:lineChart>
      <c:lineChart>
        <c:grouping val="standard"/>
        <c:varyColors val="0"/>
        <c:ser>
          <c:idx val="3"/>
          <c:order val="3"/>
          <c:tx>
            <c:v>July-November Precipitation</c:v>
          </c:tx>
          <c:spPr>
            <a:ln w="28575">
              <a:solidFill>
                <a:srgbClr val="00B0F0"/>
              </a:solidFill>
              <a:prstDash val="sysDash"/>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smolts'!$M$17:$M$46</c:f>
              <c:numCache>
                <c:formatCode>0.00</c:formatCode>
                <c:ptCount val="30"/>
                <c:pt idx="0">
                  <c:v>87.70620000000001</c:v>
                </c:pt>
                <c:pt idx="1">
                  <c:v>67.360799999999998</c:v>
                </c:pt>
                <c:pt idx="2">
                  <c:v>81.559399999999997</c:v>
                </c:pt>
                <c:pt idx="3">
                  <c:v>121.539</c:v>
                </c:pt>
                <c:pt idx="4">
                  <c:v>90.068399999999983</c:v>
                </c:pt>
                <c:pt idx="5">
                  <c:v>86.233000000000004</c:v>
                </c:pt>
                <c:pt idx="6">
                  <c:v>93.700600000000009</c:v>
                </c:pt>
                <c:pt idx="7">
                  <c:v>65.455799999999996</c:v>
                </c:pt>
                <c:pt idx="8">
                  <c:v>77.977999999999994</c:v>
                </c:pt>
                <c:pt idx="9">
                  <c:v>88.976200000000006</c:v>
                </c:pt>
                <c:pt idx="10">
                  <c:v>80.695800000000006</c:v>
                </c:pt>
                <c:pt idx="11">
                  <c:v>100.203</c:v>
                </c:pt>
                <c:pt idx="12">
                  <c:v>99.796599999999998</c:v>
                </c:pt>
                <c:pt idx="13">
                  <c:v>77.952600000000004</c:v>
                </c:pt>
                <c:pt idx="14">
                  <c:v>101.47300000000001</c:v>
                </c:pt>
                <c:pt idx="15">
                  <c:v>76.301600000000008</c:v>
                </c:pt>
                <c:pt idx="16">
                  <c:v>78.333600000000004</c:v>
                </c:pt>
                <c:pt idx="17">
                  <c:v>113.13160000000001</c:v>
                </c:pt>
                <c:pt idx="18">
                  <c:v>110.8456</c:v>
                </c:pt>
                <c:pt idx="19">
                  <c:v>83.743799999999993</c:v>
                </c:pt>
                <c:pt idx="20">
                  <c:v>114.8588</c:v>
                </c:pt>
                <c:pt idx="21">
                  <c:v>80.492599999999996</c:v>
                </c:pt>
                <c:pt idx="22">
                  <c:v>79.044800000000009</c:v>
                </c:pt>
                <c:pt idx="23">
                  <c:v>96.21520000000001</c:v>
                </c:pt>
                <c:pt idx="24">
                  <c:v>81.457800000000006</c:v>
                </c:pt>
                <c:pt idx="25">
                  <c:v>85.750399999999999</c:v>
                </c:pt>
                <c:pt idx="26">
                  <c:v>96.52</c:v>
                </c:pt>
                <c:pt idx="27">
                  <c:v>127.15240000000001</c:v>
                </c:pt>
                <c:pt idx="28">
                  <c:v>78.816200000000009</c:v>
                </c:pt>
                <c:pt idx="29">
                  <c:v>90.093800000000002</c:v>
                </c:pt>
              </c:numCache>
            </c:numRef>
          </c:val>
          <c:smooth val="0"/>
        </c:ser>
        <c:dLbls>
          <c:showLegendKey val="0"/>
          <c:showVal val="0"/>
          <c:showCatName val="0"/>
          <c:showSerName val="0"/>
          <c:showPercent val="0"/>
          <c:showBubbleSize val="0"/>
        </c:dLbls>
        <c:marker val="1"/>
        <c:smooth val="0"/>
        <c:axId val="208733312"/>
        <c:axId val="208734848"/>
      </c:lineChart>
      <c:catAx>
        <c:axId val="208725120"/>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sz="1600"/>
                  <a:t>Smolt</a:t>
                </a:r>
                <a:r>
                  <a:rPr lang="en-US" sz="1600" baseline="0"/>
                  <a:t> </a:t>
                </a:r>
                <a:r>
                  <a:rPr lang="en-US" sz="1600"/>
                  <a:t>Year</a:t>
                </a:r>
              </a:p>
            </c:rich>
          </c:tx>
          <c:layout>
            <c:manualLayout>
              <c:xMode val="edge"/>
              <c:yMode val="edge"/>
              <c:x val="0.43311961004874389"/>
              <c:y val="0.9266154255568948"/>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727040"/>
        <c:crosses val="autoZero"/>
        <c:auto val="1"/>
        <c:lblAlgn val="ctr"/>
        <c:lblOffset val="100"/>
        <c:tickLblSkip val="1"/>
        <c:tickMarkSkip val="1"/>
        <c:noMultiLvlLbl val="0"/>
      </c:catAx>
      <c:valAx>
        <c:axId val="208727040"/>
        <c:scaling>
          <c:orientation val="minMax"/>
          <c:max val="405"/>
          <c:min val="0"/>
        </c:scaling>
        <c:delete val="0"/>
        <c:axPos val="l"/>
        <c:title>
          <c:tx>
            <c:rich>
              <a:bodyPr/>
              <a:lstStyle/>
              <a:p>
                <a:pPr>
                  <a:defRPr sz="1600" b="0" i="0" u="none" strike="noStrike" baseline="0">
                    <a:solidFill>
                      <a:srgbClr val="000000"/>
                    </a:solidFill>
                    <a:latin typeface="Arial"/>
                    <a:ea typeface="Arial"/>
                    <a:cs typeface="Arial"/>
                  </a:defRPr>
                </a:pPr>
                <a:r>
                  <a:rPr lang="en-US" sz="1600"/>
                  <a:t>Thousands of Smolts</a:t>
                </a:r>
              </a:p>
            </c:rich>
          </c:tx>
          <c:layout>
            <c:manualLayout>
              <c:xMode val="edge"/>
              <c:yMode val="edge"/>
              <c:x val="5.7460004999375074E-3"/>
              <c:y val="0.2375078661886946"/>
            </c:manualLayout>
          </c:layout>
          <c:overlay val="0"/>
          <c:spPr>
            <a:noFill/>
            <a:ln w="25400">
              <a:noFill/>
            </a:ln>
          </c:spPr>
        </c:title>
        <c:numFmt formatCode="#,##0" sourceLinked="1"/>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725120"/>
        <c:crosses val="autoZero"/>
        <c:crossBetween val="between"/>
      </c:valAx>
      <c:catAx>
        <c:axId val="208733312"/>
        <c:scaling>
          <c:orientation val="minMax"/>
        </c:scaling>
        <c:delete val="1"/>
        <c:axPos val="b"/>
        <c:numFmt formatCode="General" sourceLinked="1"/>
        <c:majorTickMark val="out"/>
        <c:minorTickMark val="none"/>
        <c:tickLblPos val="nextTo"/>
        <c:crossAx val="208734848"/>
        <c:crosses val="autoZero"/>
        <c:auto val="1"/>
        <c:lblAlgn val="ctr"/>
        <c:lblOffset val="100"/>
        <c:noMultiLvlLbl val="0"/>
      </c:catAx>
      <c:valAx>
        <c:axId val="208734848"/>
        <c:scaling>
          <c:orientation val="minMax"/>
          <c:max val="155"/>
          <c:min val="30"/>
        </c:scaling>
        <c:delete val="0"/>
        <c:axPos val="r"/>
        <c:title>
          <c:tx>
            <c:rich>
              <a:bodyPr/>
              <a:lstStyle/>
              <a:p>
                <a:pPr>
                  <a:defRPr sz="1600" b="0" i="0" u="none" strike="noStrike" baseline="0">
                    <a:solidFill>
                      <a:srgbClr val="000000"/>
                    </a:solidFill>
                    <a:latin typeface="Arial"/>
                    <a:ea typeface="Arial"/>
                    <a:cs typeface="Arial"/>
                  </a:defRPr>
                </a:pPr>
                <a:r>
                  <a:rPr lang="en-US" sz="1600"/>
                  <a:t>Juneau Airport Precipitation (cm)</a:t>
                </a:r>
              </a:p>
            </c:rich>
          </c:tx>
          <c:layout>
            <c:manualLayout>
              <c:xMode val="edge"/>
              <c:yMode val="edge"/>
              <c:x val="0.94794291338582681"/>
              <c:y val="0.14040356287472019"/>
            </c:manualLayout>
          </c:layout>
          <c:overlay val="0"/>
        </c:title>
        <c:numFmt formatCode="0" sourceLinked="0"/>
        <c:majorTickMark val="out"/>
        <c:minorTickMark val="none"/>
        <c:tickLblPos val="nextTo"/>
        <c:txPr>
          <a:bodyPr rot="0" vert="horz"/>
          <a:lstStyle/>
          <a:p>
            <a:pPr>
              <a:defRPr sz="1100" b="0" i="0" u="none" strike="noStrike" baseline="0">
                <a:solidFill>
                  <a:srgbClr val="000000"/>
                </a:solidFill>
                <a:latin typeface="Arial"/>
                <a:ea typeface="Arial"/>
                <a:cs typeface="Arial"/>
              </a:defRPr>
            </a:pPr>
            <a:endParaRPr lang="en-US"/>
          </a:p>
        </c:txPr>
        <c:crossAx val="208733312"/>
        <c:crosses val="max"/>
        <c:crossBetween val="between"/>
        <c:majorUnit val="10"/>
      </c:valAx>
      <c:spPr>
        <a:solidFill>
          <a:srgbClr val="FFFFFF"/>
        </a:solidFill>
        <a:ln w="25400">
          <a:noFill/>
        </a:ln>
      </c:spPr>
    </c:plotArea>
    <c:legend>
      <c:legendPos val="r"/>
      <c:legendEntry>
        <c:idx val="0"/>
        <c:delete val="1"/>
      </c:legendEntry>
      <c:legendEntry>
        <c:idx val="1"/>
        <c:delete val="1"/>
      </c:legendEntry>
      <c:layout>
        <c:manualLayout>
          <c:xMode val="edge"/>
          <c:yMode val="edge"/>
          <c:x val="9.8614391951006131E-2"/>
          <c:y val="0.69418178592487079"/>
          <c:w val="0.46357817213146862"/>
          <c:h val="0.1194840406380614"/>
        </c:manualLayout>
      </c:layout>
      <c:overlay val="1"/>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00"/>
            </a:pPr>
            <a:r>
              <a:rPr lang="en-US" sz="2200"/>
              <a:t>Berners</a:t>
            </a:r>
            <a:r>
              <a:rPr lang="en-US" sz="2200" baseline="0"/>
              <a:t> River</a:t>
            </a:r>
            <a:endParaRPr lang="en-US" sz="2200"/>
          </a:p>
        </c:rich>
      </c:tx>
      <c:layout>
        <c:manualLayout>
          <c:xMode val="edge"/>
          <c:yMode val="edge"/>
          <c:x val="0.3477876202974628"/>
          <c:y val="3.9761431411530816E-2"/>
        </c:manualLayout>
      </c:layout>
      <c:overlay val="1"/>
    </c:title>
    <c:autoTitleDeleted val="0"/>
    <c:plotArea>
      <c:layout>
        <c:manualLayout>
          <c:layoutTarget val="inner"/>
          <c:xMode val="edge"/>
          <c:yMode val="edge"/>
          <c:x val="0.11522981502312211"/>
          <c:y val="4.9967491638097918E-2"/>
          <c:w val="0.77377046619172607"/>
          <c:h val="0.7868975125624208"/>
        </c:manualLayout>
      </c:layout>
      <c:lineChart>
        <c:grouping val="standard"/>
        <c:varyColors val="0"/>
        <c:ser>
          <c:idx val="0"/>
          <c:order val="0"/>
          <c:tx>
            <c:v>Series1</c:v>
          </c:tx>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smolts'!$K$17:$K$45</c:f>
              <c:numCache>
                <c:formatCode>#,##0</c:formatCode>
                <c:ptCount val="29"/>
                <c:pt idx="0">
                  <c:v>130.80497667317852</c:v>
                </c:pt>
                <c:pt idx="1">
                  <c:v>126.56469367046927</c:v>
                </c:pt>
                <c:pt idx="2">
                  <c:v>163.43328983338344</c:v>
                </c:pt>
                <c:pt idx="3">
                  <c:v>290.32939665487908</c:v>
                </c:pt>
                <c:pt idx="4">
                  <c:v>230.3036165711234</c:v>
                </c:pt>
                <c:pt idx="5">
                  <c:v>161.10086219745085</c:v>
                </c:pt>
                <c:pt idx="6">
                  <c:v>170.93861515680797</c:v>
                </c:pt>
                <c:pt idx="7">
                  <c:v>120.63936665529452</c:v>
                </c:pt>
                <c:pt idx="8">
                  <c:v>119.49258726186592</c:v>
                </c:pt>
                <c:pt idx="9">
                  <c:v>222.18477626244194</c:v>
                </c:pt>
                <c:pt idx="10">
                  <c:v>161.8717185688474</c:v>
                </c:pt>
                <c:pt idx="11">
                  <c:v>242.03395534562253</c:v>
                </c:pt>
                <c:pt idx="12">
                  <c:v>228.96989745978459</c:v>
                </c:pt>
                <c:pt idx="13">
                  <c:v>132.35533338181901</c:v>
                </c:pt>
                <c:pt idx="14">
                  <c:v>166.61162818095559</c:v>
                </c:pt>
                <c:pt idx="15">
                  <c:v>128.12423359620283</c:v>
                </c:pt>
                <c:pt idx="16">
                  <c:v>109.58551476236188</c:v>
                </c:pt>
                <c:pt idx="17">
                  <c:v>101.65684118196423</c:v>
                </c:pt>
                <c:pt idx="18">
                  <c:v>79.446569010132222</c:v>
                </c:pt>
                <c:pt idx="19">
                  <c:v>83.600236376301837</c:v>
                </c:pt>
                <c:pt idx="20">
                  <c:v>137.76933974461318</c:v>
                </c:pt>
                <c:pt idx="21">
                  <c:v>108.00907651889088</c:v>
                </c:pt>
                <c:pt idx="22">
                  <c:v>100.30617077919017</c:v>
                </c:pt>
                <c:pt idx="23">
                  <c:v>126.58510175900525</c:v>
                </c:pt>
                <c:pt idx="24">
                  <c:v>204.98635408374238</c:v>
                </c:pt>
                <c:pt idx="25">
                  <c:v>151.45835253137707</c:v>
                </c:pt>
                <c:pt idx="26">
                  <c:v>157.78701933473516</c:v>
                </c:pt>
                <c:pt idx="27">
                  <c:v>276.5014883772634</c:v>
                </c:pt>
                <c:pt idx="28">
                  <c:v>110.38734753154496</c:v>
                </c:pt>
              </c:numCache>
            </c:numRef>
          </c:val>
          <c:smooth val="0"/>
        </c:ser>
        <c:ser>
          <c:idx val="1"/>
          <c:order val="1"/>
          <c:spPr>
            <a:ln w="28575">
              <a:noFill/>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smolts'!$L$17:$L$45</c:f>
              <c:numCache>
                <c:formatCode>#,##0</c:formatCode>
                <c:ptCount val="29"/>
                <c:pt idx="0">
                  <c:v>219.76733605957446</c:v>
                </c:pt>
                <c:pt idx="1">
                  <c:v>159.89595136670476</c:v>
                </c:pt>
                <c:pt idx="2">
                  <c:v>220.39751959504454</c:v>
                </c:pt>
                <c:pt idx="3">
                  <c:v>372.47685519799205</c:v>
                </c:pt>
                <c:pt idx="4">
                  <c:v>286.93548094890104</c:v>
                </c:pt>
                <c:pt idx="5">
                  <c:v>207.82298377241793</c:v>
                </c:pt>
                <c:pt idx="6">
                  <c:v>224.30483929384854</c:v>
                </c:pt>
                <c:pt idx="7">
                  <c:v>149.75245395253845</c:v>
                </c:pt>
                <c:pt idx="8">
                  <c:v>168.8839613620535</c:v>
                </c:pt>
                <c:pt idx="9">
                  <c:v>291.50532098804331</c:v>
                </c:pt>
                <c:pt idx="10">
                  <c:v>210.53137737252868</c:v>
                </c:pt>
                <c:pt idx="11">
                  <c:v>302.16415161402801</c:v>
                </c:pt>
                <c:pt idx="12">
                  <c:v>313.35898935302134</c:v>
                </c:pt>
                <c:pt idx="13">
                  <c:v>169.16436493170579</c:v>
                </c:pt>
                <c:pt idx="14">
                  <c:v>208.26793118385999</c:v>
                </c:pt>
                <c:pt idx="15">
                  <c:v>166.4092479934057</c:v>
                </c:pt>
                <c:pt idx="16">
                  <c:v>142.96724922431346</c:v>
                </c:pt>
                <c:pt idx="17">
                  <c:v>131.44704377615912</c:v>
                </c:pt>
                <c:pt idx="18">
                  <c:v>101.60388815214985</c:v>
                </c:pt>
                <c:pt idx="19">
                  <c:v>131.8359653472456</c:v>
                </c:pt>
                <c:pt idx="20">
                  <c:v>192.57781583384912</c:v>
                </c:pt>
                <c:pt idx="21">
                  <c:v>165.54701467628144</c:v>
                </c:pt>
                <c:pt idx="22">
                  <c:v>127.56535344982092</c:v>
                </c:pt>
                <c:pt idx="23">
                  <c:v>187.13152022381962</c:v>
                </c:pt>
                <c:pt idx="24">
                  <c:v>267.26349377107022</c:v>
                </c:pt>
                <c:pt idx="25">
                  <c:v>200.57022208869338</c:v>
                </c:pt>
                <c:pt idx="26">
                  <c:v>214.25291296053678</c:v>
                </c:pt>
                <c:pt idx="27">
                  <c:v>402.63191139224068</c:v>
                </c:pt>
                <c:pt idx="28">
                  <c:v>154.68643401407618</c:v>
                </c:pt>
              </c:numCache>
            </c:numRef>
          </c:val>
          <c:smooth val="0"/>
        </c:ser>
        <c:ser>
          <c:idx val="2"/>
          <c:order val="2"/>
          <c:tx>
            <c:v>Number of Smolts</c:v>
          </c:tx>
          <c:spPr>
            <a:ln w="19050">
              <a:solidFill>
                <a:srgbClr val="FF0000"/>
              </a:solidFill>
              <a:prstDash val="solid"/>
            </a:ln>
          </c:spPr>
          <c:marker>
            <c:symbol val="circle"/>
            <c:size val="6"/>
            <c:spPr>
              <a:solidFill>
                <a:srgbClr val="FF0000"/>
              </a:solidFill>
              <a:ln>
                <a:solidFill>
                  <a:srgbClr val="000000"/>
                </a:solidFill>
                <a:prstDash val="solid"/>
              </a:ln>
            </c:spPr>
          </c:marker>
          <c:dPt>
            <c:idx val="21"/>
            <c:bubble3D val="0"/>
          </c:dPt>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'Master smolts'!$J$17:$J$46</c:f>
              <c:numCache>
                <c:formatCode>#,##0</c:formatCode>
                <c:ptCount val="30"/>
                <c:pt idx="0">
                  <c:v>163.99799999999999</c:v>
                </c:pt>
                <c:pt idx="1">
                  <c:v>141.291</c:v>
                </c:pt>
                <c:pt idx="2">
                  <c:v>187.68799999999999</c:v>
                </c:pt>
                <c:pt idx="3">
                  <c:v>326.31200000000001</c:v>
                </c:pt>
                <c:pt idx="4">
                  <c:v>255.51900000000001</c:v>
                </c:pt>
                <c:pt idx="5">
                  <c:v>181.50299999999999</c:v>
                </c:pt>
                <c:pt idx="6">
                  <c:v>194.01900000000001</c:v>
                </c:pt>
                <c:pt idx="7">
                  <c:v>133.62899999999999</c:v>
                </c:pt>
                <c:pt idx="8">
                  <c:v>139.959</c:v>
                </c:pt>
                <c:pt idx="9">
                  <c:v>252.16800000000001</c:v>
                </c:pt>
                <c:pt idx="10">
                  <c:v>183.023</c:v>
                </c:pt>
                <c:pt idx="11">
                  <c:v>268.77699999999999</c:v>
                </c:pt>
                <c:pt idx="12">
                  <c:v>264.59899999999999</c:v>
                </c:pt>
                <c:pt idx="13">
                  <c:v>148.51300000000001</c:v>
                </c:pt>
                <c:pt idx="14">
                  <c:v>185.125</c:v>
                </c:pt>
                <c:pt idx="15">
                  <c:v>144.77799999999999</c:v>
                </c:pt>
                <c:pt idx="16">
                  <c:v>124.07</c:v>
                </c:pt>
                <c:pt idx="17">
                  <c:v>114.648</c:v>
                </c:pt>
                <c:pt idx="18">
                  <c:v>89.168999999999997</c:v>
                </c:pt>
                <c:pt idx="19">
                  <c:v>102.318</c:v>
                </c:pt>
                <c:pt idx="20">
                  <c:v>160.62700000000001</c:v>
                </c:pt>
                <c:pt idx="21">
                  <c:v>130.727</c:v>
                </c:pt>
                <c:pt idx="22">
                  <c:v>112.30500000000001</c:v>
                </c:pt>
                <c:pt idx="23">
                  <c:v>151.01599999999999</c:v>
                </c:pt>
                <c:pt idx="24">
                  <c:v>232.01900000000001</c:v>
                </c:pt>
                <c:pt idx="25">
                  <c:v>172.58799999999999</c:v>
                </c:pt>
                <c:pt idx="26">
                  <c:v>181.73500000000001</c:v>
                </c:pt>
                <c:pt idx="27">
                  <c:v>327.85406462389125</c:v>
                </c:pt>
                <c:pt idx="28">
                  <c:v>129.309</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8787712"/>
        <c:axId val="208789888"/>
      </c:lineChart>
      <c:catAx>
        <c:axId val="208787712"/>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sz="1600"/>
                  <a:t>Smolt</a:t>
                </a:r>
                <a:r>
                  <a:rPr lang="en-US" sz="1600" baseline="0"/>
                  <a:t> </a:t>
                </a:r>
                <a:r>
                  <a:rPr lang="en-US" sz="1600"/>
                  <a:t>Year</a:t>
                </a:r>
              </a:p>
            </c:rich>
          </c:tx>
          <c:layout>
            <c:manualLayout>
              <c:xMode val="edge"/>
              <c:yMode val="edge"/>
              <c:x val="0.43311961004874389"/>
              <c:y val="0.9266154255568948"/>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789888"/>
        <c:crosses val="autoZero"/>
        <c:auto val="1"/>
        <c:lblAlgn val="ctr"/>
        <c:lblOffset val="100"/>
        <c:tickLblSkip val="1"/>
        <c:tickMarkSkip val="1"/>
        <c:noMultiLvlLbl val="0"/>
      </c:catAx>
      <c:valAx>
        <c:axId val="208789888"/>
        <c:scaling>
          <c:orientation val="minMax"/>
          <c:max val="405"/>
          <c:min val="0"/>
        </c:scaling>
        <c:delete val="0"/>
        <c:axPos val="l"/>
        <c:title>
          <c:tx>
            <c:rich>
              <a:bodyPr/>
              <a:lstStyle/>
              <a:p>
                <a:pPr>
                  <a:defRPr sz="1600" b="0" i="0" u="none" strike="noStrike" baseline="0">
                    <a:solidFill>
                      <a:srgbClr val="000000"/>
                    </a:solidFill>
                    <a:latin typeface="Arial"/>
                    <a:ea typeface="Arial"/>
                    <a:cs typeface="Arial"/>
                  </a:defRPr>
                </a:pPr>
                <a:r>
                  <a:rPr lang="en-US" sz="1600"/>
                  <a:t>Thousands of Smolts</a:t>
                </a:r>
              </a:p>
            </c:rich>
          </c:tx>
          <c:layout>
            <c:manualLayout>
              <c:xMode val="edge"/>
              <c:yMode val="edge"/>
              <c:x val="5.7460004999375074E-3"/>
              <c:y val="0.2375078661886946"/>
            </c:manualLayout>
          </c:layout>
          <c:overlay val="0"/>
          <c:spPr>
            <a:noFill/>
            <a:ln w="25400">
              <a:noFill/>
            </a:ln>
          </c:spPr>
        </c:title>
        <c:numFmt formatCode="#,##0" sourceLinked="1"/>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787712"/>
        <c:crosses val="autoZero"/>
        <c:crossBetween val="between"/>
      </c:valAx>
      <c:spPr>
        <a:solidFill>
          <a:srgbClr val="FFFFFF"/>
        </a:solidFill>
        <a:ln w="25400">
          <a:noFill/>
        </a:ln>
      </c:spPr>
    </c:plotArea>
    <c:plotVisOnly val="1"/>
    <c:dispBlanksAs val="gap"/>
    <c:showDLblsOverMax val="0"/>
  </c:chart>
  <c:spPr>
    <a:solidFill>
      <a:srgbClr val="FFFFFF"/>
    </a:solidFill>
    <a:ln w="3175">
      <a:solidFill>
        <a:schemeClr val="tx1"/>
      </a:solid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a:pPr>
            <a:r>
              <a:rPr lang="en-US" sz="2400"/>
              <a:t>Smolt</a:t>
            </a:r>
            <a:r>
              <a:rPr lang="en-US" sz="2400" baseline="0"/>
              <a:t> Production and Marine Survival</a:t>
            </a:r>
            <a:endParaRPr lang="en-US" sz="2400"/>
          </a:p>
        </c:rich>
      </c:tx>
      <c:layout>
        <c:manualLayout>
          <c:xMode val="edge"/>
          <c:yMode val="edge"/>
          <c:x val="0.15651311615917282"/>
          <c:y val="4.2396439575487846E-2"/>
        </c:manualLayout>
      </c:layout>
      <c:overlay val="1"/>
    </c:title>
    <c:autoTitleDeleted val="0"/>
    <c:plotArea>
      <c:layout>
        <c:manualLayout>
          <c:layoutTarget val="inner"/>
          <c:xMode val="edge"/>
          <c:yMode val="edge"/>
          <c:x val="0.11522981502312211"/>
          <c:y val="6.0476175655908626E-2"/>
          <c:w val="0.80289672006514279"/>
          <c:h val="0.77372236573195152"/>
        </c:manualLayout>
      </c:layout>
      <c:lineChart>
        <c:grouping val="standard"/>
        <c:varyColors val="0"/>
        <c:ser>
          <c:idx val="0"/>
          <c:order val="0"/>
          <c:tx>
            <c:v>Series1</c:v>
          </c:tx>
          <c:spPr>
            <a:ln w="28575">
              <a:noFill/>
            </a:ln>
          </c:spPr>
          <c:marker>
            <c:symbol val="none"/>
          </c:marker>
          <c:cat>
            <c:numRef>
              <c:f>'Master smolts'!$I$18:$I$46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'Master smolts'!$K$17:$K$45</c:f>
              <c:numCache>
                <c:formatCode>#,##0</c:formatCode>
                <c:ptCount val="29"/>
                <c:pt idx="0">
                  <c:v>130.80497667317852</c:v>
                </c:pt>
                <c:pt idx="1">
                  <c:v>126.56469367046927</c:v>
                </c:pt>
                <c:pt idx="2">
                  <c:v>163.43328983338344</c:v>
                </c:pt>
                <c:pt idx="3">
                  <c:v>290.32939665487908</c:v>
                </c:pt>
                <c:pt idx="4">
                  <c:v>230.3036165711234</c:v>
                </c:pt>
                <c:pt idx="5">
                  <c:v>161.10086219745085</c:v>
                </c:pt>
                <c:pt idx="6">
                  <c:v>170.93861515680797</c:v>
                </c:pt>
                <c:pt idx="7">
                  <c:v>120.63936665529452</c:v>
                </c:pt>
                <c:pt idx="8">
                  <c:v>119.49258726186592</c:v>
                </c:pt>
                <c:pt idx="9">
                  <c:v>222.18477626244194</c:v>
                </c:pt>
                <c:pt idx="10">
                  <c:v>161.8717185688474</c:v>
                </c:pt>
                <c:pt idx="11">
                  <c:v>242.03395534562253</c:v>
                </c:pt>
                <c:pt idx="12">
                  <c:v>228.96989745978459</c:v>
                </c:pt>
                <c:pt idx="13">
                  <c:v>132.35533338181901</c:v>
                </c:pt>
                <c:pt idx="14">
                  <c:v>166.61162818095559</c:v>
                </c:pt>
                <c:pt idx="15">
                  <c:v>128.12423359620283</c:v>
                </c:pt>
                <c:pt idx="16">
                  <c:v>109.58551476236188</c:v>
                </c:pt>
                <c:pt idx="17">
                  <c:v>101.65684118196423</c:v>
                </c:pt>
                <c:pt idx="18">
                  <c:v>79.446569010132222</c:v>
                </c:pt>
                <c:pt idx="19">
                  <c:v>83.600236376301837</c:v>
                </c:pt>
                <c:pt idx="20">
                  <c:v>137.76933974461318</c:v>
                </c:pt>
                <c:pt idx="21">
                  <c:v>108.00907651889088</c:v>
                </c:pt>
                <c:pt idx="22">
                  <c:v>100.30617077919017</c:v>
                </c:pt>
                <c:pt idx="23">
                  <c:v>126.58510175900525</c:v>
                </c:pt>
                <c:pt idx="24">
                  <c:v>204.98635408374238</c:v>
                </c:pt>
                <c:pt idx="25">
                  <c:v>151.45835253137707</c:v>
                </c:pt>
                <c:pt idx="26">
                  <c:v>157.78701933473516</c:v>
                </c:pt>
                <c:pt idx="27">
                  <c:v>276.5014883772634</c:v>
                </c:pt>
                <c:pt idx="28">
                  <c:v>110.38734753154496</c:v>
                </c:pt>
              </c:numCache>
            </c:numRef>
          </c:val>
          <c:smooth val="0"/>
        </c:ser>
        <c:ser>
          <c:idx val="1"/>
          <c:order val="1"/>
          <c:spPr>
            <a:ln w="28575">
              <a:noFill/>
            </a:ln>
          </c:spPr>
          <c:marker>
            <c:symbol val="none"/>
          </c:marker>
          <c:cat>
            <c:numRef>
              <c:f>'Master smolts'!$I$18:$I$46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'Master smolts'!$L$17:$L$45</c:f>
              <c:numCache>
                <c:formatCode>#,##0</c:formatCode>
                <c:ptCount val="29"/>
                <c:pt idx="0">
                  <c:v>219.76733605957446</c:v>
                </c:pt>
                <c:pt idx="1">
                  <c:v>159.89595136670476</c:v>
                </c:pt>
                <c:pt idx="2">
                  <c:v>220.39751959504454</c:v>
                </c:pt>
                <c:pt idx="3">
                  <c:v>372.47685519799205</c:v>
                </c:pt>
                <c:pt idx="4">
                  <c:v>286.93548094890104</c:v>
                </c:pt>
                <c:pt idx="5">
                  <c:v>207.82298377241793</c:v>
                </c:pt>
                <c:pt idx="6">
                  <c:v>224.30483929384854</c:v>
                </c:pt>
                <c:pt idx="7">
                  <c:v>149.75245395253845</c:v>
                </c:pt>
                <c:pt idx="8">
                  <c:v>168.8839613620535</c:v>
                </c:pt>
                <c:pt idx="9">
                  <c:v>291.50532098804331</c:v>
                </c:pt>
                <c:pt idx="10">
                  <c:v>210.53137737252868</c:v>
                </c:pt>
                <c:pt idx="11">
                  <c:v>302.16415161402801</c:v>
                </c:pt>
                <c:pt idx="12">
                  <c:v>313.35898935302134</c:v>
                </c:pt>
                <c:pt idx="13">
                  <c:v>169.16436493170579</c:v>
                </c:pt>
                <c:pt idx="14">
                  <c:v>208.26793118385999</c:v>
                </c:pt>
                <c:pt idx="15">
                  <c:v>166.4092479934057</c:v>
                </c:pt>
                <c:pt idx="16">
                  <c:v>142.96724922431346</c:v>
                </c:pt>
                <c:pt idx="17">
                  <c:v>131.44704377615912</c:v>
                </c:pt>
                <c:pt idx="18">
                  <c:v>101.60388815214985</c:v>
                </c:pt>
                <c:pt idx="19">
                  <c:v>131.8359653472456</c:v>
                </c:pt>
                <c:pt idx="20">
                  <c:v>192.57781583384912</c:v>
                </c:pt>
                <c:pt idx="21">
                  <c:v>165.54701467628144</c:v>
                </c:pt>
                <c:pt idx="22">
                  <c:v>127.56535344982092</c:v>
                </c:pt>
                <c:pt idx="23">
                  <c:v>187.13152022381962</c:v>
                </c:pt>
                <c:pt idx="24">
                  <c:v>267.26349377107022</c:v>
                </c:pt>
                <c:pt idx="25">
                  <c:v>200.57022208869338</c:v>
                </c:pt>
                <c:pt idx="26">
                  <c:v>214.25291296053678</c:v>
                </c:pt>
                <c:pt idx="27">
                  <c:v>402.63191139224068</c:v>
                </c:pt>
                <c:pt idx="28">
                  <c:v>154.68643401407618</c:v>
                </c:pt>
              </c:numCache>
            </c:numRef>
          </c:val>
          <c:smooth val="0"/>
        </c:ser>
        <c:ser>
          <c:idx val="2"/>
          <c:order val="2"/>
          <c:tx>
            <c:v>Number of Smolts</c:v>
          </c:tx>
          <c:spPr>
            <a:ln w="19050">
              <a:solidFill>
                <a:srgbClr val="FF0000"/>
              </a:solidFill>
              <a:prstDash val="solid"/>
            </a:ln>
          </c:spPr>
          <c:marker>
            <c:symbol val="circle"/>
            <c:size val="6"/>
            <c:spPr>
              <a:solidFill>
                <a:srgbClr val="FF0000"/>
              </a:solidFill>
              <a:ln>
                <a:solidFill>
                  <a:srgbClr val="000000"/>
                </a:solidFill>
                <a:prstDash val="solid"/>
              </a:ln>
            </c:spPr>
          </c:marker>
          <c:dPt>
            <c:idx val="21"/>
            <c:bubble3D val="0"/>
          </c:dPt>
          <c:cat>
            <c:numRef>
              <c:f>'Master smolts'!$I$18:$I$46</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'Master smolts'!$J$17:$J$45</c:f>
              <c:numCache>
                <c:formatCode>#,##0</c:formatCode>
                <c:ptCount val="29"/>
                <c:pt idx="0">
                  <c:v>163.99799999999999</c:v>
                </c:pt>
                <c:pt idx="1">
                  <c:v>141.291</c:v>
                </c:pt>
                <c:pt idx="2">
                  <c:v>187.68799999999999</c:v>
                </c:pt>
                <c:pt idx="3">
                  <c:v>326.31200000000001</c:v>
                </c:pt>
                <c:pt idx="4">
                  <c:v>255.51900000000001</c:v>
                </c:pt>
                <c:pt idx="5">
                  <c:v>181.50299999999999</c:v>
                </c:pt>
                <c:pt idx="6">
                  <c:v>194.01900000000001</c:v>
                </c:pt>
                <c:pt idx="7">
                  <c:v>133.62899999999999</c:v>
                </c:pt>
                <c:pt idx="8">
                  <c:v>139.959</c:v>
                </c:pt>
                <c:pt idx="9">
                  <c:v>252.16800000000001</c:v>
                </c:pt>
                <c:pt idx="10">
                  <c:v>183.023</c:v>
                </c:pt>
                <c:pt idx="11">
                  <c:v>268.77699999999999</c:v>
                </c:pt>
                <c:pt idx="12">
                  <c:v>264.59899999999999</c:v>
                </c:pt>
                <c:pt idx="13">
                  <c:v>148.51300000000001</c:v>
                </c:pt>
                <c:pt idx="14">
                  <c:v>185.125</c:v>
                </c:pt>
                <c:pt idx="15">
                  <c:v>144.77799999999999</c:v>
                </c:pt>
                <c:pt idx="16">
                  <c:v>124.07</c:v>
                </c:pt>
                <c:pt idx="17">
                  <c:v>114.648</c:v>
                </c:pt>
                <c:pt idx="18">
                  <c:v>89.168999999999997</c:v>
                </c:pt>
                <c:pt idx="19">
                  <c:v>102.318</c:v>
                </c:pt>
                <c:pt idx="20">
                  <c:v>160.62700000000001</c:v>
                </c:pt>
                <c:pt idx="21">
                  <c:v>130.727</c:v>
                </c:pt>
                <c:pt idx="22">
                  <c:v>112.30500000000001</c:v>
                </c:pt>
                <c:pt idx="23">
                  <c:v>151.01599999999999</c:v>
                </c:pt>
                <c:pt idx="24">
                  <c:v>232.01900000000001</c:v>
                </c:pt>
                <c:pt idx="25">
                  <c:v>172.58799999999999</c:v>
                </c:pt>
                <c:pt idx="26">
                  <c:v>181.73500000000001</c:v>
                </c:pt>
                <c:pt idx="27">
                  <c:v>327.85406462389125</c:v>
                </c:pt>
                <c:pt idx="28">
                  <c:v>129.309</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marker val="1"/>
        <c:smooth val="0"/>
        <c:axId val="208843520"/>
        <c:axId val="208845440"/>
      </c:lineChart>
      <c:lineChart>
        <c:grouping val="standard"/>
        <c:varyColors val="0"/>
        <c:ser>
          <c:idx val="3"/>
          <c:order val="3"/>
          <c:tx>
            <c:v>Marine Survival</c:v>
          </c:tx>
          <c:spPr>
            <a:ln w="38100">
              <a:solidFill>
                <a:srgbClr val="00B0F0"/>
              </a:solidFill>
              <a:prstDash val="sysDash"/>
            </a:ln>
          </c:spPr>
          <c:marker>
            <c:symbol val="none"/>
          </c:marker>
          <c:cat>
            <c:numRef>
              <c:f>'Master smolts'!$I$17:$I$46</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Survival!$C$16:$C$44</c:f>
              <c:numCache>
                <c:formatCode>0.0</c:formatCode>
                <c:ptCount val="29"/>
                <c:pt idx="0">
                  <c:v>22.332909871898103</c:v>
                </c:pt>
                <c:pt idx="1">
                  <c:v>26.730474837426488</c:v>
                </c:pt>
                <c:pt idx="2">
                  <c:v>26.472483123256296</c:v>
                </c:pt>
                <c:pt idx="3">
                  <c:v>16.360275068725652</c:v>
                </c:pt>
                <c:pt idx="4">
                  <c:v>30.216463755784535</c:v>
                </c:pt>
                <c:pt idx="5">
                  <c:v>16.533108779678816</c:v>
                </c:pt>
                <c:pt idx="6">
                  <c:v>12.943426195394036</c:v>
                </c:pt>
                <c:pt idx="7">
                  <c:v>13.251798142786908</c:v>
                </c:pt>
                <c:pt idx="8">
                  <c:v>17.703912478402</c:v>
                </c:pt>
                <c:pt idx="9">
                  <c:v>14.093062063722309</c:v>
                </c:pt>
                <c:pt idx="10">
                  <c:v>13.13156044166762</c:v>
                </c:pt>
                <c:pt idx="11">
                  <c:v>13.693784188724248</c:v>
                </c:pt>
                <c:pt idx="12">
                  <c:v>21.353244776023462</c:v>
                </c:pt>
                <c:pt idx="13">
                  <c:v>21.243938065236875</c:v>
                </c:pt>
                <c:pt idx="14">
                  <c:v>19.802798154554136</c:v>
                </c:pt>
                <c:pt idx="15">
                  <c:v>9.6815999967245574</c:v>
                </c:pt>
                <c:pt idx="16">
                  <c:v>13.815727007633757</c:v>
                </c:pt>
                <c:pt idx="17">
                  <c:v>8.4306036568628837</c:v>
                </c:pt>
                <c:pt idx="18">
                  <c:v>17.970020235028723</c:v>
                </c:pt>
                <c:pt idx="19">
                  <c:v>10.103236929863458</c:v>
                </c:pt>
                <c:pt idx="20">
                  <c:v>14.711441535122823</c:v>
                </c:pt>
                <c:pt idx="21">
                  <c:v>10.317732845706308</c:v>
                </c:pt>
                <c:pt idx="22">
                  <c:v>8.7729652486037555</c:v>
                </c:pt>
                <c:pt idx="23">
                  <c:v>14.953800094105157</c:v>
                </c:pt>
                <c:pt idx="24">
                  <c:v>13.094767997630491</c:v>
                </c:pt>
                <c:pt idx="25">
                  <c:v>10.45725</c:v>
                </c:pt>
                <c:pt idx="26">
                  <c:v>6.3676899999999996</c:v>
                </c:pt>
                <c:pt idx="27">
                  <c:v>5.038938450516981</c:v>
                </c:pt>
                <c:pt idx="28">
                  <c:v>6.6785793100720694</c:v>
                </c:pt>
              </c:numCache>
            </c:numRef>
          </c:val>
          <c:smooth val="0"/>
        </c:ser>
        <c:dLbls>
          <c:showLegendKey val="0"/>
          <c:showVal val="0"/>
          <c:showCatName val="0"/>
          <c:showSerName val="0"/>
          <c:showPercent val="0"/>
          <c:showBubbleSize val="0"/>
        </c:dLbls>
        <c:marker val="1"/>
        <c:smooth val="0"/>
        <c:axId val="208859904"/>
        <c:axId val="208861440"/>
      </c:lineChart>
      <c:catAx>
        <c:axId val="208843520"/>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sz="1600"/>
                  <a:t>Return Year</a:t>
                </a:r>
              </a:p>
            </c:rich>
          </c:tx>
          <c:layout>
            <c:manualLayout>
              <c:xMode val="edge"/>
              <c:yMode val="edge"/>
              <c:x val="0.44768271440986745"/>
              <c:y val="0.92661541813202208"/>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845440"/>
        <c:crosses val="autoZero"/>
        <c:auto val="1"/>
        <c:lblAlgn val="ctr"/>
        <c:lblOffset val="100"/>
        <c:tickLblSkip val="1"/>
        <c:tickMarkSkip val="1"/>
        <c:noMultiLvlLbl val="0"/>
      </c:catAx>
      <c:valAx>
        <c:axId val="208845440"/>
        <c:scaling>
          <c:orientation val="minMax"/>
          <c:max val="405"/>
          <c:min val="0"/>
        </c:scaling>
        <c:delete val="0"/>
        <c:axPos val="l"/>
        <c:title>
          <c:tx>
            <c:rich>
              <a:bodyPr/>
              <a:lstStyle/>
              <a:p>
                <a:pPr>
                  <a:defRPr sz="1600" b="0" i="0" u="none" strike="noStrike" baseline="0">
                    <a:solidFill>
                      <a:srgbClr val="000000"/>
                    </a:solidFill>
                    <a:latin typeface="Arial"/>
                    <a:ea typeface="Arial"/>
                    <a:cs typeface="Arial"/>
                  </a:defRPr>
                </a:pPr>
                <a:r>
                  <a:rPr lang="en-US" sz="1600"/>
                  <a:t>Thousands of Smolts</a:t>
                </a:r>
              </a:p>
            </c:rich>
          </c:tx>
          <c:layout>
            <c:manualLayout>
              <c:xMode val="edge"/>
              <c:yMode val="edge"/>
              <c:x val="1.0600360497367621E-2"/>
              <c:y val="0.23750791032543858"/>
            </c:manualLayout>
          </c:layout>
          <c:overlay val="0"/>
          <c:spPr>
            <a:noFill/>
            <a:ln w="25400">
              <a:noFill/>
            </a:ln>
          </c:spPr>
        </c:title>
        <c:numFmt formatCode="#,##0" sourceLinked="1"/>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843520"/>
        <c:crosses val="autoZero"/>
        <c:crossBetween val="between"/>
      </c:valAx>
      <c:catAx>
        <c:axId val="208859904"/>
        <c:scaling>
          <c:orientation val="minMax"/>
        </c:scaling>
        <c:delete val="1"/>
        <c:axPos val="b"/>
        <c:numFmt formatCode="General" sourceLinked="1"/>
        <c:majorTickMark val="out"/>
        <c:minorTickMark val="none"/>
        <c:tickLblPos val="nextTo"/>
        <c:crossAx val="208861440"/>
        <c:crosses val="autoZero"/>
        <c:auto val="1"/>
        <c:lblAlgn val="ctr"/>
        <c:lblOffset val="100"/>
        <c:noMultiLvlLbl val="0"/>
      </c:catAx>
      <c:valAx>
        <c:axId val="208861440"/>
        <c:scaling>
          <c:orientation val="minMax"/>
          <c:max val="35"/>
          <c:min val="0"/>
        </c:scaling>
        <c:delete val="0"/>
        <c:axPos val="r"/>
        <c:title>
          <c:tx>
            <c:rich>
              <a:bodyPr/>
              <a:lstStyle/>
              <a:p>
                <a:pPr>
                  <a:defRPr sz="1600" b="0" i="0" u="none" strike="noStrike" baseline="0">
                    <a:solidFill>
                      <a:srgbClr val="000000"/>
                    </a:solidFill>
                    <a:latin typeface="Arial"/>
                    <a:ea typeface="Arial"/>
                    <a:cs typeface="Arial"/>
                  </a:defRPr>
                </a:pPr>
                <a:r>
                  <a:rPr lang="en-US" sz="1600"/>
                  <a:t>Marine Survival (%)</a:t>
                </a:r>
              </a:p>
            </c:rich>
          </c:tx>
          <c:layout>
            <c:manualLayout>
              <c:xMode val="edge"/>
              <c:yMode val="edge"/>
              <c:x val="0.95728563600060712"/>
              <c:y val="0.25437054557903582"/>
            </c:manualLayout>
          </c:layout>
          <c:overlay val="0"/>
        </c:title>
        <c:numFmt formatCode="0" sourceLinked="0"/>
        <c:majorTickMark val="out"/>
        <c:minorTickMark val="none"/>
        <c:tickLblPos val="nextTo"/>
        <c:spPr>
          <a:ln w="15875"/>
        </c:spPr>
        <c:txPr>
          <a:bodyPr rot="0" vert="horz"/>
          <a:lstStyle/>
          <a:p>
            <a:pPr>
              <a:defRPr sz="1100" b="0" i="0" u="none" strike="noStrike" baseline="0">
                <a:solidFill>
                  <a:srgbClr val="000000"/>
                </a:solidFill>
                <a:latin typeface="Arial"/>
                <a:ea typeface="Arial"/>
                <a:cs typeface="Arial"/>
              </a:defRPr>
            </a:pPr>
            <a:endParaRPr lang="en-US"/>
          </a:p>
        </c:txPr>
        <c:crossAx val="208859904"/>
        <c:crosses val="max"/>
        <c:crossBetween val="between"/>
        <c:majorUnit val="5"/>
      </c:valAx>
      <c:spPr>
        <a:solidFill>
          <a:srgbClr val="FFFFFF"/>
        </a:solidFill>
        <a:ln w="25400">
          <a:noFill/>
        </a:ln>
      </c:spPr>
    </c:plotArea>
    <c:legend>
      <c:legendPos val="r"/>
      <c:legendEntry>
        <c:idx val="0"/>
        <c:delete val="1"/>
      </c:legendEntry>
      <c:legendEntry>
        <c:idx val="1"/>
        <c:delete val="1"/>
      </c:legendEntry>
      <c:layout>
        <c:manualLayout>
          <c:xMode val="edge"/>
          <c:yMode val="edge"/>
          <c:x val="0.13348111338568489"/>
          <c:y val="0.67032502360129875"/>
          <c:w val="0.2663598264200206"/>
          <c:h val="0.13273785440851515"/>
        </c:manualLayout>
      </c:layout>
      <c:overlay val="1"/>
      <c:spPr>
        <a:ln w="15875">
          <a:solidFill>
            <a:schemeClr val="tx1"/>
          </a:solidFill>
        </a:ln>
      </c:spPr>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noFill/>
    </a:ln>
  </c:spPr>
  <c:txPr>
    <a:bodyPr/>
    <a:lstStyle/>
    <a:p>
      <a:pPr>
        <a:defRPr sz="12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94165402794508"/>
          <c:y val="3.3404119633379421E-2"/>
          <c:w val="0.80435984355557544"/>
          <c:h val="0.78728668540679536"/>
        </c:manualLayout>
      </c:layout>
      <c:barChart>
        <c:barDir val="col"/>
        <c:grouping val="stacked"/>
        <c:varyColors val="0"/>
        <c:ser>
          <c:idx val="2"/>
          <c:order val="0"/>
          <c:tx>
            <c:v>Escapement</c:v>
          </c:tx>
          <c:spPr>
            <a:solidFill>
              <a:srgbClr val="FFFF00"/>
            </a:solidFill>
            <a:ln w="12700">
              <a:solidFill>
                <a:srgbClr val="000000"/>
              </a:solidFill>
              <a:prstDash val="solid"/>
            </a:ln>
          </c:spPr>
          <c:invertIfNegative val="0"/>
          <c:cat>
            <c:numRef>
              <c:f>'Catch_Escapement Data'!$A$62:$A$90</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'Catch_Escapement Data'!$I$62:$I$90</c:f>
              <c:numCache>
                <c:formatCode>#,##0</c:formatCode>
                <c:ptCount val="29"/>
                <c:pt idx="0">
                  <c:v>13715</c:v>
                </c:pt>
                <c:pt idx="1">
                  <c:v>14311</c:v>
                </c:pt>
                <c:pt idx="2">
                  <c:v>18991</c:v>
                </c:pt>
                <c:pt idx="3">
                  <c:v>19450</c:v>
                </c:pt>
                <c:pt idx="4">
                  <c:v>19760</c:v>
                </c:pt>
                <c:pt idx="5">
                  <c:v>6138</c:v>
                </c:pt>
                <c:pt idx="6">
                  <c:v>7509</c:v>
                </c:pt>
                <c:pt idx="7">
                  <c:v>12474</c:v>
                </c:pt>
                <c:pt idx="8">
                  <c:v>8443</c:v>
                </c:pt>
                <c:pt idx="9">
                  <c:v>12313</c:v>
                </c:pt>
                <c:pt idx="10">
                  <c:v>13219</c:v>
                </c:pt>
                <c:pt idx="11">
                  <c:v>23943</c:v>
                </c:pt>
                <c:pt idx="12">
                  <c:v>34382</c:v>
                </c:pt>
                <c:pt idx="13">
                  <c:v>12549</c:v>
                </c:pt>
                <c:pt idx="14">
                  <c:v>17936</c:v>
                </c:pt>
                <c:pt idx="15">
                  <c:v>6479</c:v>
                </c:pt>
                <c:pt idx="16">
                  <c:v>6789</c:v>
                </c:pt>
                <c:pt idx="17">
                  <c:v>4859</c:v>
                </c:pt>
                <c:pt idx="18">
                  <c:v>8527</c:v>
                </c:pt>
                <c:pt idx="19">
                  <c:v>5250</c:v>
                </c:pt>
                <c:pt idx="20">
                  <c:v>9334</c:v>
                </c:pt>
                <c:pt idx="21">
                  <c:v>7509</c:v>
                </c:pt>
                <c:pt idx="22">
                  <c:v>6802</c:v>
                </c:pt>
                <c:pt idx="23">
                  <c:v>7795</c:v>
                </c:pt>
                <c:pt idx="24">
                  <c:v>19214</c:v>
                </c:pt>
                <c:pt idx="25">
                  <c:v>12338</c:v>
                </c:pt>
                <c:pt idx="26">
                  <c:v>8357</c:v>
                </c:pt>
                <c:pt idx="27">
                  <c:v>8738</c:v>
                </c:pt>
                <c:pt idx="28">
                  <c:v>4406</c:v>
                </c:pt>
              </c:numCache>
            </c:numRef>
          </c:val>
        </c:ser>
        <c:ser>
          <c:idx val="0"/>
          <c:order val="1"/>
          <c:tx>
            <c:v>Other Fisheries</c:v>
          </c:tx>
          <c:spPr>
            <a:solidFill>
              <a:srgbClr val="66CCFF"/>
            </a:solidFill>
            <a:ln w="12700">
              <a:solidFill>
                <a:srgbClr val="000000"/>
              </a:solidFill>
              <a:prstDash val="solid"/>
            </a:ln>
          </c:spPr>
          <c:invertIfNegative val="0"/>
          <c:cat>
            <c:numRef>
              <c:f>'Catch_Escapement Data'!$A$62:$A$90</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'Catch_Escapement Data'!$M$62:$M$90</c:f>
              <c:numCache>
                <c:formatCode>#,##0</c:formatCode>
                <c:ptCount val="29"/>
                <c:pt idx="0">
                  <c:v>7903.7236924422314</c:v>
                </c:pt>
                <c:pt idx="1">
                  <c:v>17008.220035610553</c:v>
                </c:pt>
                <c:pt idx="2">
                  <c:v>15376.580432960342</c:v>
                </c:pt>
                <c:pt idx="3">
                  <c:v>14627.286861220649</c:v>
                </c:pt>
                <c:pt idx="4">
                  <c:v>30109.870411608859</c:v>
                </c:pt>
                <c:pt idx="5">
                  <c:v>15104.459928559276</c:v>
                </c:pt>
                <c:pt idx="6">
                  <c:v>7074.9686336538462</c:v>
                </c:pt>
                <c:pt idx="7">
                  <c:v>2781.3509854027516</c:v>
                </c:pt>
                <c:pt idx="8">
                  <c:v>5910.6912592145454</c:v>
                </c:pt>
                <c:pt idx="9">
                  <c:v>10348.749160845062</c:v>
                </c:pt>
                <c:pt idx="10">
                  <c:v>6004.0087996874972</c:v>
                </c:pt>
                <c:pt idx="11">
                  <c:v>4048.4054414634797</c:v>
                </c:pt>
                <c:pt idx="12">
                  <c:v>13468.621889380582</c:v>
                </c:pt>
                <c:pt idx="13">
                  <c:v>12178.241481890531</c:v>
                </c:pt>
                <c:pt idx="14">
                  <c:v>7932.1244014004769</c:v>
                </c:pt>
                <c:pt idx="15">
                  <c:v>2899.1893495575223</c:v>
                </c:pt>
                <c:pt idx="16">
                  <c:v>6270.6875726886228</c:v>
                </c:pt>
                <c:pt idx="17">
                  <c:v>1869.0850097283762</c:v>
                </c:pt>
                <c:pt idx="18">
                  <c:v>3618.5646731159577</c:v>
                </c:pt>
                <c:pt idx="19">
                  <c:v>2280.7571149367091</c:v>
                </c:pt>
                <c:pt idx="20">
                  <c:v>7845.4991998376936</c:v>
                </c:pt>
                <c:pt idx="21">
                  <c:v>2257.4466386363638</c:v>
                </c:pt>
                <c:pt idx="22">
                  <c:v>979.64220288319086</c:v>
                </c:pt>
                <c:pt idx="23">
                  <c:v>7266.9495325000007</c:v>
                </c:pt>
                <c:pt idx="24">
                  <c:v>6867.170445164742</c:v>
                </c:pt>
                <c:pt idx="25">
                  <c:v>2166</c:v>
                </c:pt>
                <c:pt idx="26">
                  <c:v>2295.8126686792439</c:v>
                </c:pt>
                <c:pt idx="27">
                  <c:v>2803</c:v>
                </c:pt>
                <c:pt idx="28">
                  <c:v>3143</c:v>
                </c:pt>
              </c:numCache>
            </c:numRef>
          </c:val>
        </c:ser>
        <c:ser>
          <c:idx val="1"/>
          <c:order val="2"/>
          <c:tx>
            <c:v>Troll Catch</c:v>
          </c:tx>
          <c:spPr>
            <a:solidFill>
              <a:srgbClr val="CCFFFF"/>
            </a:solidFill>
            <a:ln w="12700">
              <a:solidFill>
                <a:srgbClr val="000000"/>
              </a:solidFill>
              <a:prstDash val="solid"/>
            </a:ln>
          </c:spPr>
          <c:invertIfNegative val="0"/>
          <c:cat>
            <c:numRef>
              <c:f>'Catch_Escapement Data'!$A$62:$A$90</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'Catch_Escapement Data'!$L$62:$L$90</c:f>
              <c:numCache>
                <c:formatCode>#,##0</c:formatCode>
                <c:ptCount val="29"/>
                <c:pt idx="0">
                  <c:v>15006.906562552591</c:v>
                </c:pt>
                <c:pt idx="1">
                  <c:v>6448.5848185505256</c:v>
                </c:pt>
                <c:pt idx="2">
                  <c:v>15318.194687812569</c:v>
                </c:pt>
                <c:pt idx="3">
                  <c:v>19308.334788727647</c:v>
                </c:pt>
                <c:pt idx="4">
                  <c:v>27339.017989400378</c:v>
                </c:pt>
                <c:pt idx="5">
                  <c:v>8765.6907583897864</c:v>
                </c:pt>
                <c:pt idx="6">
                  <c:v>10528.730040144168</c:v>
                </c:pt>
                <c:pt idx="7">
                  <c:v>2452.8423084848455</c:v>
                </c:pt>
                <c:pt idx="8">
                  <c:v>10424.447558787861</c:v>
                </c:pt>
                <c:pt idx="9">
                  <c:v>12876.411924788617</c:v>
                </c:pt>
                <c:pt idx="10">
                  <c:v>4810.7035637946483</c:v>
                </c:pt>
                <c:pt idx="11">
                  <c:v>8814.3456853610987</c:v>
                </c:pt>
                <c:pt idx="12">
                  <c:v>8649.799148571401</c:v>
                </c:pt>
                <c:pt idx="13">
                  <c:v>6822.780148593728</c:v>
                </c:pt>
                <c:pt idx="14">
                  <c:v>10791.879529411573</c:v>
                </c:pt>
                <c:pt idx="15">
                  <c:v>4638.6855929203448</c:v>
                </c:pt>
                <c:pt idx="16">
                  <c:v>4081.5165299999962</c:v>
                </c:pt>
                <c:pt idx="17">
                  <c:v>2937.46540720339</c:v>
                </c:pt>
                <c:pt idx="18">
                  <c:v>3878.1945390909154</c:v>
                </c:pt>
                <c:pt idx="19">
                  <c:v>2806.6890000000003</c:v>
                </c:pt>
                <c:pt idx="20">
                  <c:v>6451.0321920064944</c:v>
                </c:pt>
                <c:pt idx="21">
                  <c:v>3721.6134204545397</c:v>
                </c:pt>
                <c:pt idx="22">
                  <c:v>2070.8644198484849</c:v>
                </c:pt>
                <c:pt idx="23">
                  <c:v>7520.6314891346174</c:v>
                </c:pt>
                <c:pt idx="24">
                  <c:v>4301.1241040387176</c:v>
                </c:pt>
                <c:pt idx="25">
                  <c:v>3543</c:v>
                </c:pt>
                <c:pt idx="26">
                  <c:v>919.40433610062894</c:v>
                </c:pt>
                <c:pt idx="27">
                  <c:v>4455</c:v>
                </c:pt>
                <c:pt idx="28">
                  <c:v>1087</c:v>
                </c:pt>
              </c:numCache>
            </c:numRef>
          </c:val>
        </c:ser>
        <c:dLbls>
          <c:showLegendKey val="0"/>
          <c:showVal val="0"/>
          <c:showCatName val="0"/>
          <c:showSerName val="0"/>
          <c:showPercent val="0"/>
          <c:showBubbleSize val="0"/>
        </c:dLbls>
        <c:gapWidth val="80"/>
        <c:overlap val="100"/>
        <c:axId val="208986880"/>
        <c:axId val="208988800"/>
      </c:barChart>
      <c:lineChart>
        <c:grouping val="standard"/>
        <c:varyColors val="0"/>
        <c:ser>
          <c:idx val="3"/>
          <c:order val="3"/>
          <c:tx>
            <c:v>Escapement Goal Bounds</c:v>
          </c:tx>
          <c:spPr>
            <a:ln w="28575">
              <a:solidFill>
                <a:srgbClr val="FF0000"/>
              </a:solidFill>
              <a:prstDash val="solid"/>
            </a:ln>
          </c:spPr>
          <c:marker>
            <c:symbol val="none"/>
          </c:marker>
          <c:cat>
            <c:numRef>
              <c:f>ChilkatTable!$A$6:$A$37</c:f>
              <c:numCache>
                <c:formatCode>0</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'Catch_Escapement Data'!$J$62:$J$90</c:f>
              <c:numCache>
                <c:formatCode>#,##0</c:formatCode>
                <c:ptCount val="29"/>
                <c:pt idx="0">
                  <c:v>4500</c:v>
                </c:pt>
                <c:pt idx="1">
                  <c:v>4500</c:v>
                </c:pt>
                <c:pt idx="2">
                  <c:v>4500</c:v>
                </c:pt>
                <c:pt idx="3">
                  <c:v>4500</c:v>
                </c:pt>
                <c:pt idx="4">
                  <c:v>4500</c:v>
                </c:pt>
                <c:pt idx="5">
                  <c:v>4500</c:v>
                </c:pt>
                <c:pt idx="6">
                  <c:v>4500</c:v>
                </c:pt>
                <c:pt idx="7">
                  <c:v>4500</c:v>
                </c:pt>
                <c:pt idx="8">
                  <c:v>4500</c:v>
                </c:pt>
                <c:pt idx="9">
                  <c:v>4500</c:v>
                </c:pt>
                <c:pt idx="10">
                  <c:v>4500</c:v>
                </c:pt>
                <c:pt idx="11">
                  <c:v>4500</c:v>
                </c:pt>
                <c:pt idx="12">
                  <c:v>4500</c:v>
                </c:pt>
                <c:pt idx="13">
                  <c:v>4500</c:v>
                </c:pt>
                <c:pt idx="14">
                  <c:v>4500</c:v>
                </c:pt>
                <c:pt idx="15">
                  <c:v>4500</c:v>
                </c:pt>
                <c:pt idx="16">
                  <c:v>4500</c:v>
                </c:pt>
                <c:pt idx="17">
                  <c:v>4500</c:v>
                </c:pt>
                <c:pt idx="18">
                  <c:v>4500</c:v>
                </c:pt>
                <c:pt idx="19">
                  <c:v>4500</c:v>
                </c:pt>
                <c:pt idx="20">
                  <c:v>4500</c:v>
                </c:pt>
                <c:pt idx="21">
                  <c:v>4500</c:v>
                </c:pt>
                <c:pt idx="22">
                  <c:v>4500</c:v>
                </c:pt>
                <c:pt idx="23">
                  <c:v>4500</c:v>
                </c:pt>
                <c:pt idx="24">
                  <c:v>4500</c:v>
                </c:pt>
                <c:pt idx="25">
                  <c:v>4500</c:v>
                </c:pt>
                <c:pt idx="26">
                  <c:v>4500</c:v>
                </c:pt>
                <c:pt idx="27">
                  <c:v>4500</c:v>
                </c:pt>
                <c:pt idx="28">
                  <c:v>4500</c:v>
                </c:pt>
              </c:numCache>
            </c:numRef>
          </c:val>
          <c:smooth val="0"/>
        </c:ser>
        <c:ser>
          <c:idx val="4"/>
          <c:order val="4"/>
          <c:tx>
            <c:v>Upper Bound</c:v>
          </c:tx>
          <c:spPr>
            <a:ln w="28575">
              <a:solidFill>
                <a:srgbClr val="FF0000"/>
              </a:solidFill>
              <a:prstDash val="solid"/>
            </a:ln>
          </c:spPr>
          <c:marker>
            <c:symbol val="none"/>
          </c:marker>
          <c:cat>
            <c:numRef>
              <c:f>ChilkatTable!$A$6:$A$37</c:f>
              <c:numCache>
                <c:formatCode>0</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'Catch_Escapement Data'!$K$62:$K$90</c:f>
              <c:numCache>
                <c:formatCode>#,##0</c:formatCode>
                <c:ptCount val="29"/>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10000</c:v>
                </c:pt>
                <c:pt idx="16">
                  <c:v>10000</c:v>
                </c:pt>
                <c:pt idx="17">
                  <c:v>10000</c:v>
                </c:pt>
                <c:pt idx="18">
                  <c:v>10000</c:v>
                </c:pt>
                <c:pt idx="19">
                  <c:v>10000</c:v>
                </c:pt>
                <c:pt idx="20">
                  <c:v>10000</c:v>
                </c:pt>
                <c:pt idx="21">
                  <c:v>10000</c:v>
                </c:pt>
                <c:pt idx="22">
                  <c:v>10000</c:v>
                </c:pt>
                <c:pt idx="23">
                  <c:v>10000</c:v>
                </c:pt>
                <c:pt idx="24">
                  <c:v>10000</c:v>
                </c:pt>
                <c:pt idx="25">
                  <c:v>10000</c:v>
                </c:pt>
                <c:pt idx="26">
                  <c:v>10000</c:v>
                </c:pt>
                <c:pt idx="27">
                  <c:v>10000</c:v>
                </c:pt>
                <c:pt idx="28">
                  <c:v>10000</c:v>
                </c:pt>
              </c:numCache>
            </c:numRef>
          </c:val>
          <c:smooth val="0"/>
        </c:ser>
        <c:ser>
          <c:idx val="5"/>
          <c:order val="5"/>
          <c:tx>
            <c:v>1990-2004 Average</c:v>
          </c:tx>
          <c:spPr>
            <a:ln>
              <a:solidFill>
                <a:schemeClr val="tx1"/>
              </a:solidFill>
              <a:prstDash val="dash"/>
            </a:ln>
          </c:spPr>
          <c:marker>
            <c:symbol val="none"/>
          </c:marker>
          <c:val>
            <c:numRef>
              <c:f>'Berners River'!$O$103:$O$131</c:f>
              <c:numCache>
                <c:formatCode>#,##0</c:formatCode>
                <c:ptCount val="29"/>
                <c:pt idx="0">
                  <c:v>38224.598195247476</c:v>
                </c:pt>
                <c:pt idx="1">
                  <c:v>38224.598195247476</c:v>
                </c:pt>
                <c:pt idx="2">
                  <c:v>38224.598195247476</c:v>
                </c:pt>
                <c:pt idx="3">
                  <c:v>38224.598195247476</c:v>
                </c:pt>
                <c:pt idx="4">
                  <c:v>38224.598195247476</c:v>
                </c:pt>
                <c:pt idx="5">
                  <c:v>38224.598195247476</c:v>
                </c:pt>
                <c:pt idx="6">
                  <c:v>38224.598195247476</c:v>
                </c:pt>
                <c:pt idx="7">
                  <c:v>38224.598195247476</c:v>
                </c:pt>
                <c:pt idx="8">
                  <c:v>38224.598195247476</c:v>
                </c:pt>
                <c:pt idx="9">
                  <c:v>38224.598195247476</c:v>
                </c:pt>
                <c:pt idx="10">
                  <c:v>38224.598195247476</c:v>
                </c:pt>
                <c:pt idx="11">
                  <c:v>38224.598195247476</c:v>
                </c:pt>
                <c:pt idx="12">
                  <c:v>38224.598195247476</c:v>
                </c:pt>
                <c:pt idx="13">
                  <c:v>38224.598195247476</c:v>
                </c:pt>
                <c:pt idx="14">
                  <c:v>38224.598195247476</c:v>
                </c:pt>
              </c:numCache>
            </c:numRef>
          </c:val>
          <c:smooth val="0"/>
        </c:ser>
        <c:ser>
          <c:idx val="6"/>
          <c:order val="6"/>
          <c:tx>
            <c:v>2005-2018 Average</c:v>
          </c:tx>
          <c:spPr>
            <a:ln>
              <a:solidFill>
                <a:schemeClr val="tx1"/>
              </a:solidFill>
              <a:prstDash val="dash"/>
            </a:ln>
          </c:spPr>
          <c:marker>
            <c:symbol val="none"/>
          </c:marker>
          <c:val>
            <c:numRef>
              <c:f>'Berners River'!$P$103:$P$131</c:f>
              <c:numCache>
                <c:formatCode>General</c:formatCode>
                <c:ptCount val="29"/>
                <c:pt idx="15" formatCode="#,##0">
                  <c:v>15812.287531323323</c:v>
                </c:pt>
                <c:pt idx="16" formatCode="#,##0">
                  <c:v>15812.287531323323</c:v>
                </c:pt>
                <c:pt idx="17" formatCode="#,##0">
                  <c:v>15812.287531323323</c:v>
                </c:pt>
                <c:pt idx="18" formatCode="#,##0">
                  <c:v>15812.287531323323</c:v>
                </c:pt>
                <c:pt idx="19" formatCode="#,##0">
                  <c:v>15812.287531323323</c:v>
                </c:pt>
                <c:pt idx="20" formatCode="#,##0">
                  <c:v>15812.287531323323</c:v>
                </c:pt>
                <c:pt idx="21" formatCode="#,##0">
                  <c:v>15812.287531323323</c:v>
                </c:pt>
                <c:pt idx="22" formatCode="#,##0">
                  <c:v>15812.287531323323</c:v>
                </c:pt>
                <c:pt idx="23" formatCode="#,##0">
                  <c:v>15812.287531323323</c:v>
                </c:pt>
                <c:pt idx="24" formatCode="#,##0">
                  <c:v>15812.287531323323</c:v>
                </c:pt>
                <c:pt idx="25" formatCode="#,##0">
                  <c:v>15812.287531323323</c:v>
                </c:pt>
                <c:pt idx="26" formatCode="#,##0">
                  <c:v>15812.287531323323</c:v>
                </c:pt>
                <c:pt idx="27" formatCode="#,##0">
                  <c:v>15812.287531323323</c:v>
                </c:pt>
                <c:pt idx="28" formatCode="#,##0">
                  <c:v>15812.287531323323</c:v>
                </c:pt>
              </c:numCache>
            </c:numRef>
          </c:val>
          <c:smooth val="0"/>
        </c:ser>
        <c:dLbls>
          <c:showLegendKey val="0"/>
          <c:showVal val="0"/>
          <c:showCatName val="0"/>
          <c:showSerName val="0"/>
          <c:showPercent val="0"/>
          <c:showBubbleSize val="0"/>
        </c:dLbls>
        <c:marker val="1"/>
        <c:smooth val="0"/>
        <c:axId val="208986880"/>
        <c:axId val="208988800"/>
      </c:lineChart>
      <c:catAx>
        <c:axId val="208986880"/>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sz="1600" b="0" baseline="0"/>
                  <a:t>Return Year</a:t>
                </a:r>
              </a:p>
            </c:rich>
          </c:tx>
          <c:layout>
            <c:manualLayout>
              <c:xMode val="edge"/>
              <c:yMode val="edge"/>
              <c:x val="0.47029431699109941"/>
              <c:y val="0.92230477280361667"/>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08988800"/>
        <c:crosses val="autoZero"/>
        <c:auto val="0"/>
        <c:lblAlgn val="ctr"/>
        <c:lblOffset val="100"/>
        <c:tickLblSkip val="1"/>
        <c:tickMarkSkip val="1"/>
        <c:noMultiLvlLbl val="0"/>
      </c:catAx>
      <c:valAx>
        <c:axId val="208988800"/>
        <c:scaling>
          <c:orientation val="minMax"/>
          <c:max val="77300"/>
          <c:min val="0"/>
        </c:scaling>
        <c:delete val="0"/>
        <c:axPos val="l"/>
        <c:title>
          <c:tx>
            <c:rich>
              <a:bodyPr rot="-5400000" vert="horz"/>
              <a:lstStyle/>
              <a:p>
                <a:pPr>
                  <a:defRPr sz="1600">
                    <a:latin typeface="Arial" panose="020B0604020202020204" pitchFamily="34" charset="0"/>
                    <a:cs typeface="Arial" panose="020B0604020202020204" pitchFamily="34" charset="0"/>
                  </a:defRPr>
                </a:pPr>
                <a:r>
                  <a:rPr lang="en-US" sz="1600">
                    <a:latin typeface="Arial" panose="020B0604020202020204" pitchFamily="34" charset="0"/>
                    <a:cs typeface="Arial" panose="020B0604020202020204" pitchFamily="34" charset="0"/>
                  </a:rPr>
                  <a:t>Number of Fish</a:t>
                </a:r>
              </a:p>
            </c:rich>
          </c:tx>
          <c:layout>
            <c:manualLayout>
              <c:xMode val="edge"/>
              <c:yMode val="edge"/>
              <c:x val="5.359674813053392E-3"/>
              <c:y val="0.27726444645700338"/>
            </c:manualLayout>
          </c:layout>
          <c:overlay val="0"/>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8986880"/>
        <c:crosses val="autoZero"/>
        <c:crossBetween val="between"/>
        <c:majorUnit val="10000"/>
      </c:valAx>
      <c:spPr>
        <a:noFill/>
        <a:ln w="25400">
          <a:noFill/>
        </a:ln>
      </c:spPr>
    </c:plotArea>
    <c:legend>
      <c:legendPos val="r"/>
      <c:legendEntry>
        <c:idx val="4"/>
        <c:delete val="1"/>
      </c:legendEntry>
      <c:legendEntry>
        <c:idx val="5"/>
        <c:delete val="1"/>
      </c:legendEntry>
      <c:legendEntry>
        <c:idx val="6"/>
        <c:delete val="1"/>
      </c:legendEntry>
      <c:layout>
        <c:manualLayout>
          <c:xMode val="edge"/>
          <c:yMode val="edge"/>
          <c:x val="0.64484840278712763"/>
          <c:y val="3.3441567198429521E-2"/>
          <c:w val="0.33197177036866043"/>
          <c:h val="0.26167489138534367"/>
        </c:manualLayout>
      </c:layout>
      <c:overlay val="0"/>
      <c:spPr>
        <a:noFill/>
        <a:ln w="15875">
          <a:solidFill>
            <a:srgbClr val="000000"/>
          </a:solidFill>
        </a:ln>
      </c:spPr>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orientation="landscape"/>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sz="1100"/>
              <a:t>Auke Creek (Weir)</a:t>
            </a:r>
          </a:p>
        </c:rich>
      </c:tx>
      <c:layout>
        <c:manualLayout>
          <c:xMode val="edge"/>
          <c:yMode val="edge"/>
          <c:x val="0.44136808879282247"/>
          <c:y val="9.4521784776902887E-3"/>
        </c:manualLayout>
      </c:layout>
      <c:overlay val="0"/>
      <c:spPr>
        <a:noFill/>
        <a:ln w="25400">
          <a:noFill/>
        </a:ln>
      </c:spPr>
    </c:title>
    <c:autoTitleDeleted val="0"/>
    <c:plotArea>
      <c:layout>
        <c:manualLayout>
          <c:layoutTarget val="inner"/>
          <c:xMode val="edge"/>
          <c:yMode val="edge"/>
          <c:x val="0.12652839963631998"/>
          <c:y val="0.12311097112860894"/>
          <c:w val="0.86532825553668535"/>
          <c:h val="0.71193532808398963"/>
        </c:manualLayout>
      </c:layout>
      <c:barChart>
        <c:barDir val="col"/>
        <c:grouping val="stacked"/>
        <c:varyColors val="0"/>
        <c:ser>
          <c:idx val="0"/>
          <c:order val="1"/>
          <c:tx>
            <c:v>Total Escapement</c:v>
          </c:tx>
          <c:spPr>
            <a:solidFill>
              <a:srgbClr val="E3E3E3"/>
            </a:solidFill>
            <a:ln w="12700">
              <a:solidFill>
                <a:srgbClr val="000000"/>
              </a:solidFill>
              <a:prstDash val="solid"/>
            </a:ln>
          </c:spPr>
          <c:invertIfNegative val="0"/>
          <c:cat>
            <c:numRef>
              <c:f>[10]Rawcounts!$Y$50:$Y$86</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'Fig 4 Table 3 NSEinside'!$B$8:$B$45</c:f>
              <c:numCache>
                <c:formatCode>#,##0</c:formatCode>
                <c:ptCount val="38"/>
                <c:pt idx="0">
                  <c:v>698</c:v>
                </c:pt>
                <c:pt idx="1">
                  <c:v>646</c:v>
                </c:pt>
                <c:pt idx="2">
                  <c:v>447</c:v>
                </c:pt>
                <c:pt idx="3">
                  <c:v>694</c:v>
                </c:pt>
                <c:pt idx="4">
                  <c:v>651</c:v>
                </c:pt>
                <c:pt idx="5">
                  <c:v>942</c:v>
                </c:pt>
                <c:pt idx="6">
                  <c:v>454</c:v>
                </c:pt>
                <c:pt idx="7">
                  <c:v>668</c:v>
                </c:pt>
                <c:pt idx="8">
                  <c:v>756</c:v>
                </c:pt>
                <c:pt idx="9">
                  <c:v>502</c:v>
                </c:pt>
                <c:pt idx="10">
                  <c:v>697</c:v>
                </c:pt>
                <c:pt idx="11">
                  <c:v>808</c:v>
                </c:pt>
                <c:pt idx="12">
                  <c:v>1020</c:v>
                </c:pt>
                <c:pt idx="13">
                  <c:v>859</c:v>
                </c:pt>
                <c:pt idx="14">
                  <c:v>1437</c:v>
                </c:pt>
                <c:pt idx="15">
                  <c:v>460</c:v>
                </c:pt>
                <c:pt idx="16">
                  <c:v>515</c:v>
                </c:pt>
                <c:pt idx="17">
                  <c:v>609</c:v>
                </c:pt>
                <c:pt idx="18">
                  <c:v>862</c:v>
                </c:pt>
                <c:pt idx="19">
                  <c:v>845</c:v>
                </c:pt>
                <c:pt idx="20">
                  <c:v>683</c:v>
                </c:pt>
                <c:pt idx="21">
                  <c:v>865</c:v>
                </c:pt>
                <c:pt idx="22">
                  <c:v>1176</c:v>
                </c:pt>
                <c:pt idx="23">
                  <c:v>585</c:v>
                </c:pt>
                <c:pt idx="24">
                  <c:v>416</c:v>
                </c:pt>
                <c:pt idx="25">
                  <c:v>450</c:v>
                </c:pt>
                <c:pt idx="26">
                  <c:v>581</c:v>
                </c:pt>
                <c:pt idx="27">
                  <c:v>352</c:v>
                </c:pt>
                <c:pt idx="28">
                  <c:v>600</c:v>
                </c:pt>
                <c:pt idx="29">
                  <c:v>360</c:v>
                </c:pt>
                <c:pt idx="30">
                  <c:v>417</c:v>
                </c:pt>
                <c:pt idx="31">
                  <c:v>517</c:v>
                </c:pt>
                <c:pt idx="32">
                  <c:v>837</c:v>
                </c:pt>
                <c:pt idx="33">
                  <c:v>736</c:v>
                </c:pt>
                <c:pt idx="34">
                  <c:v>1533</c:v>
                </c:pt>
                <c:pt idx="35">
                  <c:v>517</c:v>
                </c:pt>
                <c:pt idx="36">
                  <c:v>204</c:v>
                </c:pt>
                <c:pt idx="37">
                  <c:v>283</c:v>
                </c:pt>
              </c:numCache>
            </c:numRef>
          </c:val>
        </c:ser>
        <c:dLbls>
          <c:showLegendKey val="0"/>
          <c:showVal val="0"/>
          <c:showCatName val="0"/>
          <c:showSerName val="0"/>
          <c:showPercent val="0"/>
          <c:showBubbleSize val="0"/>
        </c:dLbls>
        <c:gapWidth val="60"/>
        <c:overlap val="100"/>
        <c:axId val="170969728"/>
        <c:axId val="170971520"/>
      </c:barChart>
      <c:lineChart>
        <c:grouping val="standard"/>
        <c:varyColors val="0"/>
        <c:ser>
          <c:idx val="1"/>
          <c:order val="0"/>
          <c:tx>
            <c:v>LOESS Trend</c:v>
          </c:tx>
          <c:spPr>
            <a:ln w="12700">
              <a:solidFill>
                <a:srgbClr val="424242"/>
              </a:solidFill>
              <a:prstDash val="lgDash"/>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NSEinside'!$C$8:$C$45</c:f>
              <c:numCache>
                <c:formatCode>General</c:formatCode>
                <c:ptCount val="38"/>
                <c:pt idx="0">
                  <c:v>634.48540292449491</c:v>
                </c:pt>
                <c:pt idx="1">
                  <c:v>627.43568709711269</c:v>
                </c:pt>
                <c:pt idx="2">
                  <c:v>630.6093136230146</c:v>
                </c:pt>
                <c:pt idx="3">
                  <c:v>639.6589791860888</c:v>
                </c:pt>
                <c:pt idx="4">
                  <c:v>696.51113749614433</c:v>
                </c:pt>
                <c:pt idx="5">
                  <c:v>690.0474670459073</c:v>
                </c:pt>
                <c:pt idx="6">
                  <c:v>683.90960269837842</c:v>
                </c:pt>
                <c:pt idx="7">
                  <c:v>646.5012472191039</c:v>
                </c:pt>
                <c:pt idx="8">
                  <c:v>632.1966507482673</c:v>
                </c:pt>
                <c:pt idx="9">
                  <c:v>664.34259630190093</c:v>
                </c:pt>
                <c:pt idx="10">
                  <c:v>713.68422986724624</c:v>
                </c:pt>
                <c:pt idx="11">
                  <c:v>808.38117951167442</c:v>
                </c:pt>
                <c:pt idx="12">
                  <c:v>933.77325593034675</c:v>
                </c:pt>
                <c:pt idx="13">
                  <c:v>1003.4446484905494</c:v>
                </c:pt>
                <c:pt idx="14">
                  <c:v>904.34816860098158</c:v>
                </c:pt>
                <c:pt idx="15">
                  <c:v>779.41948583333169</c:v>
                </c:pt>
                <c:pt idx="16">
                  <c:v>651.96752864715086</c:v>
                </c:pt>
                <c:pt idx="17">
                  <c:v>658.4700012995944</c:v>
                </c:pt>
                <c:pt idx="18">
                  <c:v>740.14750630931746</c:v>
                </c:pt>
                <c:pt idx="19">
                  <c:v>786.21243403575829</c:v>
                </c:pt>
                <c:pt idx="20">
                  <c:v>838.43290577586106</c:v>
                </c:pt>
                <c:pt idx="21">
                  <c:v>868.05754666866778</c:v>
                </c:pt>
                <c:pt idx="22">
                  <c:v>819.37258768185393</c:v>
                </c:pt>
                <c:pt idx="23">
                  <c:v>707.70253683757596</c:v>
                </c:pt>
                <c:pt idx="24">
                  <c:v>560.59619570762072</c:v>
                </c:pt>
                <c:pt idx="25">
                  <c:v>478.57139733843474</c:v>
                </c:pt>
                <c:pt idx="26">
                  <c:v>474.09331456190478</c:v>
                </c:pt>
                <c:pt idx="27">
                  <c:v>484.90163823331704</c:v>
                </c:pt>
                <c:pt idx="28">
                  <c:v>454.67293922210388</c:v>
                </c:pt>
                <c:pt idx="29">
                  <c:v>451.05455637896466</c:v>
                </c:pt>
                <c:pt idx="30">
                  <c:v>488.35712520768357</c:v>
                </c:pt>
                <c:pt idx="31">
                  <c:v>579.60817178069476</c:v>
                </c:pt>
                <c:pt idx="32">
                  <c:v>756.67657141001746</c:v>
                </c:pt>
                <c:pt idx="33">
                  <c:v>922.41060199854121</c:v>
                </c:pt>
                <c:pt idx="34">
                  <c:v>865.56366591064739</c:v>
                </c:pt>
                <c:pt idx="35">
                  <c:v>650.92707236193314</c:v>
                </c:pt>
                <c:pt idx="36">
                  <c:v>425.56654872932177</c:v>
                </c:pt>
                <c:pt idx="37">
                  <c:v>174.53906758778794</c:v>
                </c:pt>
              </c:numCache>
            </c:numRef>
          </c:val>
          <c:smooth val="0"/>
        </c:ser>
        <c:ser>
          <c:idx val="4"/>
          <c:order val="2"/>
          <c:tx>
            <c:v>Goal Bounds</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NSEinside'!$D$8:$D$45</c:f>
              <c:numCache>
                <c:formatCode>#,##0</c:formatCode>
                <c:ptCount val="38"/>
                <c:pt idx="0">
                  <c:v>200</c:v>
                </c:pt>
                <c:pt idx="1">
                  <c:v>200</c:v>
                </c:pt>
                <c:pt idx="2">
                  <c:v>200</c:v>
                </c:pt>
                <c:pt idx="3">
                  <c:v>200</c:v>
                </c:pt>
                <c:pt idx="4">
                  <c:v>200</c:v>
                </c:pt>
                <c:pt idx="5">
                  <c:v>200</c:v>
                </c:pt>
                <c:pt idx="6">
                  <c:v>200</c:v>
                </c:pt>
                <c:pt idx="7">
                  <c:v>200</c:v>
                </c:pt>
                <c:pt idx="8">
                  <c:v>200</c:v>
                </c:pt>
                <c:pt idx="9">
                  <c:v>200</c:v>
                </c:pt>
                <c:pt idx="10">
                  <c:v>200</c:v>
                </c:pt>
                <c:pt idx="11">
                  <c:v>200</c:v>
                </c:pt>
                <c:pt idx="12">
                  <c:v>200</c:v>
                </c:pt>
                <c:pt idx="13">
                  <c:v>200</c:v>
                </c:pt>
                <c:pt idx="14">
                  <c:v>200</c:v>
                </c:pt>
                <c:pt idx="15">
                  <c:v>200</c:v>
                </c:pt>
                <c:pt idx="16">
                  <c:v>200</c:v>
                </c:pt>
                <c:pt idx="17">
                  <c:v>200</c:v>
                </c:pt>
                <c:pt idx="18">
                  <c:v>200</c:v>
                </c:pt>
                <c:pt idx="19">
                  <c:v>200</c:v>
                </c:pt>
                <c:pt idx="20">
                  <c:v>200</c:v>
                </c:pt>
                <c:pt idx="21">
                  <c:v>200</c:v>
                </c:pt>
                <c:pt idx="22">
                  <c:v>200</c:v>
                </c:pt>
                <c:pt idx="23">
                  <c:v>200</c:v>
                </c:pt>
                <c:pt idx="24">
                  <c:v>200</c:v>
                </c:pt>
                <c:pt idx="25">
                  <c:v>200</c:v>
                </c:pt>
                <c:pt idx="26">
                  <c:v>200</c:v>
                </c:pt>
                <c:pt idx="27">
                  <c:v>200</c:v>
                </c:pt>
                <c:pt idx="28">
                  <c:v>200</c:v>
                </c:pt>
                <c:pt idx="29">
                  <c:v>200</c:v>
                </c:pt>
                <c:pt idx="30">
                  <c:v>200</c:v>
                </c:pt>
                <c:pt idx="31">
                  <c:v>200</c:v>
                </c:pt>
                <c:pt idx="32">
                  <c:v>200</c:v>
                </c:pt>
                <c:pt idx="33">
                  <c:v>200</c:v>
                </c:pt>
                <c:pt idx="34">
                  <c:v>200</c:v>
                </c:pt>
                <c:pt idx="35">
                  <c:v>200</c:v>
                </c:pt>
                <c:pt idx="36">
                  <c:v>200</c:v>
                </c:pt>
                <c:pt idx="37">
                  <c:v>200</c:v>
                </c:pt>
              </c:numCache>
            </c:numRef>
          </c:val>
          <c:smooth val="0"/>
        </c:ser>
        <c:ser>
          <c:idx val="5"/>
          <c:order val="3"/>
          <c:tx>
            <c:v>Upper Goal</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NSEinside'!$E$8:$E$45</c:f>
              <c:numCache>
                <c:formatCode>#,##0</c:formatCode>
                <c:ptCount val="38"/>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pt idx="36">
                  <c:v>500</c:v>
                </c:pt>
                <c:pt idx="37">
                  <c:v>500</c:v>
                </c:pt>
              </c:numCache>
            </c:numRef>
          </c:val>
          <c:smooth val="0"/>
        </c:ser>
        <c:dLbls>
          <c:showLegendKey val="0"/>
          <c:showVal val="0"/>
          <c:showCatName val="0"/>
          <c:showSerName val="0"/>
          <c:showPercent val="0"/>
          <c:showBubbleSize val="0"/>
        </c:dLbls>
        <c:marker val="1"/>
        <c:smooth val="0"/>
        <c:axId val="170969728"/>
        <c:axId val="170971520"/>
      </c:lineChart>
      <c:catAx>
        <c:axId val="170969728"/>
        <c:scaling>
          <c:orientation val="minMax"/>
        </c:scaling>
        <c:delete val="0"/>
        <c:axPos val="b"/>
        <c:numFmt formatCode="General" sourceLinked="1"/>
        <c:majorTickMark val="out"/>
        <c:minorTickMark val="none"/>
        <c:tickLblPos val="nextTo"/>
        <c:spPr>
          <a:ln w="12700">
            <a:solidFill>
              <a:srgbClr val="000000"/>
            </a:solidFill>
            <a:prstDash val="solid"/>
          </a:ln>
        </c:spPr>
        <c:txPr>
          <a:bodyPr rot="-5400000" vert="horz"/>
          <a:lstStyle/>
          <a:p>
            <a:pPr>
              <a:defRPr sz="200" b="1" i="0" u="none" strike="noStrike" baseline="0">
                <a:solidFill>
                  <a:srgbClr val="FFFFFF"/>
                </a:solidFill>
                <a:latin typeface="Arial"/>
                <a:ea typeface="Arial"/>
                <a:cs typeface="Arial"/>
              </a:defRPr>
            </a:pPr>
            <a:endParaRPr lang="en-US"/>
          </a:p>
        </c:txPr>
        <c:crossAx val="170971520"/>
        <c:crosses val="autoZero"/>
        <c:auto val="1"/>
        <c:lblAlgn val="ctr"/>
        <c:lblOffset val="0"/>
        <c:tickLblSkip val="1"/>
        <c:tickMarkSkip val="1"/>
        <c:noMultiLvlLbl val="0"/>
      </c:catAx>
      <c:valAx>
        <c:axId val="170971520"/>
        <c:scaling>
          <c:orientation val="minMax"/>
          <c:max val="1535"/>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70969728"/>
        <c:crosses val="autoZero"/>
        <c:crossBetween val="between"/>
        <c:majorUnit val="500"/>
        <c:minorUnit val="200"/>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550"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sz="1100"/>
              <a:t>Montana Creek (Survey)</a:t>
            </a:r>
          </a:p>
        </c:rich>
      </c:tx>
      <c:layout>
        <c:manualLayout>
          <c:xMode val="edge"/>
          <c:yMode val="edge"/>
          <c:x val="0.41339937899919371"/>
          <c:y val="1.7558028710098386E-2"/>
        </c:manualLayout>
      </c:layout>
      <c:overlay val="0"/>
      <c:spPr>
        <a:noFill/>
        <a:ln w="25400">
          <a:noFill/>
        </a:ln>
      </c:spPr>
    </c:title>
    <c:autoTitleDeleted val="0"/>
    <c:plotArea>
      <c:layout>
        <c:manualLayout>
          <c:layoutTarget val="inner"/>
          <c:xMode val="edge"/>
          <c:yMode val="edge"/>
          <c:x val="0.12418317808313177"/>
          <c:y val="0.1208655168103987"/>
          <c:w val="0.86764843120100188"/>
          <c:h val="0.53245531808523938"/>
        </c:manualLayout>
      </c:layout>
      <c:barChart>
        <c:barDir val="col"/>
        <c:grouping val="stacked"/>
        <c:varyColors val="0"/>
        <c:ser>
          <c:idx val="0"/>
          <c:order val="1"/>
          <c:tx>
            <c:v>Peak Count</c:v>
          </c:tx>
          <c:spPr>
            <a:solidFill>
              <a:srgbClr val="E3E3E3"/>
            </a:solidFill>
            <a:ln w="12700">
              <a:solidFill>
                <a:srgbClr val="000000"/>
              </a:solidFill>
              <a:prstDash val="solid"/>
            </a:ln>
          </c:spPr>
          <c:invertIfNegative val="0"/>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NSEinside'!$G$8:$G$45</c:f>
              <c:numCache>
                <c:formatCode>#,##0</c:formatCode>
                <c:ptCount val="38"/>
                <c:pt idx="0">
                  <c:v>0</c:v>
                </c:pt>
                <c:pt idx="1">
                  <c:v>227</c:v>
                </c:pt>
                <c:pt idx="2">
                  <c:v>545</c:v>
                </c:pt>
                <c:pt idx="3">
                  <c:v>636</c:v>
                </c:pt>
                <c:pt idx="4">
                  <c:v>581</c:v>
                </c:pt>
                <c:pt idx="5">
                  <c:v>810</c:v>
                </c:pt>
                <c:pt idx="6">
                  <c:v>60</c:v>
                </c:pt>
                <c:pt idx="7">
                  <c:v>314</c:v>
                </c:pt>
                <c:pt idx="8">
                  <c:v>164</c:v>
                </c:pt>
                <c:pt idx="9">
                  <c:v>566</c:v>
                </c:pt>
                <c:pt idx="10">
                  <c:v>1711</c:v>
                </c:pt>
                <c:pt idx="11">
                  <c:v>1415</c:v>
                </c:pt>
                <c:pt idx="12">
                  <c:v>2512</c:v>
                </c:pt>
                <c:pt idx="13">
                  <c:v>1352</c:v>
                </c:pt>
                <c:pt idx="14">
                  <c:v>1829</c:v>
                </c:pt>
                <c:pt idx="15">
                  <c:v>600</c:v>
                </c:pt>
                <c:pt idx="16">
                  <c:v>798</c:v>
                </c:pt>
                <c:pt idx="17">
                  <c:v>1018</c:v>
                </c:pt>
                <c:pt idx="18">
                  <c:v>1160</c:v>
                </c:pt>
                <c:pt idx="19">
                  <c:v>1000</c:v>
                </c:pt>
                <c:pt idx="20">
                  <c:v>961</c:v>
                </c:pt>
                <c:pt idx="21">
                  <c:v>1119</c:v>
                </c:pt>
                <c:pt idx="22">
                  <c:v>2448</c:v>
                </c:pt>
                <c:pt idx="23">
                  <c:v>808</c:v>
                </c:pt>
                <c:pt idx="24">
                  <c:v>364</c:v>
                </c:pt>
                <c:pt idx="25">
                  <c:v>351</c:v>
                </c:pt>
                <c:pt idx="26">
                  <c:v>1110</c:v>
                </c:pt>
                <c:pt idx="27">
                  <c:v>324</c:v>
                </c:pt>
                <c:pt idx="28">
                  <c:v>405</c:v>
                </c:pt>
                <c:pt idx="29">
                  <c:v>698</c:v>
                </c:pt>
                <c:pt idx="30">
                  <c:v>630</c:v>
                </c:pt>
                <c:pt idx="31">
                  <c:v>709</c:v>
                </c:pt>
                <c:pt idx="32">
                  <c:v>394</c:v>
                </c:pt>
                <c:pt idx="33">
                  <c:v>367</c:v>
                </c:pt>
                <c:pt idx="34">
                  <c:v>911</c:v>
                </c:pt>
                <c:pt idx="35">
                  <c:v>1204</c:v>
                </c:pt>
                <c:pt idx="36">
                  <c:v>717</c:v>
                </c:pt>
                <c:pt idx="37">
                  <c:v>634</c:v>
                </c:pt>
              </c:numCache>
            </c:numRef>
          </c:val>
        </c:ser>
        <c:dLbls>
          <c:showLegendKey val="0"/>
          <c:showVal val="0"/>
          <c:showCatName val="0"/>
          <c:showSerName val="0"/>
          <c:showPercent val="0"/>
          <c:showBubbleSize val="0"/>
        </c:dLbls>
        <c:gapWidth val="60"/>
        <c:overlap val="100"/>
        <c:axId val="98921088"/>
        <c:axId val="98939264"/>
      </c:barChart>
      <c:lineChart>
        <c:grouping val="standard"/>
        <c:varyColors val="0"/>
        <c:ser>
          <c:idx val="1"/>
          <c:order val="0"/>
          <c:tx>
            <c:v>Trend</c:v>
          </c:tx>
          <c:spPr>
            <a:ln w="12700">
              <a:solidFill>
                <a:srgbClr val="424242"/>
              </a:solidFill>
              <a:prstDash val="lgDash"/>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NSEinside'!$H$8:$H$45</c:f>
              <c:numCache>
                <c:formatCode>General</c:formatCode>
                <c:ptCount val="38"/>
                <c:pt idx="1">
                  <c:v>350.34537876065792</c:v>
                </c:pt>
                <c:pt idx="2">
                  <c:v>449.48488016945714</c:v>
                </c:pt>
                <c:pt idx="3">
                  <c:v>536.30835176717255</c:v>
                </c:pt>
                <c:pt idx="4">
                  <c:v>598.08343920078187</c:v>
                </c:pt>
                <c:pt idx="5">
                  <c:v>491.96236497290613</c:v>
                </c:pt>
                <c:pt idx="6">
                  <c:v>379.94484554351465</c:v>
                </c:pt>
                <c:pt idx="7">
                  <c:v>285.26060129064768</c:v>
                </c:pt>
                <c:pt idx="8">
                  <c:v>449.90271759218331</c:v>
                </c:pt>
                <c:pt idx="9">
                  <c:v>816.22670058615995</c:v>
                </c:pt>
                <c:pt idx="10">
                  <c:v>1266.9081297379664</c:v>
                </c:pt>
                <c:pt idx="11">
                  <c:v>1680.8958761547656</c:v>
                </c:pt>
                <c:pt idx="12">
                  <c:v>1784.8576725503963</c:v>
                </c:pt>
                <c:pt idx="13">
                  <c:v>1702.765990978779</c:v>
                </c:pt>
                <c:pt idx="14">
                  <c:v>1356.7874345858017</c:v>
                </c:pt>
                <c:pt idx="15">
                  <c:v>1082.9253572733205</c:v>
                </c:pt>
                <c:pt idx="16">
                  <c:v>943.01566652801534</c:v>
                </c:pt>
                <c:pt idx="17">
                  <c:v>954.37839334053922</c:v>
                </c:pt>
                <c:pt idx="18">
                  <c:v>1026.4412790108215</c:v>
                </c:pt>
                <c:pt idx="19">
                  <c:v>1044.7300480982622</c:v>
                </c:pt>
                <c:pt idx="20">
                  <c:v>1180.1989553406834</c:v>
                </c:pt>
                <c:pt idx="21">
                  <c:v>1376.204294412757</c:v>
                </c:pt>
                <c:pt idx="22">
                  <c:v>1329.4985048859455</c:v>
                </c:pt>
                <c:pt idx="23">
                  <c:v>1100.0292622082482</c:v>
                </c:pt>
                <c:pt idx="24">
                  <c:v>757.6549240129516</c:v>
                </c:pt>
                <c:pt idx="25">
                  <c:v>591.95286861481509</c:v>
                </c:pt>
                <c:pt idx="26">
                  <c:v>568.7059791955329</c:v>
                </c:pt>
                <c:pt idx="27">
                  <c:v>586.40793265075445</c:v>
                </c:pt>
                <c:pt idx="28">
                  <c:v>552.40393568523984</c:v>
                </c:pt>
                <c:pt idx="29">
                  <c:v>569.12521704873939</c:v>
                </c:pt>
                <c:pt idx="30">
                  <c:v>621.56379743497405</c:v>
                </c:pt>
                <c:pt idx="31">
                  <c:v>572.66503289528521</c:v>
                </c:pt>
                <c:pt idx="32">
                  <c:v>543.1796857892873</c:v>
                </c:pt>
                <c:pt idx="33">
                  <c:v>631.35979459952068</c:v>
                </c:pt>
                <c:pt idx="34">
                  <c:v>775.50884702845531</c:v>
                </c:pt>
                <c:pt idx="35">
                  <c:v>794.83098847885879</c:v>
                </c:pt>
                <c:pt idx="36">
                  <c:v>802.50892275611523</c:v>
                </c:pt>
                <c:pt idx="37">
                  <c:v>779.29498287304364</c:v>
                </c:pt>
              </c:numCache>
            </c:numRef>
          </c:val>
          <c:smooth val="0"/>
        </c:ser>
        <c:ser>
          <c:idx val="4"/>
          <c:order val="2"/>
          <c:tx>
            <c:v>Goal Bounds</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NSEinside'!$I$8:$I$45</c:f>
              <c:numCache>
                <c:formatCode>#,##0</c:formatCode>
                <c:ptCount val="38"/>
                <c:pt idx="1">
                  <c:v>400</c:v>
                </c:pt>
                <c:pt idx="2">
                  <c:v>400</c:v>
                </c:pt>
                <c:pt idx="3">
                  <c:v>400</c:v>
                </c:pt>
                <c:pt idx="4">
                  <c:v>400</c:v>
                </c:pt>
                <c:pt idx="5">
                  <c:v>400</c:v>
                </c:pt>
                <c:pt idx="6">
                  <c:v>400</c:v>
                </c:pt>
                <c:pt idx="7">
                  <c:v>400</c:v>
                </c:pt>
                <c:pt idx="8">
                  <c:v>400</c:v>
                </c:pt>
                <c:pt idx="9">
                  <c:v>400</c:v>
                </c:pt>
                <c:pt idx="10">
                  <c:v>400</c:v>
                </c:pt>
                <c:pt idx="11">
                  <c:v>400</c:v>
                </c:pt>
                <c:pt idx="12">
                  <c:v>400</c:v>
                </c:pt>
                <c:pt idx="13">
                  <c:v>400</c:v>
                </c:pt>
                <c:pt idx="14">
                  <c:v>400</c:v>
                </c:pt>
                <c:pt idx="15">
                  <c:v>400</c:v>
                </c:pt>
                <c:pt idx="16">
                  <c:v>400</c:v>
                </c:pt>
                <c:pt idx="17">
                  <c:v>400</c:v>
                </c:pt>
                <c:pt idx="18">
                  <c:v>400</c:v>
                </c:pt>
                <c:pt idx="19">
                  <c:v>400</c:v>
                </c:pt>
                <c:pt idx="20">
                  <c:v>400</c:v>
                </c:pt>
                <c:pt idx="21">
                  <c:v>400</c:v>
                </c:pt>
                <c:pt idx="22">
                  <c:v>400</c:v>
                </c:pt>
                <c:pt idx="23">
                  <c:v>400</c:v>
                </c:pt>
                <c:pt idx="24">
                  <c:v>400</c:v>
                </c:pt>
                <c:pt idx="25">
                  <c:v>400</c:v>
                </c:pt>
                <c:pt idx="26">
                  <c:v>400</c:v>
                </c:pt>
                <c:pt idx="27">
                  <c:v>400</c:v>
                </c:pt>
                <c:pt idx="28">
                  <c:v>400</c:v>
                </c:pt>
                <c:pt idx="29">
                  <c:v>400</c:v>
                </c:pt>
                <c:pt idx="30">
                  <c:v>400</c:v>
                </c:pt>
                <c:pt idx="31">
                  <c:v>400</c:v>
                </c:pt>
                <c:pt idx="32">
                  <c:v>400</c:v>
                </c:pt>
                <c:pt idx="33">
                  <c:v>400</c:v>
                </c:pt>
                <c:pt idx="34">
                  <c:v>400</c:v>
                </c:pt>
                <c:pt idx="35">
                  <c:v>400</c:v>
                </c:pt>
                <c:pt idx="36">
                  <c:v>400</c:v>
                </c:pt>
                <c:pt idx="37">
                  <c:v>400</c:v>
                </c:pt>
              </c:numCache>
            </c:numRef>
          </c:val>
          <c:smooth val="0"/>
        </c:ser>
        <c:ser>
          <c:idx val="5"/>
          <c:order val="3"/>
          <c:tx>
            <c:v>Upper Goal</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NSEinside'!$J$8:$J$45</c:f>
              <c:numCache>
                <c:formatCode>#,##0</c:formatCode>
                <c:ptCount val="38"/>
                <c:pt idx="1">
                  <c:v>1200</c:v>
                </c:pt>
                <c:pt idx="2">
                  <c:v>1200</c:v>
                </c:pt>
                <c:pt idx="3">
                  <c:v>1200</c:v>
                </c:pt>
                <c:pt idx="4">
                  <c:v>1200</c:v>
                </c:pt>
                <c:pt idx="5">
                  <c:v>1200</c:v>
                </c:pt>
                <c:pt idx="6">
                  <c:v>1200</c:v>
                </c:pt>
                <c:pt idx="7">
                  <c:v>1200</c:v>
                </c:pt>
                <c:pt idx="8">
                  <c:v>1200</c:v>
                </c:pt>
                <c:pt idx="9">
                  <c:v>1200</c:v>
                </c:pt>
                <c:pt idx="10">
                  <c:v>1200</c:v>
                </c:pt>
                <c:pt idx="11">
                  <c:v>1200</c:v>
                </c:pt>
                <c:pt idx="12">
                  <c:v>1200</c:v>
                </c:pt>
                <c:pt idx="13">
                  <c:v>1200</c:v>
                </c:pt>
                <c:pt idx="14">
                  <c:v>1200</c:v>
                </c:pt>
                <c:pt idx="15">
                  <c:v>1200</c:v>
                </c:pt>
                <c:pt idx="16">
                  <c:v>1200</c:v>
                </c:pt>
                <c:pt idx="17">
                  <c:v>1200</c:v>
                </c:pt>
                <c:pt idx="18">
                  <c:v>1200</c:v>
                </c:pt>
                <c:pt idx="19">
                  <c:v>1200</c:v>
                </c:pt>
                <c:pt idx="20">
                  <c:v>1200</c:v>
                </c:pt>
                <c:pt idx="21">
                  <c:v>1200</c:v>
                </c:pt>
                <c:pt idx="22">
                  <c:v>1200</c:v>
                </c:pt>
                <c:pt idx="23">
                  <c:v>1200</c:v>
                </c:pt>
                <c:pt idx="24">
                  <c:v>1200</c:v>
                </c:pt>
                <c:pt idx="25">
                  <c:v>1200</c:v>
                </c:pt>
                <c:pt idx="26">
                  <c:v>1200</c:v>
                </c:pt>
                <c:pt idx="27">
                  <c:v>1200</c:v>
                </c:pt>
                <c:pt idx="28">
                  <c:v>1200</c:v>
                </c:pt>
                <c:pt idx="29">
                  <c:v>1200</c:v>
                </c:pt>
                <c:pt idx="30">
                  <c:v>1200</c:v>
                </c:pt>
                <c:pt idx="31">
                  <c:v>1200</c:v>
                </c:pt>
                <c:pt idx="32">
                  <c:v>1200</c:v>
                </c:pt>
                <c:pt idx="33">
                  <c:v>1200</c:v>
                </c:pt>
                <c:pt idx="34">
                  <c:v>1200</c:v>
                </c:pt>
                <c:pt idx="35">
                  <c:v>1200</c:v>
                </c:pt>
                <c:pt idx="36">
                  <c:v>1200</c:v>
                </c:pt>
                <c:pt idx="37">
                  <c:v>1200</c:v>
                </c:pt>
              </c:numCache>
            </c:numRef>
          </c:val>
          <c:smooth val="0"/>
        </c:ser>
        <c:dLbls>
          <c:showLegendKey val="0"/>
          <c:showVal val="0"/>
          <c:showCatName val="0"/>
          <c:showSerName val="0"/>
          <c:showPercent val="0"/>
          <c:showBubbleSize val="0"/>
        </c:dLbls>
        <c:marker val="1"/>
        <c:smooth val="0"/>
        <c:axId val="98921088"/>
        <c:axId val="98939264"/>
      </c:lineChart>
      <c:catAx>
        <c:axId val="98921088"/>
        <c:scaling>
          <c:orientation val="minMax"/>
        </c:scaling>
        <c:delete val="0"/>
        <c:axPos val="b"/>
        <c:numFmt formatCode="General" sourceLinked="1"/>
        <c:majorTickMark val="none"/>
        <c:minorTickMark val="none"/>
        <c:tickLblPos val="nextTo"/>
        <c:spPr>
          <a:ln w="12700">
            <a:solidFill>
              <a:srgbClr val="000000"/>
            </a:solidFill>
            <a:prstDash val="solid"/>
          </a:ln>
        </c:spPr>
        <c:txPr>
          <a:bodyPr rot="-5400000" vert="horz"/>
          <a:lstStyle/>
          <a:p>
            <a:pPr>
              <a:defRPr sz="800" b="1" i="0" u="none" strike="noStrike" baseline="0">
                <a:solidFill>
                  <a:srgbClr val="FFFFFF"/>
                </a:solidFill>
                <a:latin typeface="Arial"/>
                <a:ea typeface="Arial"/>
                <a:cs typeface="Arial"/>
              </a:defRPr>
            </a:pPr>
            <a:endParaRPr lang="en-US"/>
          </a:p>
        </c:txPr>
        <c:crossAx val="98939264"/>
        <c:crosses val="autoZero"/>
        <c:auto val="1"/>
        <c:lblAlgn val="ctr"/>
        <c:lblOffset val="0"/>
        <c:tickLblSkip val="1"/>
        <c:tickMarkSkip val="1"/>
        <c:noMultiLvlLbl val="0"/>
      </c:catAx>
      <c:valAx>
        <c:axId val="98939264"/>
        <c:scaling>
          <c:orientation val="minMax"/>
          <c:max val="26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98921088"/>
        <c:crosses val="autoZero"/>
        <c:crossBetween val="between"/>
        <c:majorUnit val="1000"/>
      </c:valAx>
      <c:spPr>
        <a:solidFill>
          <a:srgbClr val="FFFFFF"/>
        </a:solidFill>
        <a:ln w="25400">
          <a:noFill/>
        </a:ln>
      </c:spPr>
    </c:plotArea>
    <c:plotVisOnly val="1"/>
    <c:dispBlanksAs val="gap"/>
    <c:showDLblsOverMax val="0"/>
  </c:chart>
  <c:spPr>
    <a:no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sz="1100"/>
              <a:t>Berners River</a:t>
            </a:r>
          </a:p>
          <a:p>
            <a:pPr>
              <a:defRPr sz="1100" b="1" i="0" u="none" strike="noStrike" baseline="0">
                <a:solidFill>
                  <a:srgbClr val="000000"/>
                </a:solidFill>
                <a:latin typeface="Arial"/>
                <a:ea typeface="Arial"/>
                <a:cs typeface="Arial"/>
              </a:defRPr>
            </a:pPr>
            <a:r>
              <a:rPr lang="en-US" sz="1100"/>
              <a:t>(Survey)</a:t>
            </a:r>
          </a:p>
        </c:rich>
      </c:tx>
      <c:layout>
        <c:manualLayout>
          <c:xMode val="edge"/>
          <c:yMode val="edge"/>
          <c:x val="0.46088186158113736"/>
          <c:y val="3.61028631457085E-2"/>
        </c:manualLayout>
      </c:layout>
      <c:overlay val="0"/>
      <c:spPr>
        <a:noFill/>
        <a:ln w="25400">
          <a:noFill/>
        </a:ln>
      </c:spPr>
    </c:title>
    <c:autoTitleDeleted val="0"/>
    <c:plotArea>
      <c:layout>
        <c:manualLayout>
          <c:layoutTarget val="inner"/>
          <c:xMode val="edge"/>
          <c:yMode val="edge"/>
          <c:x val="0.12269272529858849"/>
          <c:y val="4.0328774692637105E-2"/>
          <c:w val="0.87079261672095554"/>
          <c:h val="0.59191462909241621"/>
        </c:manualLayout>
      </c:layout>
      <c:barChart>
        <c:barDir val="col"/>
        <c:grouping val="stacked"/>
        <c:varyColors val="0"/>
        <c:ser>
          <c:idx val="0"/>
          <c:order val="1"/>
          <c:tx>
            <c:v>Peak Count</c:v>
          </c:tx>
          <c:spPr>
            <a:solidFill>
              <a:srgbClr val="E3E3E3"/>
            </a:solidFill>
            <a:ln w="12700">
              <a:solidFill>
                <a:srgbClr val="000000"/>
              </a:solidFill>
              <a:prstDash val="solid"/>
            </a:ln>
          </c:spPr>
          <c:invertIfNegative val="0"/>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NSEinside'!$Q$8:$Q$45</c:f>
              <c:numCache>
                <c:formatCode>#,##0</c:formatCode>
                <c:ptCount val="38"/>
                <c:pt idx="0">
                  <c:v>0</c:v>
                </c:pt>
                <c:pt idx="1">
                  <c:v>0</c:v>
                </c:pt>
                <c:pt idx="2">
                  <c:v>7505</c:v>
                </c:pt>
                <c:pt idx="3">
                  <c:v>9840</c:v>
                </c:pt>
                <c:pt idx="4">
                  <c:v>2825</c:v>
                </c:pt>
                <c:pt idx="5">
                  <c:v>6169</c:v>
                </c:pt>
                <c:pt idx="6">
                  <c:v>1752</c:v>
                </c:pt>
                <c:pt idx="7">
                  <c:v>3260</c:v>
                </c:pt>
                <c:pt idx="8">
                  <c:v>2724</c:v>
                </c:pt>
                <c:pt idx="9">
                  <c:v>7509</c:v>
                </c:pt>
                <c:pt idx="10">
                  <c:v>11050</c:v>
                </c:pt>
                <c:pt idx="11">
                  <c:v>11530</c:v>
                </c:pt>
                <c:pt idx="12">
                  <c:v>15300</c:v>
                </c:pt>
                <c:pt idx="13">
                  <c:v>15670</c:v>
                </c:pt>
                <c:pt idx="14">
                  <c:v>15920</c:v>
                </c:pt>
                <c:pt idx="15">
                  <c:v>4945</c:v>
                </c:pt>
                <c:pt idx="16">
                  <c:v>6050</c:v>
                </c:pt>
                <c:pt idx="17">
                  <c:v>10050</c:v>
                </c:pt>
                <c:pt idx="18">
                  <c:v>6802</c:v>
                </c:pt>
                <c:pt idx="19">
                  <c:v>9920</c:v>
                </c:pt>
                <c:pt idx="20">
                  <c:v>10650</c:v>
                </c:pt>
                <c:pt idx="21">
                  <c:v>19290</c:v>
                </c:pt>
                <c:pt idx="22">
                  <c:v>27700</c:v>
                </c:pt>
                <c:pt idx="23">
                  <c:v>10110</c:v>
                </c:pt>
                <c:pt idx="24">
                  <c:v>14450</c:v>
                </c:pt>
                <c:pt idx="25">
                  <c:v>5220</c:v>
                </c:pt>
                <c:pt idx="26">
                  <c:v>5470</c:v>
                </c:pt>
                <c:pt idx="27">
                  <c:v>3915</c:v>
                </c:pt>
                <c:pt idx="28">
                  <c:v>6870</c:v>
                </c:pt>
                <c:pt idx="29">
                  <c:v>4230</c:v>
                </c:pt>
                <c:pt idx="30">
                  <c:v>7520</c:v>
                </c:pt>
                <c:pt idx="31">
                  <c:v>6050</c:v>
                </c:pt>
                <c:pt idx="32">
                  <c:v>5480</c:v>
                </c:pt>
                <c:pt idx="33">
                  <c:v>6280</c:v>
                </c:pt>
                <c:pt idx="34">
                  <c:v>15480</c:v>
                </c:pt>
                <c:pt idx="35">
                  <c:v>9940</c:v>
                </c:pt>
                <c:pt idx="36">
                  <c:v>6733</c:v>
                </c:pt>
                <c:pt idx="37">
                  <c:v>7040</c:v>
                </c:pt>
              </c:numCache>
            </c:numRef>
          </c:val>
        </c:ser>
        <c:dLbls>
          <c:showLegendKey val="0"/>
          <c:showVal val="0"/>
          <c:showCatName val="0"/>
          <c:showSerName val="0"/>
          <c:showPercent val="0"/>
          <c:showBubbleSize val="0"/>
        </c:dLbls>
        <c:gapWidth val="60"/>
        <c:overlap val="100"/>
        <c:axId val="98978432"/>
        <c:axId val="98980224"/>
      </c:barChart>
      <c:lineChart>
        <c:grouping val="standard"/>
        <c:varyColors val="0"/>
        <c:ser>
          <c:idx val="1"/>
          <c:order val="0"/>
          <c:tx>
            <c:v>Trend</c:v>
          </c:tx>
          <c:spPr>
            <a:ln w="12700">
              <a:solidFill>
                <a:srgbClr val="424242"/>
              </a:solidFill>
              <a:prstDash val="lgDash"/>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NSEinside'!$R$8:$R$45</c:f>
              <c:numCache>
                <c:formatCode>General</c:formatCode>
                <c:ptCount val="38"/>
                <c:pt idx="2" formatCode="#,##0">
                  <c:v>8490.504997243992</c:v>
                </c:pt>
                <c:pt idx="3" formatCode="#,##0">
                  <c:v>7107.7704522732984</c:v>
                </c:pt>
                <c:pt idx="4" formatCode="#,##0">
                  <c:v>5796.9119280658488</c:v>
                </c:pt>
                <c:pt idx="5" formatCode="#,##0">
                  <c:v>4255.4327170485194</c:v>
                </c:pt>
                <c:pt idx="6" formatCode="#,##0">
                  <c:v>3475.6948779551876</c:v>
                </c:pt>
                <c:pt idx="7" formatCode="#,##0">
                  <c:v>3452.1342319568375</c:v>
                </c:pt>
                <c:pt idx="8" formatCode="#,##0">
                  <c:v>4824.024535619963</c:v>
                </c:pt>
                <c:pt idx="9" formatCode="#,##0">
                  <c:v>7167.2440454288999</c:v>
                </c:pt>
                <c:pt idx="10" formatCode="#,##0">
                  <c:v>9857.3837780889044</c:v>
                </c:pt>
                <c:pt idx="11" formatCode="#,##0">
                  <c:v>12385.414948808473</c:v>
                </c:pt>
                <c:pt idx="12" formatCode="#,##0">
                  <c:v>14065.093142643398</c:v>
                </c:pt>
                <c:pt idx="13" formatCode="#,##0">
                  <c:v>14151.93142284412</c:v>
                </c:pt>
                <c:pt idx="14" formatCode="#,##0">
                  <c:v>11992.505798842078</c:v>
                </c:pt>
                <c:pt idx="15" formatCode="#,##0">
                  <c:v>9625.9920813446552</c:v>
                </c:pt>
                <c:pt idx="16" formatCode="#,##0">
                  <c:v>7855.0095239560969</c:v>
                </c:pt>
                <c:pt idx="17" formatCode="#,##0">
                  <c:v>7667.9348385837684</c:v>
                </c:pt>
                <c:pt idx="18" formatCode="#,##0">
                  <c:v>8743.9176403677084</c:v>
                </c:pt>
                <c:pt idx="19" formatCode="#,##0">
                  <c:v>10258.263998296667</c:v>
                </c:pt>
                <c:pt idx="20" formatCode="#,##0">
                  <c:v>13998.922407880746</c:v>
                </c:pt>
                <c:pt idx="21" formatCode="#,##0">
                  <c:v>17375.030121737575</c:v>
                </c:pt>
                <c:pt idx="22" formatCode="#,##0">
                  <c:v>18002.339796564545</c:v>
                </c:pt>
                <c:pt idx="23" formatCode="#,##0">
                  <c:v>16161.767102517577</c:v>
                </c:pt>
                <c:pt idx="24" formatCode="#,##0">
                  <c:v>11398.078276486518</c:v>
                </c:pt>
                <c:pt idx="25" formatCode="#,##0">
                  <c:v>8009.2286993873913</c:v>
                </c:pt>
                <c:pt idx="26" formatCode="#,##0">
                  <c:v>6045.7842824206891</c:v>
                </c:pt>
                <c:pt idx="27" formatCode="#,##0">
                  <c:v>5233.3863589134635</c:v>
                </c:pt>
                <c:pt idx="28" formatCode="#,##0">
                  <c:v>5360.4822550346635</c:v>
                </c:pt>
                <c:pt idx="29" formatCode="#,##0">
                  <c:v>5900.9476615897574</c:v>
                </c:pt>
                <c:pt idx="30" formatCode="#,##0">
                  <c:v>6030.4594992745988</c:v>
                </c:pt>
                <c:pt idx="31" formatCode="#,##0">
                  <c:v>6121.6611964581389</c:v>
                </c:pt>
                <c:pt idx="32" formatCode="#,##0">
                  <c:v>7035.8980642535344</c:v>
                </c:pt>
                <c:pt idx="33" formatCode="#,##0">
                  <c:v>8776.8239170942161</c:v>
                </c:pt>
                <c:pt idx="34" formatCode="#,##0">
                  <c:v>9825.1648633505647</c:v>
                </c:pt>
                <c:pt idx="35" formatCode="#,##0">
                  <c:v>9182.3682647988262</c:v>
                </c:pt>
                <c:pt idx="36" formatCode="#,##0">
                  <c:v>8351.2075946646655</c:v>
                </c:pt>
                <c:pt idx="37" formatCode="#,##0">
                  <c:v>7180.4979698385432</c:v>
                </c:pt>
              </c:numCache>
            </c:numRef>
          </c:val>
          <c:smooth val="0"/>
        </c:ser>
        <c:ser>
          <c:idx val="4"/>
          <c:order val="2"/>
          <c:tx>
            <c:v>Goal Bounds</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NSEinside'!$V$8:$V$45</c:f>
              <c:numCache>
                <c:formatCode>General</c:formatCode>
                <c:ptCount val="38"/>
                <c:pt idx="2" formatCode="#,##0">
                  <c:v>3600</c:v>
                </c:pt>
                <c:pt idx="3" formatCode="#,##0">
                  <c:v>3600</c:v>
                </c:pt>
                <c:pt idx="4" formatCode="#,##0">
                  <c:v>3600</c:v>
                </c:pt>
                <c:pt idx="5" formatCode="#,##0">
                  <c:v>3600</c:v>
                </c:pt>
                <c:pt idx="6" formatCode="#,##0">
                  <c:v>3600</c:v>
                </c:pt>
                <c:pt idx="7" formatCode="#,##0">
                  <c:v>3600</c:v>
                </c:pt>
                <c:pt idx="8" formatCode="#,##0">
                  <c:v>3600</c:v>
                </c:pt>
                <c:pt idx="9" formatCode="#,##0">
                  <c:v>3600</c:v>
                </c:pt>
                <c:pt idx="10" formatCode="#,##0">
                  <c:v>3600</c:v>
                </c:pt>
                <c:pt idx="11" formatCode="#,##0">
                  <c:v>3600</c:v>
                </c:pt>
                <c:pt idx="12" formatCode="#,##0">
                  <c:v>3600</c:v>
                </c:pt>
                <c:pt idx="13" formatCode="#,##0">
                  <c:v>3600</c:v>
                </c:pt>
                <c:pt idx="14" formatCode="#,##0">
                  <c:v>3600</c:v>
                </c:pt>
                <c:pt idx="15" formatCode="#,##0">
                  <c:v>3600</c:v>
                </c:pt>
                <c:pt idx="16" formatCode="#,##0">
                  <c:v>3600</c:v>
                </c:pt>
                <c:pt idx="17" formatCode="#,##0">
                  <c:v>3600</c:v>
                </c:pt>
                <c:pt idx="18" formatCode="#,##0">
                  <c:v>3600</c:v>
                </c:pt>
                <c:pt idx="19" formatCode="#,##0">
                  <c:v>3600</c:v>
                </c:pt>
                <c:pt idx="20" formatCode="#,##0">
                  <c:v>3600</c:v>
                </c:pt>
                <c:pt idx="21" formatCode="#,##0">
                  <c:v>3600</c:v>
                </c:pt>
                <c:pt idx="22" formatCode="#,##0">
                  <c:v>3600</c:v>
                </c:pt>
                <c:pt idx="23" formatCode="#,##0">
                  <c:v>3600</c:v>
                </c:pt>
                <c:pt idx="24" formatCode="#,##0">
                  <c:v>3600</c:v>
                </c:pt>
                <c:pt idx="25" formatCode="#,##0">
                  <c:v>3600</c:v>
                </c:pt>
                <c:pt idx="26" formatCode="#,##0">
                  <c:v>3600</c:v>
                </c:pt>
                <c:pt idx="27" formatCode="#,##0">
                  <c:v>3600</c:v>
                </c:pt>
                <c:pt idx="28" formatCode="#,##0">
                  <c:v>3600</c:v>
                </c:pt>
                <c:pt idx="29" formatCode="#,##0">
                  <c:v>3600</c:v>
                </c:pt>
                <c:pt idx="30" formatCode="#,##0">
                  <c:v>3600</c:v>
                </c:pt>
                <c:pt idx="31" formatCode="#,##0">
                  <c:v>3600</c:v>
                </c:pt>
                <c:pt idx="32" formatCode="#,##0">
                  <c:v>3600</c:v>
                </c:pt>
                <c:pt idx="33" formatCode="#,##0">
                  <c:v>3600</c:v>
                </c:pt>
                <c:pt idx="34" formatCode="#,##0">
                  <c:v>3600</c:v>
                </c:pt>
                <c:pt idx="35" formatCode="#,##0">
                  <c:v>3600</c:v>
                </c:pt>
                <c:pt idx="36" formatCode="#,##0">
                  <c:v>3600</c:v>
                </c:pt>
                <c:pt idx="37" formatCode="#,##0">
                  <c:v>3600</c:v>
                </c:pt>
              </c:numCache>
            </c:numRef>
          </c:val>
          <c:smooth val="0"/>
        </c:ser>
        <c:ser>
          <c:idx val="5"/>
          <c:order val="3"/>
          <c:tx>
            <c:v>Upper Goal</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NSEinside'!$W$8:$W$45</c:f>
              <c:numCache>
                <c:formatCode>General</c:formatCode>
                <c:ptCount val="38"/>
                <c:pt idx="2" formatCode="#,##0">
                  <c:v>8100</c:v>
                </c:pt>
                <c:pt idx="3" formatCode="#,##0">
                  <c:v>8100</c:v>
                </c:pt>
                <c:pt idx="4" formatCode="#,##0">
                  <c:v>8100</c:v>
                </c:pt>
                <c:pt idx="5" formatCode="#,##0">
                  <c:v>8100</c:v>
                </c:pt>
                <c:pt idx="6" formatCode="#,##0">
                  <c:v>8100</c:v>
                </c:pt>
                <c:pt idx="7" formatCode="#,##0">
                  <c:v>8100</c:v>
                </c:pt>
                <c:pt idx="8" formatCode="#,##0">
                  <c:v>8100</c:v>
                </c:pt>
                <c:pt idx="9" formatCode="#,##0">
                  <c:v>8100</c:v>
                </c:pt>
                <c:pt idx="10" formatCode="#,##0">
                  <c:v>8100</c:v>
                </c:pt>
                <c:pt idx="11" formatCode="#,##0">
                  <c:v>8100</c:v>
                </c:pt>
                <c:pt idx="12" formatCode="#,##0">
                  <c:v>8100</c:v>
                </c:pt>
                <c:pt idx="13" formatCode="#,##0">
                  <c:v>8100</c:v>
                </c:pt>
                <c:pt idx="14" formatCode="#,##0">
                  <c:v>8100</c:v>
                </c:pt>
                <c:pt idx="15" formatCode="#,##0">
                  <c:v>8100</c:v>
                </c:pt>
                <c:pt idx="16" formatCode="#,##0">
                  <c:v>8100</c:v>
                </c:pt>
                <c:pt idx="17" formatCode="#,##0">
                  <c:v>8100</c:v>
                </c:pt>
                <c:pt idx="18" formatCode="#,##0">
                  <c:v>8100</c:v>
                </c:pt>
                <c:pt idx="19" formatCode="#,##0">
                  <c:v>8100</c:v>
                </c:pt>
                <c:pt idx="20" formatCode="#,##0">
                  <c:v>8100</c:v>
                </c:pt>
                <c:pt idx="21" formatCode="#,##0">
                  <c:v>8100</c:v>
                </c:pt>
                <c:pt idx="22" formatCode="#,##0">
                  <c:v>8100</c:v>
                </c:pt>
                <c:pt idx="23" formatCode="#,##0">
                  <c:v>8100</c:v>
                </c:pt>
                <c:pt idx="24" formatCode="#,##0">
                  <c:v>8100</c:v>
                </c:pt>
                <c:pt idx="25" formatCode="#,##0">
                  <c:v>8100</c:v>
                </c:pt>
                <c:pt idx="26" formatCode="#,##0">
                  <c:v>8100</c:v>
                </c:pt>
                <c:pt idx="27" formatCode="#,##0">
                  <c:v>8100</c:v>
                </c:pt>
                <c:pt idx="28" formatCode="#,##0">
                  <c:v>8100</c:v>
                </c:pt>
                <c:pt idx="29" formatCode="#,##0">
                  <c:v>8100</c:v>
                </c:pt>
                <c:pt idx="30" formatCode="#,##0">
                  <c:v>8100</c:v>
                </c:pt>
                <c:pt idx="31" formatCode="#,##0">
                  <c:v>8100</c:v>
                </c:pt>
                <c:pt idx="32" formatCode="#,##0">
                  <c:v>8100</c:v>
                </c:pt>
                <c:pt idx="33" formatCode="#,##0">
                  <c:v>8100</c:v>
                </c:pt>
                <c:pt idx="34" formatCode="#,##0">
                  <c:v>8100</c:v>
                </c:pt>
                <c:pt idx="35" formatCode="#,##0">
                  <c:v>8100</c:v>
                </c:pt>
                <c:pt idx="36" formatCode="#,##0">
                  <c:v>8100</c:v>
                </c:pt>
                <c:pt idx="37" formatCode="#,##0">
                  <c:v>8100</c:v>
                </c:pt>
              </c:numCache>
            </c:numRef>
          </c:val>
          <c:smooth val="0"/>
        </c:ser>
        <c:dLbls>
          <c:showLegendKey val="0"/>
          <c:showVal val="0"/>
          <c:showCatName val="0"/>
          <c:showSerName val="0"/>
          <c:showPercent val="0"/>
          <c:showBubbleSize val="0"/>
        </c:dLbls>
        <c:marker val="1"/>
        <c:smooth val="0"/>
        <c:axId val="98978432"/>
        <c:axId val="98980224"/>
      </c:lineChart>
      <c:catAx>
        <c:axId val="98978432"/>
        <c:scaling>
          <c:orientation val="minMax"/>
        </c:scaling>
        <c:delete val="0"/>
        <c:axPos val="b"/>
        <c:numFmt formatCode="General" sourceLinked="1"/>
        <c:majorTickMark val="none"/>
        <c:minorTickMark val="none"/>
        <c:tickLblPos val="nextTo"/>
        <c:spPr>
          <a:ln w="12700">
            <a:solidFill>
              <a:srgbClr val="000000"/>
            </a:solidFill>
            <a:prstDash val="solid"/>
          </a:ln>
        </c:spPr>
        <c:txPr>
          <a:bodyPr rot="-5400000" vert="horz"/>
          <a:lstStyle/>
          <a:p>
            <a:pPr>
              <a:defRPr sz="800" b="1" i="0" u="none" strike="noStrike" baseline="0">
                <a:solidFill>
                  <a:srgbClr val="FFFFFF"/>
                </a:solidFill>
                <a:latin typeface="Arial"/>
                <a:ea typeface="Arial"/>
                <a:cs typeface="Arial"/>
              </a:defRPr>
            </a:pPr>
            <a:endParaRPr lang="en-US"/>
          </a:p>
        </c:txPr>
        <c:crossAx val="98980224"/>
        <c:crosses val="autoZero"/>
        <c:auto val="1"/>
        <c:lblAlgn val="ctr"/>
        <c:lblOffset val="100"/>
        <c:tickLblSkip val="1"/>
        <c:tickMarkSkip val="1"/>
        <c:noMultiLvlLbl val="0"/>
      </c:catAx>
      <c:valAx>
        <c:axId val="98980224"/>
        <c:scaling>
          <c:orientation val="minMax"/>
          <c:max val="28000"/>
          <c:min val="0"/>
        </c:scaling>
        <c:delete val="0"/>
        <c:axPos val="l"/>
        <c:title>
          <c:tx>
            <c:rich>
              <a:bodyPr/>
              <a:lstStyle/>
              <a:p>
                <a:pPr>
                  <a:defRPr sz="1200" b="1" i="0" u="none" strike="noStrike" baseline="0">
                    <a:solidFill>
                      <a:srgbClr val="000000"/>
                    </a:solidFill>
                    <a:latin typeface="Arial"/>
                    <a:ea typeface="Arial"/>
                    <a:cs typeface="Arial"/>
                  </a:defRPr>
                </a:pPr>
                <a:r>
                  <a:rPr lang="en-US"/>
                  <a:t>Spawners</a:t>
                </a:r>
              </a:p>
            </c:rich>
          </c:tx>
          <c:layout>
            <c:manualLayout>
              <c:xMode val="edge"/>
              <c:yMode val="edge"/>
              <c:x val="1.0857763300760044E-3"/>
              <c:y val="7.073004763293477E-3"/>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98978432"/>
        <c:crosses val="autoZero"/>
        <c:crossBetween val="between"/>
        <c:majorUnit val="5000"/>
        <c:minorUnit val="500"/>
      </c:valAx>
      <c:spPr>
        <a:solidFill>
          <a:srgbClr val="FFFFFF"/>
        </a:solidFill>
        <a:ln w="25400">
          <a:noFill/>
        </a:ln>
      </c:spPr>
    </c:plotArea>
    <c:plotVisOnly val="1"/>
    <c:dispBlanksAs val="gap"/>
    <c:showDLblsOverMax val="0"/>
  </c:chart>
  <c:spPr>
    <a:noFill/>
    <a:ln w="9525">
      <a:noFill/>
    </a:ln>
  </c:spPr>
  <c:txPr>
    <a:bodyPr/>
    <a:lstStyle/>
    <a:p>
      <a:pPr>
        <a:defRPr sz="575"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sz="1100"/>
              <a:t>Taku River</a:t>
            </a:r>
          </a:p>
          <a:p>
            <a:pPr>
              <a:defRPr sz="1100" b="1" i="0" u="none" strike="noStrike" baseline="0">
                <a:solidFill>
                  <a:srgbClr val="000000"/>
                </a:solidFill>
                <a:latin typeface="Arial"/>
                <a:ea typeface="Arial"/>
                <a:cs typeface="Arial"/>
              </a:defRPr>
            </a:pPr>
            <a:r>
              <a:rPr lang="en-US" sz="1100"/>
              <a:t>(Mark-Recapture)</a:t>
            </a:r>
          </a:p>
        </c:rich>
      </c:tx>
      <c:layout>
        <c:manualLayout>
          <c:xMode val="edge"/>
          <c:yMode val="edge"/>
          <c:x val="0.41495296042540136"/>
          <c:y val="3.236993926483827E-2"/>
        </c:manualLayout>
      </c:layout>
      <c:overlay val="0"/>
      <c:spPr>
        <a:noFill/>
        <a:ln w="25400">
          <a:noFill/>
        </a:ln>
      </c:spPr>
    </c:title>
    <c:autoTitleDeleted val="0"/>
    <c:plotArea>
      <c:layout>
        <c:manualLayout>
          <c:layoutTarget val="inner"/>
          <c:xMode val="edge"/>
          <c:yMode val="edge"/>
          <c:x val="0.12101561168490302"/>
          <c:y val="3.893187264635399E-2"/>
          <c:w val="0.85951426526229679"/>
          <c:h val="0.49250151423379768"/>
        </c:manualLayout>
      </c:layout>
      <c:barChart>
        <c:barDir val="col"/>
        <c:grouping val="stacked"/>
        <c:varyColors val="0"/>
        <c:ser>
          <c:idx val="0"/>
          <c:order val="1"/>
          <c:tx>
            <c:v>Total Escapement</c:v>
          </c:tx>
          <c:spPr>
            <a:solidFill>
              <a:srgbClr val="E3E3E3"/>
            </a:solidFill>
            <a:ln w="12700">
              <a:solidFill>
                <a:srgbClr val="000000"/>
              </a:solidFill>
              <a:prstDash val="solid"/>
            </a:ln>
          </c:spPr>
          <c:invertIfNegative val="0"/>
          <c:cat>
            <c:numRef>
              <c:f>[10]Rawcounts!$Y$50:$Y$86</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'Fig 4 Table 3 NSEinside'!$AF$8:$AF$45</c:f>
              <c:numCache>
                <c:formatCode>#,##0</c:formatCode>
                <c:ptCount val="38"/>
                <c:pt idx="0">
                  <c:v>0</c:v>
                </c:pt>
                <c:pt idx="1">
                  <c:v>0</c:v>
                </c:pt>
                <c:pt idx="2">
                  <c:v>0</c:v>
                </c:pt>
                <c:pt idx="3">
                  <c:v>0</c:v>
                </c:pt>
                <c:pt idx="4">
                  <c:v>0</c:v>
                </c:pt>
                <c:pt idx="5">
                  <c:v>0</c:v>
                </c:pt>
                <c:pt idx="6">
                  <c:v>0</c:v>
                </c:pt>
                <c:pt idx="7">
                  <c:v>55457</c:v>
                </c:pt>
                <c:pt idx="8">
                  <c:v>39450</c:v>
                </c:pt>
                <c:pt idx="9">
                  <c:v>56808</c:v>
                </c:pt>
                <c:pt idx="10">
                  <c:v>72196</c:v>
                </c:pt>
                <c:pt idx="11">
                  <c:v>127484</c:v>
                </c:pt>
                <c:pt idx="12">
                  <c:v>83729</c:v>
                </c:pt>
                <c:pt idx="13">
                  <c:v>119330</c:v>
                </c:pt>
                <c:pt idx="14">
                  <c:v>96343</c:v>
                </c:pt>
                <c:pt idx="15">
                  <c:v>55710</c:v>
                </c:pt>
                <c:pt idx="16">
                  <c:v>44635</c:v>
                </c:pt>
                <c:pt idx="17">
                  <c:v>32345</c:v>
                </c:pt>
                <c:pt idx="18">
                  <c:v>61382</c:v>
                </c:pt>
                <c:pt idx="19">
                  <c:v>60768</c:v>
                </c:pt>
                <c:pt idx="20">
                  <c:v>64700</c:v>
                </c:pt>
                <c:pt idx="21">
                  <c:v>104394</c:v>
                </c:pt>
                <c:pt idx="22">
                  <c:v>219360</c:v>
                </c:pt>
                <c:pt idx="23">
                  <c:v>183112</c:v>
                </c:pt>
                <c:pt idx="24">
                  <c:v>129327</c:v>
                </c:pt>
                <c:pt idx="25">
                  <c:v>135558</c:v>
                </c:pt>
                <c:pt idx="26">
                  <c:v>122384</c:v>
                </c:pt>
                <c:pt idx="27">
                  <c:v>74246</c:v>
                </c:pt>
                <c:pt idx="28">
                  <c:v>95226</c:v>
                </c:pt>
                <c:pt idx="29">
                  <c:v>103950</c:v>
                </c:pt>
                <c:pt idx="30">
                  <c:v>126830</c:v>
                </c:pt>
                <c:pt idx="31">
                  <c:v>70871</c:v>
                </c:pt>
                <c:pt idx="32">
                  <c:v>70775</c:v>
                </c:pt>
                <c:pt idx="33">
                  <c:v>68117</c:v>
                </c:pt>
                <c:pt idx="34">
                  <c:v>124171</c:v>
                </c:pt>
                <c:pt idx="35">
                  <c:v>60178</c:v>
                </c:pt>
                <c:pt idx="36">
                  <c:v>87704</c:v>
                </c:pt>
                <c:pt idx="37">
                  <c:v>57868</c:v>
                </c:pt>
              </c:numCache>
            </c:numRef>
          </c:val>
        </c:ser>
        <c:dLbls>
          <c:showLegendKey val="0"/>
          <c:showVal val="0"/>
          <c:showCatName val="0"/>
          <c:showSerName val="0"/>
          <c:showPercent val="0"/>
          <c:showBubbleSize val="0"/>
        </c:dLbls>
        <c:gapWidth val="60"/>
        <c:overlap val="100"/>
        <c:axId val="124394496"/>
        <c:axId val="172209280"/>
      </c:barChart>
      <c:lineChart>
        <c:grouping val="standard"/>
        <c:varyColors val="0"/>
        <c:ser>
          <c:idx val="1"/>
          <c:order val="0"/>
          <c:tx>
            <c:v>Trend</c:v>
          </c:tx>
          <c:spPr>
            <a:ln w="12700">
              <a:solidFill>
                <a:srgbClr val="424242"/>
              </a:solidFill>
              <a:prstDash val="lgDash"/>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NSEinside'!$AG$8:$AG$45</c:f>
              <c:numCache>
                <c:formatCode>General</c:formatCode>
                <c:ptCount val="38"/>
                <c:pt idx="7" formatCode="#,##0">
                  <c:v>40507.917932976248</c:v>
                </c:pt>
                <c:pt idx="8" formatCode="#,##0">
                  <c:v>52905.439035643518</c:v>
                </c:pt>
                <c:pt idx="9" formatCode="#,##0">
                  <c:v>66014.082441179722</c:v>
                </c:pt>
                <c:pt idx="10" formatCode="#,##0">
                  <c:v>80303.339345246452</c:v>
                </c:pt>
                <c:pt idx="11" formatCode="#,##0">
                  <c:v>94203.549281419735</c:v>
                </c:pt>
                <c:pt idx="12" formatCode="#,##0">
                  <c:v>104182.8916828662</c:v>
                </c:pt>
                <c:pt idx="13" formatCode="#,##0">
                  <c:v>98759.288533182917</c:v>
                </c:pt>
                <c:pt idx="14" formatCode="#,##0">
                  <c:v>85383.148588670039</c:v>
                </c:pt>
                <c:pt idx="15" formatCode="#,##0">
                  <c:v>67315.917378773695</c:v>
                </c:pt>
                <c:pt idx="16" formatCode="#,##0">
                  <c:v>51172.686232873224</c:v>
                </c:pt>
                <c:pt idx="17" formatCode="#,##0">
                  <c:v>48122.241607723459</c:v>
                </c:pt>
                <c:pt idx="18" formatCode="#,##0">
                  <c:v>52436.286654129923</c:v>
                </c:pt>
                <c:pt idx="19" formatCode="#,##0">
                  <c:v>63454.649340340038</c:v>
                </c:pt>
                <c:pt idx="20" formatCode="#,##0">
                  <c:v>89011.22910598421</c:v>
                </c:pt>
                <c:pt idx="21" formatCode="#,##0">
                  <c:v>127203.74865477928</c:v>
                </c:pt>
                <c:pt idx="22" formatCode="#,##0">
                  <c:v>156108.40560788783</c:v>
                </c:pt>
                <c:pt idx="23" formatCode="#,##0">
                  <c:v>165981.75102236209</c:v>
                </c:pt>
                <c:pt idx="24" formatCode="#,##0">
                  <c:v>153027.72100687728</c:v>
                </c:pt>
                <c:pt idx="25" formatCode="#,##0">
                  <c:v>129206.29545706633</c:v>
                </c:pt>
                <c:pt idx="26" formatCode="#,##0">
                  <c:v>111397.14383608141</c:v>
                </c:pt>
                <c:pt idx="27" formatCode="#,##0">
                  <c:v>101073.3702567018</c:v>
                </c:pt>
                <c:pt idx="28" formatCode="#,##0">
                  <c:v>97963.110010335367</c:v>
                </c:pt>
                <c:pt idx="29" formatCode="#,##0">
                  <c:v>101297.70556754911</c:v>
                </c:pt>
                <c:pt idx="30" formatCode="#,##0">
                  <c:v>97846.186831734696</c:v>
                </c:pt>
                <c:pt idx="31" formatCode="#,##0">
                  <c:v>88227.603839530653</c:v>
                </c:pt>
                <c:pt idx="32" formatCode="#,##0">
                  <c:v>81069.147549855843</c:v>
                </c:pt>
                <c:pt idx="33" formatCode="#,##0">
                  <c:v>82651.1297520394</c:v>
                </c:pt>
                <c:pt idx="34" formatCode="#,##0">
                  <c:v>84401.531267005907</c:v>
                </c:pt>
                <c:pt idx="35" formatCode="#,##0">
                  <c:v>80524.746977644812</c:v>
                </c:pt>
                <c:pt idx="36" formatCode="#,##0">
                  <c:v>73767.326182598044</c:v>
                </c:pt>
                <c:pt idx="37" formatCode="#,##0">
                  <c:v>65972.575381206014</c:v>
                </c:pt>
              </c:numCache>
            </c:numRef>
          </c:val>
          <c:smooth val="0"/>
        </c:ser>
        <c:ser>
          <c:idx val="4"/>
          <c:order val="2"/>
          <c:tx>
            <c:v>Goal Threshold</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NSEinside'!$AH$8:$AH$45</c:f>
              <c:numCache>
                <c:formatCode>General</c:formatCode>
                <c:ptCount val="38"/>
                <c:pt idx="7" formatCode="#,##0">
                  <c:v>50000</c:v>
                </c:pt>
                <c:pt idx="8" formatCode="#,##0">
                  <c:v>50000</c:v>
                </c:pt>
                <c:pt idx="9" formatCode="#,##0">
                  <c:v>50000</c:v>
                </c:pt>
                <c:pt idx="10" formatCode="#,##0">
                  <c:v>50000</c:v>
                </c:pt>
                <c:pt idx="11" formatCode="#,##0">
                  <c:v>50000</c:v>
                </c:pt>
                <c:pt idx="12" formatCode="#,##0">
                  <c:v>50000</c:v>
                </c:pt>
                <c:pt idx="13" formatCode="#,##0">
                  <c:v>50000</c:v>
                </c:pt>
                <c:pt idx="14" formatCode="#,##0">
                  <c:v>50000</c:v>
                </c:pt>
                <c:pt idx="15" formatCode="#,##0">
                  <c:v>50000</c:v>
                </c:pt>
                <c:pt idx="16" formatCode="#,##0">
                  <c:v>50000</c:v>
                </c:pt>
                <c:pt idx="17" formatCode="#,##0">
                  <c:v>50000</c:v>
                </c:pt>
                <c:pt idx="18" formatCode="#,##0">
                  <c:v>50000</c:v>
                </c:pt>
                <c:pt idx="19" formatCode="#,##0">
                  <c:v>50000</c:v>
                </c:pt>
                <c:pt idx="20" formatCode="#,##0">
                  <c:v>50000</c:v>
                </c:pt>
                <c:pt idx="21" formatCode="#,##0">
                  <c:v>50000</c:v>
                </c:pt>
                <c:pt idx="22" formatCode="#,##0">
                  <c:v>50000</c:v>
                </c:pt>
                <c:pt idx="23" formatCode="#,##0">
                  <c:v>50000</c:v>
                </c:pt>
                <c:pt idx="24" formatCode="#,##0">
                  <c:v>50000</c:v>
                </c:pt>
                <c:pt idx="25" formatCode="#,##0">
                  <c:v>50000</c:v>
                </c:pt>
                <c:pt idx="26" formatCode="#,##0">
                  <c:v>50000</c:v>
                </c:pt>
                <c:pt idx="27" formatCode="#,##0">
                  <c:v>50000</c:v>
                </c:pt>
                <c:pt idx="28" formatCode="#,##0">
                  <c:v>50000</c:v>
                </c:pt>
                <c:pt idx="29" formatCode="#,##0">
                  <c:v>50000</c:v>
                </c:pt>
                <c:pt idx="30" formatCode="#,##0">
                  <c:v>50000</c:v>
                </c:pt>
                <c:pt idx="31" formatCode="#,##0">
                  <c:v>50000</c:v>
                </c:pt>
                <c:pt idx="32" formatCode="#,##0">
                  <c:v>50000</c:v>
                </c:pt>
                <c:pt idx="33" formatCode="#,##0">
                  <c:v>50000</c:v>
                </c:pt>
                <c:pt idx="34" formatCode="#,##0">
                  <c:v>50000</c:v>
                </c:pt>
                <c:pt idx="35" formatCode="#,##0">
                  <c:v>50000</c:v>
                </c:pt>
                <c:pt idx="36" formatCode="#,##0">
                  <c:v>50000</c:v>
                </c:pt>
                <c:pt idx="37" formatCode="#,##0">
                  <c:v>50000</c:v>
                </c:pt>
              </c:numCache>
            </c:numRef>
          </c:val>
          <c:smooth val="0"/>
        </c:ser>
        <c:ser>
          <c:idx val="2"/>
          <c:order val="3"/>
          <c:tx>
            <c:v>Goal Bounds</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NSEinside'!$AI$8:$AI$45</c:f>
              <c:numCache>
                <c:formatCode>General</c:formatCode>
                <c:ptCount val="38"/>
                <c:pt idx="7" formatCode="#,##0">
                  <c:v>90000</c:v>
                </c:pt>
                <c:pt idx="8" formatCode="#,##0">
                  <c:v>90000</c:v>
                </c:pt>
                <c:pt idx="9" formatCode="#,##0">
                  <c:v>90000</c:v>
                </c:pt>
                <c:pt idx="10" formatCode="#,##0">
                  <c:v>90000</c:v>
                </c:pt>
                <c:pt idx="11" formatCode="#,##0">
                  <c:v>90000</c:v>
                </c:pt>
                <c:pt idx="12" formatCode="#,##0">
                  <c:v>90000</c:v>
                </c:pt>
                <c:pt idx="13" formatCode="#,##0">
                  <c:v>90000</c:v>
                </c:pt>
                <c:pt idx="14" formatCode="#,##0">
                  <c:v>90000</c:v>
                </c:pt>
                <c:pt idx="15" formatCode="#,##0">
                  <c:v>90000</c:v>
                </c:pt>
                <c:pt idx="16" formatCode="#,##0">
                  <c:v>90000</c:v>
                </c:pt>
                <c:pt idx="17" formatCode="#,##0">
                  <c:v>90000</c:v>
                </c:pt>
                <c:pt idx="18" formatCode="#,##0">
                  <c:v>90000</c:v>
                </c:pt>
                <c:pt idx="19" formatCode="#,##0">
                  <c:v>90000</c:v>
                </c:pt>
                <c:pt idx="20" formatCode="#,##0">
                  <c:v>90000</c:v>
                </c:pt>
                <c:pt idx="21" formatCode="#,##0">
                  <c:v>90000</c:v>
                </c:pt>
                <c:pt idx="22" formatCode="#,##0">
                  <c:v>90000</c:v>
                </c:pt>
                <c:pt idx="23" formatCode="#,##0">
                  <c:v>90000</c:v>
                </c:pt>
                <c:pt idx="24" formatCode="#,##0">
                  <c:v>90000</c:v>
                </c:pt>
                <c:pt idx="25" formatCode="#,##0">
                  <c:v>90000</c:v>
                </c:pt>
                <c:pt idx="26" formatCode="#,##0">
                  <c:v>90000</c:v>
                </c:pt>
                <c:pt idx="27" formatCode="#,##0">
                  <c:v>90000</c:v>
                </c:pt>
                <c:pt idx="28" formatCode="#,##0">
                  <c:v>90000</c:v>
                </c:pt>
                <c:pt idx="29" formatCode="#,##0">
                  <c:v>90000</c:v>
                </c:pt>
                <c:pt idx="30" formatCode="#,##0">
                  <c:v>90000</c:v>
                </c:pt>
                <c:pt idx="31" formatCode="#,##0">
                  <c:v>90000</c:v>
                </c:pt>
                <c:pt idx="32" formatCode="#,##0">
                  <c:v>90000</c:v>
                </c:pt>
                <c:pt idx="33" formatCode="#,##0">
                  <c:v>90000</c:v>
                </c:pt>
                <c:pt idx="34" formatCode="#,##0">
                  <c:v>90000</c:v>
                </c:pt>
                <c:pt idx="35" formatCode="#,##0">
                  <c:v>90000</c:v>
                </c:pt>
                <c:pt idx="36" formatCode="#,##0">
                  <c:v>90000</c:v>
                </c:pt>
                <c:pt idx="37" formatCode="#,##0">
                  <c:v>90000</c:v>
                </c:pt>
              </c:numCache>
            </c:numRef>
          </c:val>
          <c:smooth val="0"/>
        </c:ser>
        <c:dLbls>
          <c:showLegendKey val="0"/>
          <c:showVal val="0"/>
          <c:showCatName val="0"/>
          <c:showSerName val="0"/>
          <c:showPercent val="0"/>
          <c:showBubbleSize val="0"/>
        </c:dLbls>
        <c:marker val="1"/>
        <c:smooth val="0"/>
        <c:axId val="124394496"/>
        <c:axId val="172209280"/>
      </c:lineChart>
      <c:catAx>
        <c:axId val="124394496"/>
        <c:scaling>
          <c:orientation val="minMax"/>
        </c:scaling>
        <c:delete val="0"/>
        <c:axPos val="b"/>
        <c:title>
          <c:tx>
            <c:rich>
              <a:bodyPr/>
              <a:lstStyle/>
              <a:p>
                <a:pPr>
                  <a:defRPr sz="1100" b="1" i="0" u="none" strike="noStrike" baseline="0">
                    <a:solidFill>
                      <a:srgbClr val="000000"/>
                    </a:solidFill>
                    <a:latin typeface="Arial"/>
                    <a:ea typeface="Arial"/>
                    <a:cs typeface="Arial"/>
                  </a:defRPr>
                </a:pPr>
                <a:r>
                  <a:rPr lang="en-US"/>
                  <a:t>Year</a:t>
                </a:r>
              </a:p>
            </c:rich>
          </c:tx>
          <c:layout>
            <c:manualLayout>
              <c:xMode val="edge"/>
              <c:yMode val="edge"/>
              <c:x val="0.52188004908477348"/>
              <c:y val="0.75396401536764424"/>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172209280"/>
        <c:crosses val="autoZero"/>
        <c:auto val="1"/>
        <c:lblAlgn val="ctr"/>
        <c:lblOffset val="100"/>
        <c:tickLblSkip val="2"/>
        <c:tickMarkSkip val="1"/>
        <c:noMultiLvlLbl val="0"/>
      </c:catAx>
      <c:valAx>
        <c:axId val="172209280"/>
        <c:scaling>
          <c:orientation val="minMax"/>
          <c:max val="2200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24394496"/>
        <c:crosses val="autoZero"/>
        <c:crossBetween val="between"/>
        <c:majorUnit val="50000"/>
      </c:valAx>
      <c:spPr>
        <a:solidFill>
          <a:srgbClr val="FFFFFF"/>
        </a:solidFill>
        <a:ln w="25400">
          <a:noFill/>
        </a:ln>
      </c:spPr>
    </c:plotArea>
    <c:legend>
      <c:legendPos val="r"/>
      <c:legendEntry>
        <c:idx val="2"/>
        <c:delete val="1"/>
      </c:legendEntry>
      <c:layout>
        <c:manualLayout>
          <c:xMode val="edge"/>
          <c:yMode val="edge"/>
          <c:x val="4.64648737089682E-2"/>
          <c:y val="0.85592250244081802"/>
          <c:w val="0.94921668882298793"/>
          <c:h val="0.13995967895317429"/>
        </c:manualLayout>
      </c:layout>
      <c:overlay val="0"/>
      <c:spPr>
        <a:noFill/>
        <a:ln w="25400">
          <a:noFill/>
        </a:ln>
      </c:spPr>
      <c:txPr>
        <a:bodyPr/>
        <a:lstStyle/>
        <a:p>
          <a:pPr>
            <a:defRPr sz="1010" b="1"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sz="1100"/>
              <a:t>Peterson Creek (Survey)</a:t>
            </a:r>
          </a:p>
        </c:rich>
      </c:tx>
      <c:layout>
        <c:manualLayout>
          <c:xMode val="edge"/>
          <c:yMode val="edge"/>
          <c:x val="0.41403552940874239"/>
          <c:y val="9.2059676750932448E-2"/>
        </c:manualLayout>
      </c:layout>
      <c:overlay val="0"/>
      <c:spPr>
        <a:noFill/>
        <a:ln w="25400">
          <a:noFill/>
        </a:ln>
      </c:spPr>
    </c:title>
    <c:autoTitleDeleted val="0"/>
    <c:plotArea>
      <c:layout>
        <c:manualLayout>
          <c:layoutTarget val="inner"/>
          <c:xMode val="edge"/>
          <c:yMode val="edge"/>
          <c:x val="0.12339794393563773"/>
          <c:y val="5.7289474329727474E-2"/>
          <c:w val="0.86848603957131787"/>
          <c:h val="0.76080064758260357"/>
        </c:manualLayout>
      </c:layout>
      <c:barChart>
        <c:barDir val="col"/>
        <c:grouping val="stacked"/>
        <c:varyColors val="0"/>
        <c:ser>
          <c:idx val="0"/>
          <c:order val="1"/>
          <c:tx>
            <c:v>Sum of Peak Counts</c:v>
          </c:tx>
          <c:spPr>
            <a:solidFill>
              <a:srgbClr val="E3E3E3"/>
            </a:solidFill>
            <a:ln w="12700">
              <a:solidFill>
                <a:srgbClr val="000000"/>
              </a:solidFill>
              <a:prstDash val="solid"/>
            </a:ln>
          </c:spPr>
          <c:invertIfNegative val="0"/>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NSEinside'!$L$8:$L$45</c:f>
              <c:numCache>
                <c:formatCode>#,##0</c:formatCode>
                <c:ptCount val="38"/>
                <c:pt idx="0">
                  <c:v>0</c:v>
                </c:pt>
                <c:pt idx="1">
                  <c:v>219</c:v>
                </c:pt>
                <c:pt idx="2">
                  <c:v>320</c:v>
                </c:pt>
                <c:pt idx="3">
                  <c:v>219</c:v>
                </c:pt>
                <c:pt idx="4">
                  <c:v>189</c:v>
                </c:pt>
                <c:pt idx="5">
                  <c:v>276</c:v>
                </c:pt>
                <c:pt idx="6">
                  <c:v>363</c:v>
                </c:pt>
                <c:pt idx="7">
                  <c:v>204</c:v>
                </c:pt>
                <c:pt idx="8">
                  <c:v>542</c:v>
                </c:pt>
                <c:pt idx="9">
                  <c:v>242</c:v>
                </c:pt>
                <c:pt idx="10">
                  <c:v>324</c:v>
                </c:pt>
                <c:pt idx="11">
                  <c:v>410</c:v>
                </c:pt>
                <c:pt idx="12">
                  <c:v>403</c:v>
                </c:pt>
                <c:pt idx="13">
                  <c:v>112</c:v>
                </c:pt>
                <c:pt idx="14">
                  <c:v>318</c:v>
                </c:pt>
                <c:pt idx="15">
                  <c:v>277</c:v>
                </c:pt>
                <c:pt idx="16">
                  <c:v>263</c:v>
                </c:pt>
                <c:pt idx="17">
                  <c:v>186</c:v>
                </c:pt>
                <c:pt idx="18">
                  <c:v>102</c:v>
                </c:pt>
                <c:pt idx="19">
                  <c:v>272</c:v>
                </c:pt>
                <c:pt idx="20">
                  <c:v>202</c:v>
                </c:pt>
                <c:pt idx="21">
                  <c:v>106</c:v>
                </c:pt>
                <c:pt idx="22">
                  <c:v>195</c:v>
                </c:pt>
                <c:pt idx="23">
                  <c:v>203</c:v>
                </c:pt>
                <c:pt idx="24">
                  <c:v>284</c:v>
                </c:pt>
                <c:pt idx="25">
                  <c:v>139</c:v>
                </c:pt>
                <c:pt idx="26">
                  <c:v>439</c:v>
                </c:pt>
                <c:pt idx="27">
                  <c:v>226</c:v>
                </c:pt>
                <c:pt idx="28">
                  <c:v>660</c:v>
                </c:pt>
                <c:pt idx="29">
                  <c:v>123</c:v>
                </c:pt>
                <c:pt idx="30">
                  <c:v>467</c:v>
                </c:pt>
                <c:pt idx="31">
                  <c:v>138</c:v>
                </c:pt>
                <c:pt idx="32">
                  <c:v>190</c:v>
                </c:pt>
                <c:pt idx="33">
                  <c:v>126</c:v>
                </c:pt>
                <c:pt idx="34">
                  <c:v>284</c:v>
                </c:pt>
                <c:pt idx="35">
                  <c:v>202</c:v>
                </c:pt>
                <c:pt idx="36">
                  <c:v>52</c:v>
                </c:pt>
                <c:pt idx="37">
                  <c:v>20</c:v>
                </c:pt>
              </c:numCache>
            </c:numRef>
          </c:val>
        </c:ser>
        <c:dLbls>
          <c:showLegendKey val="0"/>
          <c:showVal val="0"/>
          <c:showCatName val="0"/>
          <c:showSerName val="0"/>
          <c:showPercent val="0"/>
          <c:showBubbleSize val="0"/>
        </c:dLbls>
        <c:gapWidth val="60"/>
        <c:overlap val="100"/>
        <c:axId val="171328256"/>
        <c:axId val="171329792"/>
      </c:barChart>
      <c:lineChart>
        <c:grouping val="standard"/>
        <c:varyColors val="0"/>
        <c:ser>
          <c:idx val="1"/>
          <c:order val="0"/>
          <c:tx>
            <c:v>Trend</c:v>
          </c:tx>
          <c:spPr>
            <a:ln w="12700">
              <a:solidFill>
                <a:srgbClr val="424242"/>
              </a:solidFill>
              <a:prstDash val="lgDash"/>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NSEinside'!$M$8:$M$45</c:f>
              <c:numCache>
                <c:formatCode>General</c:formatCode>
                <c:ptCount val="38"/>
                <c:pt idx="1">
                  <c:v>248.77658647993115</c:v>
                </c:pt>
                <c:pt idx="2">
                  <c:v>246.38859580859744</c:v>
                </c:pt>
                <c:pt idx="3">
                  <c:v>248.86011423454553</c:v>
                </c:pt>
                <c:pt idx="4">
                  <c:v>249.51357348535953</c:v>
                </c:pt>
                <c:pt idx="5">
                  <c:v>263.09303755054236</c:v>
                </c:pt>
                <c:pt idx="6">
                  <c:v>300.42941953340284</c:v>
                </c:pt>
                <c:pt idx="7">
                  <c:v>342.42956545044717</c:v>
                </c:pt>
                <c:pt idx="8">
                  <c:v>338.70457892907825</c:v>
                </c:pt>
                <c:pt idx="9">
                  <c:v>352.9463043525439</c:v>
                </c:pt>
                <c:pt idx="10">
                  <c:v>354.74157228734521</c:v>
                </c:pt>
                <c:pt idx="11">
                  <c:v>339.53099061454952</c:v>
                </c:pt>
                <c:pt idx="12">
                  <c:v>313.77764656001318</c:v>
                </c:pt>
                <c:pt idx="13">
                  <c:v>285.74861780771681</c:v>
                </c:pt>
                <c:pt idx="14">
                  <c:v>257.67438333260975</c:v>
                </c:pt>
                <c:pt idx="15">
                  <c:v>258.30859341080082</c:v>
                </c:pt>
                <c:pt idx="16">
                  <c:v>236.24198790521763</c:v>
                </c:pt>
                <c:pt idx="17">
                  <c:v>201.91485419636334</c:v>
                </c:pt>
                <c:pt idx="18">
                  <c:v>193.23602176426408</c:v>
                </c:pt>
                <c:pt idx="19">
                  <c:v>185.25386194256018</c:v>
                </c:pt>
                <c:pt idx="20">
                  <c:v>184.628200045548</c:v>
                </c:pt>
                <c:pt idx="21">
                  <c:v>179.74552535023489</c:v>
                </c:pt>
                <c:pt idx="22">
                  <c:v>183.83795021008595</c:v>
                </c:pt>
                <c:pt idx="23">
                  <c:v>205.60745703721935</c:v>
                </c:pt>
                <c:pt idx="24">
                  <c:v>232.66042334843004</c:v>
                </c:pt>
                <c:pt idx="25">
                  <c:v>268.19972869128975</c:v>
                </c:pt>
                <c:pt idx="26">
                  <c:v>314.0777645831734</c:v>
                </c:pt>
                <c:pt idx="27">
                  <c:v>372.87120920254534</c:v>
                </c:pt>
                <c:pt idx="28">
                  <c:v>369.62726652423129</c:v>
                </c:pt>
                <c:pt idx="29">
                  <c:v>360.68205625940482</c:v>
                </c:pt>
                <c:pt idx="30">
                  <c:v>286.0479775145684</c:v>
                </c:pt>
                <c:pt idx="31">
                  <c:v>232.98144501377476</c:v>
                </c:pt>
                <c:pt idx="32">
                  <c:v>197.37929776905318</c:v>
                </c:pt>
                <c:pt idx="33">
                  <c:v>191.72234621016861</c:v>
                </c:pt>
                <c:pt idx="34">
                  <c:v>189.84986795081522</c:v>
                </c:pt>
                <c:pt idx="35">
                  <c:v>142.28391255680097</c:v>
                </c:pt>
                <c:pt idx="36">
                  <c:v>91.960223861699433</c:v>
                </c:pt>
                <c:pt idx="37">
                  <c:v>33.554318879449852</c:v>
                </c:pt>
              </c:numCache>
            </c:numRef>
          </c:val>
          <c:smooth val="0"/>
        </c:ser>
        <c:ser>
          <c:idx val="4"/>
          <c:order val="2"/>
          <c:tx>
            <c:v>Goal Bounds</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NSEinside'!$N$8:$N$45</c:f>
              <c:numCache>
                <c:formatCode>#,##0</c:formatCode>
                <c:ptCount val="38"/>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numCache>
            </c:numRef>
          </c:val>
          <c:smooth val="0"/>
        </c:ser>
        <c:ser>
          <c:idx val="5"/>
          <c:order val="3"/>
          <c:tx>
            <c:v>Upper Goal</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NSEinside'!$O$8:$O$45</c:f>
              <c:numCache>
                <c:formatCode>#,##0</c:formatCode>
                <c:ptCount val="38"/>
                <c:pt idx="1">
                  <c:v>250</c:v>
                </c:pt>
                <c:pt idx="2">
                  <c:v>250</c:v>
                </c:pt>
                <c:pt idx="3">
                  <c:v>250</c:v>
                </c:pt>
                <c:pt idx="4">
                  <c:v>250</c:v>
                </c:pt>
                <c:pt idx="5">
                  <c:v>250</c:v>
                </c:pt>
                <c:pt idx="6">
                  <c:v>250</c:v>
                </c:pt>
                <c:pt idx="7">
                  <c:v>250</c:v>
                </c:pt>
                <c:pt idx="8">
                  <c:v>250</c:v>
                </c:pt>
                <c:pt idx="9">
                  <c:v>250</c:v>
                </c:pt>
                <c:pt idx="10">
                  <c:v>250</c:v>
                </c:pt>
                <c:pt idx="11">
                  <c:v>250</c:v>
                </c:pt>
                <c:pt idx="12">
                  <c:v>250</c:v>
                </c:pt>
                <c:pt idx="13">
                  <c:v>250</c:v>
                </c:pt>
                <c:pt idx="14">
                  <c:v>250</c:v>
                </c:pt>
                <c:pt idx="15">
                  <c:v>250</c:v>
                </c:pt>
                <c:pt idx="16">
                  <c:v>250</c:v>
                </c:pt>
                <c:pt idx="17">
                  <c:v>250</c:v>
                </c:pt>
                <c:pt idx="18">
                  <c:v>250</c:v>
                </c:pt>
                <c:pt idx="19">
                  <c:v>250</c:v>
                </c:pt>
                <c:pt idx="20">
                  <c:v>250</c:v>
                </c:pt>
                <c:pt idx="21">
                  <c:v>250</c:v>
                </c:pt>
                <c:pt idx="22">
                  <c:v>250</c:v>
                </c:pt>
                <c:pt idx="23">
                  <c:v>250</c:v>
                </c:pt>
                <c:pt idx="24">
                  <c:v>250</c:v>
                </c:pt>
                <c:pt idx="25">
                  <c:v>250</c:v>
                </c:pt>
                <c:pt idx="26">
                  <c:v>250</c:v>
                </c:pt>
                <c:pt idx="27">
                  <c:v>250</c:v>
                </c:pt>
                <c:pt idx="28">
                  <c:v>250</c:v>
                </c:pt>
                <c:pt idx="29">
                  <c:v>250</c:v>
                </c:pt>
                <c:pt idx="30">
                  <c:v>250</c:v>
                </c:pt>
                <c:pt idx="31">
                  <c:v>250</c:v>
                </c:pt>
                <c:pt idx="32">
                  <c:v>250</c:v>
                </c:pt>
                <c:pt idx="33">
                  <c:v>250</c:v>
                </c:pt>
                <c:pt idx="34">
                  <c:v>250</c:v>
                </c:pt>
                <c:pt idx="35">
                  <c:v>250</c:v>
                </c:pt>
                <c:pt idx="36">
                  <c:v>250</c:v>
                </c:pt>
                <c:pt idx="37">
                  <c:v>250</c:v>
                </c:pt>
              </c:numCache>
            </c:numRef>
          </c:val>
          <c:smooth val="0"/>
        </c:ser>
        <c:dLbls>
          <c:showLegendKey val="0"/>
          <c:showVal val="0"/>
          <c:showCatName val="0"/>
          <c:showSerName val="0"/>
          <c:showPercent val="0"/>
          <c:showBubbleSize val="0"/>
        </c:dLbls>
        <c:marker val="1"/>
        <c:smooth val="0"/>
        <c:axId val="171328256"/>
        <c:axId val="171329792"/>
      </c:lineChart>
      <c:catAx>
        <c:axId val="171328256"/>
        <c:scaling>
          <c:orientation val="minMax"/>
        </c:scaling>
        <c:delete val="0"/>
        <c:axPos val="b"/>
        <c:numFmt formatCode="General" sourceLinked="1"/>
        <c:majorTickMark val="none"/>
        <c:minorTickMark val="none"/>
        <c:tickLblPos val="nextTo"/>
        <c:spPr>
          <a:ln w="12700" cmpd="sng">
            <a:solidFill>
              <a:srgbClr val="000000"/>
            </a:solidFill>
            <a:prstDash val="solid"/>
          </a:ln>
        </c:spPr>
        <c:txPr>
          <a:bodyPr rot="-5400000" vert="horz"/>
          <a:lstStyle/>
          <a:p>
            <a:pPr>
              <a:defRPr sz="200" b="1" i="0" u="none" strike="noStrike" baseline="0">
                <a:solidFill>
                  <a:srgbClr val="FFFFFF"/>
                </a:solidFill>
                <a:latin typeface="Arial"/>
                <a:ea typeface="Arial"/>
                <a:cs typeface="Arial"/>
              </a:defRPr>
            </a:pPr>
            <a:endParaRPr lang="en-US"/>
          </a:p>
        </c:txPr>
        <c:crossAx val="171329792"/>
        <c:crosses val="autoZero"/>
        <c:auto val="1"/>
        <c:lblAlgn val="ctr"/>
        <c:lblOffset val="0"/>
        <c:tickLblSkip val="1"/>
        <c:tickMarkSkip val="1"/>
        <c:noMultiLvlLbl val="0"/>
      </c:catAx>
      <c:valAx>
        <c:axId val="171329792"/>
        <c:scaling>
          <c:orientation val="minMax"/>
          <c:max val="66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71328256"/>
        <c:crosses val="autoZero"/>
        <c:crossBetween val="between"/>
        <c:majorUnit val="200"/>
      </c:valAx>
      <c:spPr>
        <a:solidFill>
          <a:srgbClr val="FFFFFF"/>
        </a:solidFill>
        <a:ln w="25400">
          <a:noFill/>
        </a:ln>
      </c:spPr>
    </c:plotArea>
    <c:plotVisOnly val="1"/>
    <c:dispBlanksAs val="gap"/>
    <c:showDLblsOverMax val="0"/>
  </c:chart>
  <c:spPr>
    <a:noFill/>
    <a:ln w="9525">
      <a:noFill/>
    </a:ln>
  </c:spPr>
  <c:txPr>
    <a:bodyPr/>
    <a:lstStyle/>
    <a:p>
      <a:pPr>
        <a:defRPr sz="550"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sz="1100"/>
              <a:t>Chilkat River (Mark-Recapture &amp; Expanded Survey)</a:t>
            </a:r>
          </a:p>
        </c:rich>
      </c:tx>
      <c:layout>
        <c:manualLayout>
          <c:xMode val="edge"/>
          <c:yMode val="edge"/>
          <c:x val="0.26494364675003856"/>
          <c:y val="3.1506775938721948E-2"/>
        </c:manualLayout>
      </c:layout>
      <c:overlay val="0"/>
      <c:spPr>
        <a:noFill/>
        <a:ln w="25400">
          <a:noFill/>
        </a:ln>
      </c:spPr>
    </c:title>
    <c:autoTitleDeleted val="0"/>
    <c:plotArea>
      <c:layout>
        <c:manualLayout>
          <c:layoutTarget val="inner"/>
          <c:xMode val="edge"/>
          <c:yMode val="edge"/>
          <c:x val="0.12323561346362649"/>
          <c:y val="0.13092555047385543"/>
          <c:w val="0.87024972855591753"/>
          <c:h val="0.69904195598307728"/>
        </c:manualLayout>
      </c:layout>
      <c:barChart>
        <c:barDir val="col"/>
        <c:grouping val="stacked"/>
        <c:varyColors val="0"/>
        <c:ser>
          <c:idx val="0"/>
          <c:order val="1"/>
          <c:tx>
            <c:v>Escapement</c:v>
          </c:tx>
          <c:spPr>
            <a:solidFill>
              <a:srgbClr val="E3E3E3"/>
            </a:solidFill>
            <a:ln w="12700">
              <a:solidFill>
                <a:srgbClr val="000000"/>
              </a:solidFill>
              <a:prstDash val="solid"/>
            </a:ln>
          </c:spPr>
          <c:invertIfNegative val="0"/>
          <c:cat>
            <c:numRef>
              <c:f>[10]Rawcounts!$Y$50:$Y$86</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'Fig 4 Table 3 NSEinside'!$AA$8:$AA$45</c:f>
              <c:numCache>
                <c:formatCode>#,##0</c:formatCode>
                <c:ptCount val="38"/>
                <c:pt idx="0">
                  <c:v>0</c:v>
                </c:pt>
                <c:pt idx="1">
                  <c:v>0</c:v>
                </c:pt>
                <c:pt idx="2">
                  <c:v>0</c:v>
                </c:pt>
                <c:pt idx="3">
                  <c:v>0</c:v>
                </c:pt>
                <c:pt idx="4">
                  <c:v>0</c:v>
                </c:pt>
                <c:pt idx="5">
                  <c:v>0</c:v>
                </c:pt>
                <c:pt idx="6">
                  <c:v>0</c:v>
                </c:pt>
                <c:pt idx="7">
                  <c:v>37432.148331849698</c:v>
                </c:pt>
                <c:pt idx="8">
                  <c:v>29495.053088079232</c:v>
                </c:pt>
                <c:pt idx="9">
                  <c:v>48833.314804892871</c:v>
                </c:pt>
                <c:pt idx="10">
                  <c:v>79807</c:v>
                </c:pt>
                <c:pt idx="11">
                  <c:v>84516.611642352465</c:v>
                </c:pt>
                <c:pt idx="12">
                  <c:v>77588.469183807058</c:v>
                </c:pt>
                <c:pt idx="13">
                  <c:v>58216.575707485921</c:v>
                </c:pt>
                <c:pt idx="14">
                  <c:v>194425.20171286893</c:v>
                </c:pt>
                <c:pt idx="15">
                  <c:v>56736.778289155831</c:v>
                </c:pt>
                <c:pt idx="16">
                  <c:v>37331.253053327193</c:v>
                </c:pt>
                <c:pt idx="17">
                  <c:v>43519.496802707559</c:v>
                </c:pt>
                <c:pt idx="18">
                  <c:v>50758</c:v>
                </c:pt>
                <c:pt idx="19">
                  <c:v>57140.359403245857</c:v>
                </c:pt>
                <c:pt idx="20">
                  <c:v>84843</c:v>
                </c:pt>
                <c:pt idx="21">
                  <c:v>107697</c:v>
                </c:pt>
                <c:pt idx="22">
                  <c:v>204925</c:v>
                </c:pt>
                <c:pt idx="23">
                  <c:v>133109</c:v>
                </c:pt>
                <c:pt idx="24">
                  <c:v>67053</c:v>
                </c:pt>
                <c:pt idx="25">
                  <c:v>34575</c:v>
                </c:pt>
                <c:pt idx="26">
                  <c:v>79050</c:v>
                </c:pt>
                <c:pt idx="27">
                  <c:v>24770</c:v>
                </c:pt>
                <c:pt idx="28">
                  <c:v>56369</c:v>
                </c:pt>
                <c:pt idx="29">
                  <c:v>47911</c:v>
                </c:pt>
                <c:pt idx="30">
                  <c:v>84909</c:v>
                </c:pt>
                <c:pt idx="31">
                  <c:v>61099</c:v>
                </c:pt>
                <c:pt idx="32">
                  <c:v>36961</c:v>
                </c:pt>
                <c:pt idx="33">
                  <c:v>51324</c:v>
                </c:pt>
                <c:pt idx="34">
                  <c:v>130200</c:v>
                </c:pt>
                <c:pt idx="35">
                  <c:v>47372</c:v>
                </c:pt>
                <c:pt idx="36">
                  <c:v>26280</c:v>
                </c:pt>
                <c:pt idx="37">
                  <c:v>34482</c:v>
                </c:pt>
              </c:numCache>
            </c:numRef>
          </c:val>
        </c:ser>
        <c:dLbls>
          <c:showLegendKey val="0"/>
          <c:showVal val="0"/>
          <c:showCatName val="0"/>
          <c:showSerName val="0"/>
          <c:showPercent val="0"/>
          <c:showBubbleSize val="0"/>
        </c:dLbls>
        <c:gapWidth val="60"/>
        <c:overlap val="100"/>
        <c:axId val="171356928"/>
        <c:axId val="171358464"/>
      </c:barChart>
      <c:lineChart>
        <c:grouping val="standard"/>
        <c:varyColors val="0"/>
        <c:ser>
          <c:idx val="1"/>
          <c:order val="0"/>
          <c:tx>
            <c:v>LOESS Trend</c:v>
          </c:tx>
          <c:spPr>
            <a:ln w="12700">
              <a:solidFill>
                <a:srgbClr val="424242"/>
              </a:solidFill>
              <a:prstDash val="lgDash"/>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NSEinside'!$AB$8:$AB$45</c:f>
              <c:numCache>
                <c:formatCode>General</c:formatCode>
                <c:ptCount val="38"/>
                <c:pt idx="7" formatCode="#,##0">
                  <c:v>28253.339572070247</c:v>
                </c:pt>
                <c:pt idx="8" formatCode="#,##0">
                  <c:v>41503.683123769617</c:v>
                </c:pt>
                <c:pt idx="9" formatCode="#,##0">
                  <c:v>54442.437844461216</c:v>
                </c:pt>
                <c:pt idx="10" formatCode="#,##0">
                  <c:v>67817.38754624674</c:v>
                </c:pt>
                <c:pt idx="11" formatCode="#,##0">
                  <c:v>75331.180725372251</c:v>
                </c:pt>
                <c:pt idx="12" formatCode="#,##0">
                  <c:v>86310.023086190791</c:v>
                </c:pt>
                <c:pt idx="13" formatCode="#,##0">
                  <c:v>100588.53937340586</c:v>
                </c:pt>
                <c:pt idx="14" formatCode="#,##0">
                  <c:v>96794.09756260147</c:v>
                </c:pt>
                <c:pt idx="15" formatCode="#,##0">
                  <c:v>85888.424704145553</c:v>
                </c:pt>
                <c:pt idx="16" formatCode="#,##0">
                  <c:v>60954.399145229443</c:v>
                </c:pt>
                <c:pt idx="17" formatCode="#,##0">
                  <c:v>46474.031108798779</c:v>
                </c:pt>
                <c:pt idx="18" formatCode="#,##0">
                  <c:v>52605.437375019479</c:v>
                </c:pt>
                <c:pt idx="19" formatCode="#,##0">
                  <c:v>66302.14317240435</c:v>
                </c:pt>
                <c:pt idx="20" formatCode="#,##0">
                  <c:v>92192.213524329592</c:v>
                </c:pt>
                <c:pt idx="21" formatCode="#,##0">
                  <c:v>124212.42948793317</c:v>
                </c:pt>
                <c:pt idx="22" formatCode="#,##0">
                  <c:v>135724.37196846525</c:v>
                </c:pt>
                <c:pt idx="23" formatCode="#,##0">
                  <c:v>122135.34918022009</c:v>
                </c:pt>
                <c:pt idx="24" formatCode="#,##0">
                  <c:v>90628.488391480292</c:v>
                </c:pt>
                <c:pt idx="25" formatCode="#,##0">
                  <c:v>63175.924295498888</c:v>
                </c:pt>
                <c:pt idx="26" formatCode="#,##0">
                  <c:v>50260.971325482256</c:v>
                </c:pt>
                <c:pt idx="27" formatCode="#,##0">
                  <c:v>50084.514588701015</c:v>
                </c:pt>
                <c:pt idx="28" formatCode="#,##0">
                  <c:v>51223.827757801933</c:v>
                </c:pt>
                <c:pt idx="29" formatCode="#,##0">
                  <c:v>58569.42529791472</c:v>
                </c:pt>
                <c:pt idx="30" formatCode="#,##0">
                  <c:v>61665.777975463228</c:v>
                </c:pt>
                <c:pt idx="31" formatCode="#,##0">
                  <c:v>58717.366154768526</c:v>
                </c:pt>
                <c:pt idx="32" formatCode="#,##0">
                  <c:v>60958.421104684327</c:v>
                </c:pt>
                <c:pt idx="33" formatCode="#,##0">
                  <c:v>68446.816578566533</c:v>
                </c:pt>
                <c:pt idx="34" formatCode="#,##0">
                  <c:v>69014.886498596199</c:v>
                </c:pt>
                <c:pt idx="35" formatCode="#,##0">
                  <c:v>57282.408186591107</c:v>
                </c:pt>
                <c:pt idx="36" formatCode="#,##0">
                  <c:v>43972.13726977515</c:v>
                </c:pt>
                <c:pt idx="37" formatCode="#,##0">
                  <c:v>28017.849297810499</c:v>
                </c:pt>
              </c:numCache>
            </c:numRef>
          </c:val>
          <c:smooth val="0"/>
        </c:ser>
        <c:ser>
          <c:idx val="4"/>
          <c:order val="2"/>
          <c:tx>
            <c:v>Goal Bounds</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NSEinside'!$AC$8:$AC$45</c:f>
              <c:numCache>
                <c:formatCode>General</c:formatCode>
                <c:ptCount val="38"/>
                <c:pt idx="7" formatCode="#,##0">
                  <c:v>30000</c:v>
                </c:pt>
                <c:pt idx="8" formatCode="#,##0">
                  <c:v>30000</c:v>
                </c:pt>
                <c:pt idx="9" formatCode="#,##0">
                  <c:v>30000</c:v>
                </c:pt>
                <c:pt idx="10" formatCode="#,##0">
                  <c:v>30000</c:v>
                </c:pt>
                <c:pt idx="11" formatCode="#,##0">
                  <c:v>30000</c:v>
                </c:pt>
                <c:pt idx="12" formatCode="#,##0">
                  <c:v>30000</c:v>
                </c:pt>
                <c:pt idx="13" formatCode="#,##0">
                  <c:v>30000</c:v>
                </c:pt>
                <c:pt idx="14" formatCode="#,##0">
                  <c:v>30000</c:v>
                </c:pt>
                <c:pt idx="15" formatCode="#,##0">
                  <c:v>30000</c:v>
                </c:pt>
                <c:pt idx="16" formatCode="#,##0">
                  <c:v>30000</c:v>
                </c:pt>
                <c:pt idx="17" formatCode="#,##0">
                  <c:v>30000</c:v>
                </c:pt>
                <c:pt idx="18" formatCode="#,##0">
                  <c:v>30000</c:v>
                </c:pt>
                <c:pt idx="19" formatCode="#,##0">
                  <c:v>30000</c:v>
                </c:pt>
                <c:pt idx="20" formatCode="#,##0">
                  <c:v>30000</c:v>
                </c:pt>
                <c:pt idx="21" formatCode="#,##0">
                  <c:v>30000</c:v>
                </c:pt>
                <c:pt idx="22" formatCode="#,##0">
                  <c:v>30000</c:v>
                </c:pt>
                <c:pt idx="23" formatCode="#,##0">
                  <c:v>30000</c:v>
                </c:pt>
                <c:pt idx="24" formatCode="#,##0">
                  <c:v>30000</c:v>
                </c:pt>
                <c:pt idx="25" formatCode="#,##0">
                  <c:v>30000</c:v>
                </c:pt>
                <c:pt idx="26" formatCode="#,##0">
                  <c:v>30000</c:v>
                </c:pt>
                <c:pt idx="27" formatCode="#,##0">
                  <c:v>30000</c:v>
                </c:pt>
                <c:pt idx="28" formatCode="#,##0">
                  <c:v>30000</c:v>
                </c:pt>
                <c:pt idx="29" formatCode="#,##0">
                  <c:v>30000</c:v>
                </c:pt>
                <c:pt idx="30" formatCode="#,##0">
                  <c:v>30000</c:v>
                </c:pt>
                <c:pt idx="31" formatCode="#,##0">
                  <c:v>30000</c:v>
                </c:pt>
                <c:pt idx="32" formatCode="#,##0">
                  <c:v>30000</c:v>
                </c:pt>
                <c:pt idx="33" formatCode="#,##0">
                  <c:v>30000</c:v>
                </c:pt>
                <c:pt idx="34" formatCode="#,##0">
                  <c:v>30000</c:v>
                </c:pt>
                <c:pt idx="35" formatCode="#,##0">
                  <c:v>30000</c:v>
                </c:pt>
                <c:pt idx="36" formatCode="#,##0">
                  <c:v>30000</c:v>
                </c:pt>
                <c:pt idx="37" formatCode="#,##0">
                  <c:v>30000</c:v>
                </c:pt>
              </c:numCache>
            </c:numRef>
          </c:val>
          <c:smooth val="0"/>
        </c:ser>
        <c:ser>
          <c:idx val="5"/>
          <c:order val="3"/>
          <c:tx>
            <c:v>Upper Goal</c:v>
          </c:tx>
          <c:spPr>
            <a:ln w="25400">
              <a:solidFill>
                <a:srgbClr val="000000"/>
              </a:solidFill>
              <a:prstDash val="solid"/>
            </a:ln>
          </c:spPr>
          <c:marker>
            <c:symbol val="none"/>
          </c:marker>
          <c:cat>
            <c:numRef>
              <c:f>'Fig 4 Table 3 NSEinside'!$A$8:$A$45</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'Fig 4 Table 3 NSEinside'!$AD$8:$AD$45</c:f>
              <c:numCache>
                <c:formatCode>General</c:formatCode>
                <c:ptCount val="38"/>
                <c:pt idx="7" formatCode="#,##0">
                  <c:v>70000</c:v>
                </c:pt>
                <c:pt idx="8" formatCode="#,##0">
                  <c:v>70000</c:v>
                </c:pt>
                <c:pt idx="9" formatCode="#,##0">
                  <c:v>70000</c:v>
                </c:pt>
                <c:pt idx="10" formatCode="#,##0">
                  <c:v>70000</c:v>
                </c:pt>
                <c:pt idx="11" formatCode="#,##0">
                  <c:v>70000</c:v>
                </c:pt>
                <c:pt idx="12" formatCode="#,##0">
                  <c:v>70000</c:v>
                </c:pt>
                <c:pt idx="13" formatCode="#,##0">
                  <c:v>70000</c:v>
                </c:pt>
                <c:pt idx="14" formatCode="#,##0">
                  <c:v>70000</c:v>
                </c:pt>
                <c:pt idx="15" formatCode="#,##0">
                  <c:v>70000</c:v>
                </c:pt>
                <c:pt idx="16" formatCode="#,##0">
                  <c:v>70000</c:v>
                </c:pt>
                <c:pt idx="17" formatCode="#,##0">
                  <c:v>70000</c:v>
                </c:pt>
                <c:pt idx="18" formatCode="#,##0">
                  <c:v>70000</c:v>
                </c:pt>
                <c:pt idx="19" formatCode="#,##0">
                  <c:v>70000</c:v>
                </c:pt>
                <c:pt idx="20" formatCode="#,##0">
                  <c:v>70000</c:v>
                </c:pt>
                <c:pt idx="21" formatCode="#,##0">
                  <c:v>70000</c:v>
                </c:pt>
                <c:pt idx="22" formatCode="#,##0">
                  <c:v>70000</c:v>
                </c:pt>
                <c:pt idx="23" formatCode="#,##0">
                  <c:v>70000</c:v>
                </c:pt>
                <c:pt idx="24" formatCode="#,##0">
                  <c:v>70000</c:v>
                </c:pt>
                <c:pt idx="25" formatCode="#,##0">
                  <c:v>70000</c:v>
                </c:pt>
                <c:pt idx="26" formatCode="#,##0">
                  <c:v>70000</c:v>
                </c:pt>
                <c:pt idx="27" formatCode="#,##0">
                  <c:v>70000</c:v>
                </c:pt>
                <c:pt idx="28" formatCode="#,##0">
                  <c:v>70000</c:v>
                </c:pt>
                <c:pt idx="29" formatCode="#,##0">
                  <c:v>70000</c:v>
                </c:pt>
                <c:pt idx="30" formatCode="#,##0">
                  <c:v>70000</c:v>
                </c:pt>
                <c:pt idx="31" formatCode="#,##0">
                  <c:v>70000</c:v>
                </c:pt>
                <c:pt idx="32" formatCode="#,##0">
                  <c:v>70000</c:v>
                </c:pt>
                <c:pt idx="33" formatCode="#,##0">
                  <c:v>70000</c:v>
                </c:pt>
                <c:pt idx="34" formatCode="#,##0">
                  <c:v>70000</c:v>
                </c:pt>
                <c:pt idx="35" formatCode="#,##0">
                  <c:v>70000</c:v>
                </c:pt>
                <c:pt idx="36" formatCode="#,##0">
                  <c:v>70000</c:v>
                </c:pt>
                <c:pt idx="37" formatCode="#,##0">
                  <c:v>70000</c:v>
                </c:pt>
              </c:numCache>
            </c:numRef>
          </c:val>
          <c:smooth val="0"/>
        </c:ser>
        <c:dLbls>
          <c:showLegendKey val="0"/>
          <c:showVal val="0"/>
          <c:showCatName val="0"/>
          <c:showSerName val="0"/>
          <c:showPercent val="0"/>
          <c:showBubbleSize val="0"/>
        </c:dLbls>
        <c:marker val="1"/>
        <c:smooth val="0"/>
        <c:axId val="171356928"/>
        <c:axId val="171358464"/>
      </c:lineChart>
      <c:catAx>
        <c:axId val="171356928"/>
        <c:scaling>
          <c:orientation val="minMax"/>
        </c:scaling>
        <c:delete val="0"/>
        <c:axPos val="b"/>
        <c:numFmt formatCode="General" sourceLinked="1"/>
        <c:majorTickMark val="out"/>
        <c:minorTickMark val="none"/>
        <c:tickLblPos val="nextTo"/>
        <c:spPr>
          <a:ln w="12700">
            <a:solidFill>
              <a:srgbClr val="000000"/>
            </a:solidFill>
            <a:prstDash val="solid"/>
          </a:ln>
        </c:spPr>
        <c:txPr>
          <a:bodyPr rot="-5400000" vert="horz"/>
          <a:lstStyle/>
          <a:p>
            <a:pPr>
              <a:defRPr sz="200" b="1" i="0" u="none" strike="noStrike" baseline="0">
                <a:solidFill>
                  <a:srgbClr val="FFFFFF"/>
                </a:solidFill>
                <a:latin typeface="Arial"/>
                <a:ea typeface="Arial"/>
                <a:cs typeface="Arial"/>
              </a:defRPr>
            </a:pPr>
            <a:endParaRPr lang="en-US"/>
          </a:p>
        </c:txPr>
        <c:crossAx val="171358464"/>
        <c:crosses val="autoZero"/>
        <c:auto val="1"/>
        <c:lblAlgn val="ctr"/>
        <c:lblOffset val="100"/>
        <c:tickLblSkip val="1"/>
        <c:tickMarkSkip val="1"/>
        <c:noMultiLvlLbl val="0"/>
      </c:catAx>
      <c:valAx>
        <c:axId val="171358464"/>
        <c:scaling>
          <c:orientation val="minMax"/>
          <c:max val="2200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71356928"/>
        <c:crosses val="autoZero"/>
        <c:crossBetween val="between"/>
        <c:majorUnit val="50000"/>
      </c:valAx>
      <c:spPr>
        <a:solidFill>
          <a:srgbClr val="FFFFFF"/>
        </a:solidFill>
        <a:ln w="25400">
          <a:noFill/>
        </a:ln>
      </c:spPr>
    </c:plotArea>
    <c:plotVisOnly val="1"/>
    <c:dispBlanksAs val="gap"/>
    <c:showDLblsOverMax val="0"/>
  </c:chart>
  <c:spPr>
    <a:no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sz="1400"/>
              <a:t>Sitka</a:t>
            </a:r>
            <a:r>
              <a:rPr lang="en-US" sz="1400" baseline="0"/>
              <a:t> Index</a:t>
            </a:r>
            <a:endParaRPr lang="en-US" sz="1400"/>
          </a:p>
          <a:p>
            <a:pPr>
              <a:defRPr sz="1400" b="1" i="0" u="none" strike="noStrike" baseline="0">
                <a:solidFill>
                  <a:srgbClr val="000000"/>
                </a:solidFill>
                <a:latin typeface="Arial"/>
                <a:ea typeface="Arial"/>
                <a:cs typeface="Arial"/>
              </a:defRPr>
            </a:pPr>
            <a:r>
              <a:rPr lang="en-US" sz="1400"/>
              <a:t>(Survey)</a:t>
            </a:r>
          </a:p>
        </c:rich>
      </c:tx>
      <c:layout>
        <c:manualLayout>
          <c:xMode val="edge"/>
          <c:yMode val="edge"/>
          <c:x val="0.48569815168615843"/>
          <c:y val="2.572717935949706E-2"/>
        </c:manualLayout>
      </c:layout>
      <c:overlay val="0"/>
      <c:spPr>
        <a:noFill/>
        <a:ln w="25400">
          <a:noFill/>
        </a:ln>
      </c:spPr>
    </c:title>
    <c:autoTitleDeleted val="0"/>
    <c:plotArea>
      <c:layout>
        <c:manualLayout>
          <c:layoutTarget val="inner"/>
          <c:xMode val="edge"/>
          <c:yMode val="edge"/>
          <c:x val="0.11410821894107556"/>
          <c:y val="2.9101471908412037E-2"/>
          <c:w val="0.88589178105892441"/>
          <c:h val="0.88583149640803649"/>
        </c:manualLayout>
      </c:layout>
      <c:barChart>
        <c:barDir val="col"/>
        <c:grouping val="stacked"/>
        <c:varyColors val="0"/>
        <c:ser>
          <c:idx val="0"/>
          <c:order val="1"/>
          <c:tx>
            <c:v>Peak Count</c:v>
          </c:tx>
          <c:spPr>
            <a:solidFill>
              <a:srgbClr val="E3E3E3"/>
            </a:solidFill>
            <a:ln w="12700">
              <a:solidFill>
                <a:srgbClr val="000000"/>
              </a:solidFill>
              <a:prstDash val="solid"/>
            </a:ln>
          </c:spPr>
          <c:invertIfNegative val="0"/>
          <c:cat>
            <c:numRef>
              <c:f>'Fig 5 Fig 6 Table 4 Sitka'!$L$10:$L$45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'Fig 5 Fig 6 Table 4 Sitka'!$M$10:$M$45</c:f>
              <c:numCache>
                <c:formatCode>#,##0</c:formatCode>
                <c:ptCount val="36"/>
                <c:pt idx="0">
                  <c:v>1545.3219007545463</c:v>
                </c:pt>
                <c:pt idx="1">
                  <c:v>456.62998799081362</c:v>
                </c:pt>
                <c:pt idx="2">
                  <c:v>2062.8587955777002</c:v>
                </c:pt>
                <c:pt idx="3">
                  <c:v>1245.8850151473785</c:v>
                </c:pt>
                <c:pt idx="4">
                  <c:v>701.94667538311569</c:v>
                </c:pt>
                <c:pt idx="5">
                  <c:v>293.01983987605763</c:v>
                </c:pt>
                <c:pt idx="6">
                  <c:v>402.6513632086486</c:v>
                </c:pt>
                <c:pt idx="7">
                  <c:v>576.25829154790063</c:v>
                </c:pt>
                <c:pt idx="8">
                  <c:v>566</c:v>
                </c:pt>
                <c:pt idx="9">
                  <c:v>1510</c:v>
                </c:pt>
                <c:pt idx="10">
                  <c:v>1899</c:v>
                </c:pt>
                <c:pt idx="11">
                  <c:v>1716.3150783224742</c:v>
                </c:pt>
                <c:pt idx="12">
                  <c:v>1965</c:v>
                </c:pt>
                <c:pt idx="13">
                  <c:v>1487</c:v>
                </c:pt>
                <c:pt idx="14">
                  <c:v>1451</c:v>
                </c:pt>
                <c:pt idx="15">
                  <c:v>809</c:v>
                </c:pt>
                <c:pt idx="16">
                  <c:v>1242</c:v>
                </c:pt>
                <c:pt idx="17">
                  <c:v>775.58397313770752</c:v>
                </c:pt>
                <c:pt idx="18">
                  <c:v>803</c:v>
                </c:pt>
                <c:pt idx="19">
                  <c:v>1515</c:v>
                </c:pt>
                <c:pt idx="20">
                  <c:v>1868</c:v>
                </c:pt>
                <c:pt idx="21">
                  <c:v>1101</c:v>
                </c:pt>
                <c:pt idx="22">
                  <c:v>1124</c:v>
                </c:pt>
                <c:pt idx="23">
                  <c:v>1668</c:v>
                </c:pt>
                <c:pt idx="24">
                  <c:v>2647</c:v>
                </c:pt>
                <c:pt idx="25">
                  <c:v>1066</c:v>
                </c:pt>
                <c:pt idx="26">
                  <c:v>1117</c:v>
                </c:pt>
                <c:pt idx="27">
                  <c:v>1156</c:v>
                </c:pt>
                <c:pt idx="28">
                  <c:v>1273</c:v>
                </c:pt>
                <c:pt idx="29">
                  <c:v>2222</c:v>
                </c:pt>
                <c:pt idx="30">
                  <c:v>1157</c:v>
                </c:pt>
                <c:pt idx="31">
                  <c:v>1414</c:v>
                </c:pt>
                <c:pt idx="32">
                  <c:v>2161</c:v>
                </c:pt>
                <c:pt idx="33">
                  <c:v>2244</c:v>
                </c:pt>
                <c:pt idx="34">
                  <c:v>2943</c:v>
                </c:pt>
                <c:pt idx="35">
                  <c:v>1280</c:v>
                </c:pt>
              </c:numCache>
            </c:numRef>
          </c:val>
        </c:ser>
        <c:dLbls>
          <c:showLegendKey val="0"/>
          <c:showVal val="0"/>
          <c:showCatName val="0"/>
          <c:showSerName val="0"/>
          <c:showPercent val="0"/>
          <c:showBubbleSize val="0"/>
        </c:dLbls>
        <c:gapWidth val="60"/>
        <c:overlap val="100"/>
        <c:axId val="171721472"/>
        <c:axId val="171723008"/>
      </c:barChart>
      <c:lineChart>
        <c:grouping val="standard"/>
        <c:varyColors val="0"/>
        <c:ser>
          <c:idx val="1"/>
          <c:order val="0"/>
          <c:tx>
            <c:v>Trend</c:v>
          </c:tx>
          <c:spPr>
            <a:ln w="12700">
              <a:solidFill>
                <a:srgbClr val="424242"/>
              </a:solidFill>
              <a:prstDash val="lgDash"/>
            </a:ln>
          </c:spPr>
          <c:marker>
            <c:symbol val="none"/>
          </c:marker>
          <c:cat>
            <c:numRef>
              <c:f>'Fig 5 Fig 6 Table 4 Sitka'!$M$10:$M$45</c:f>
              <c:numCache>
                <c:formatCode>#,##0</c:formatCode>
                <c:ptCount val="36"/>
                <c:pt idx="0">
                  <c:v>1545.3219007545463</c:v>
                </c:pt>
                <c:pt idx="1">
                  <c:v>456.62998799081362</c:v>
                </c:pt>
                <c:pt idx="2">
                  <c:v>2062.8587955777002</c:v>
                </c:pt>
                <c:pt idx="3">
                  <c:v>1245.8850151473785</c:v>
                </c:pt>
                <c:pt idx="4">
                  <c:v>701.94667538311569</c:v>
                </c:pt>
                <c:pt idx="5">
                  <c:v>293.01983987605763</c:v>
                </c:pt>
                <c:pt idx="6">
                  <c:v>402.6513632086486</c:v>
                </c:pt>
                <c:pt idx="7">
                  <c:v>576.25829154790063</c:v>
                </c:pt>
                <c:pt idx="8">
                  <c:v>566</c:v>
                </c:pt>
                <c:pt idx="9">
                  <c:v>1510</c:v>
                </c:pt>
                <c:pt idx="10">
                  <c:v>1899</c:v>
                </c:pt>
                <c:pt idx="11">
                  <c:v>1716.3150783224742</c:v>
                </c:pt>
                <c:pt idx="12">
                  <c:v>1965</c:v>
                </c:pt>
                <c:pt idx="13">
                  <c:v>1487</c:v>
                </c:pt>
                <c:pt idx="14">
                  <c:v>1451</c:v>
                </c:pt>
                <c:pt idx="15">
                  <c:v>809</c:v>
                </c:pt>
                <c:pt idx="16">
                  <c:v>1242</c:v>
                </c:pt>
                <c:pt idx="17">
                  <c:v>775.58397313770752</c:v>
                </c:pt>
                <c:pt idx="18">
                  <c:v>803</c:v>
                </c:pt>
                <c:pt idx="19">
                  <c:v>1515</c:v>
                </c:pt>
                <c:pt idx="20">
                  <c:v>1868</c:v>
                </c:pt>
                <c:pt idx="21">
                  <c:v>1101</c:v>
                </c:pt>
                <c:pt idx="22">
                  <c:v>1124</c:v>
                </c:pt>
                <c:pt idx="23">
                  <c:v>1668</c:v>
                </c:pt>
                <c:pt idx="24">
                  <c:v>2647</c:v>
                </c:pt>
                <c:pt idx="25">
                  <c:v>1066</c:v>
                </c:pt>
                <c:pt idx="26">
                  <c:v>1117</c:v>
                </c:pt>
                <c:pt idx="27">
                  <c:v>1156</c:v>
                </c:pt>
                <c:pt idx="28">
                  <c:v>1273</c:v>
                </c:pt>
                <c:pt idx="29">
                  <c:v>2222</c:v>
                </c:pt>
                <c:pt idx="30">
                  <c:v>1157</c:v>
                </c:pt>
                <c:pt idx="31">
                  <c:v>1414</c:v>
                </c:pt>
                <c:pt idx="32">
                  <c:v>2161</c:v>
                </c:pt>
                <c:pt idx="33">
                  <c:v>2244</c:v>
                </c:pt>
                <c:pt idx="34">
                  <c:v>2943</c:v>
                </c:pt>
                <c:pt idx="35">
                  <c:v>1280</c:v>
                </c:pt>
              </c:numCache>
            </c:numRef>
          </c:cat>
          <c:val>
            <c:numRef>
              <c:f>'Fig 5 Fig 6 Table 4 Sitka'!$N$10:$N$45</c:f>
              <c:numCache>
                <c:formatCode>General</c:formatCode>
                <c:ptCount val="36"/>
                <c:pt idx="0">
                  <c:v>1338.3684016473112</c:v>
                </c:pt>
                <c:pt idx="1">
                  <c:v>1292.6091386782891</c:v>
                </c:pt>
                <c:pt idx="2">
                  <c:v>1195.0280044908995</c:v>
                </c:pt>
                <c:pt idx="3">
                  <c:v>1141.5813150991385</c:v>
                </c:pt>
                <c:pt idx="4">
                  <c:v>842.78065606029509</c:v>
                </c:pt>
                <c:pt idx="5">
                  <c:v>549.64779915847021</c:v>
                </c:pt>
                <c:pt idx="6">
                  <c:v>465.34309899589164</c:v>
                </c:pt>
                <c:pt idx="7">
                  <c:v>594.20333753211605</c:v>
                </c:pt>
                <c:pt idx="8">
                  <c:v>927.68632219754704</c:v>
                </c:pt>
                <c:pt idx="9">
                  <c:v>1294.9240841746382</c:v>
                </c:pt>
                <c:pt idx="10">
                  <c:v>1625.6598520935752</c:v>
                </c:pt>
                <c:pt idx="11">
                  <c:v>1783.3255534434636</c:v>
                </c:pt>
                <c:pt idx="12">
                  <c:v>1720.6571677474749</c:v>
                </c:pt>
                <c:pt idx="13">
                  <c:v>1555.4297134609906</c:v>
                </c:pt>
                <c:pt idx="14">
                  <c:v>1326.1468058641362</c:v>
                </c:pt>
                <c:pt idx="15">
                  <c:v>1149.107675377827</c:v>
                </c:pt>
                <c:pt idx="16">
                  <c:v>988.39029527352591</c:v>
                </c:pt>
                <c:pt idx="17">
                  <c:v>979.52030299712897</c:v>
                </c:pt>
                <c:pt idx="18">
                  <c:v>1128.9986273094619</c:v>
                </c:pt>
                <c:pt idx="19">
                  <c:v>1307.5537243723177</c:v>
                </c:pt>
                <c:pt idx="20">
                  <c:v>1399.8505244952294</c:v>
                </c:pt>
                <c:pt idx="21">
                  <c:v>1401.6975481091304</c:v>
                </c:pt>
                <c:pt idx="22">
                  <c:v>1484.3992387127716</c:v>
                </c:pt>
                <c:pt idx="23">
                  <c:v>1662.5646289160511</c:v>
                </c:pt>
                <c:pt idx="24">
                  <c:v>1685.1881606303587</c:v>
                </c:pt>
                <c:pt idx="25">
                  <c:v>1553.6586001864798</c:v>
                </c:pt>
                <c:pt idx="26">
                  <c:v>1282.6143714651607</c:v>
                </c:pt>
                <c:pt idx="27">
                  <c:v>1273.6507521151057</c:v>
                </c:pt>
                <c:pt idx="28">
                  <c:v>1459.0981140584927</c:v>
                </c:pt>
                <c:pt idx="29">
                  <c:v>1518.138316342048</c:v>
                </c:pt>
                <c:pt idx="30">
                  <c:v>1608.0021734961697</c:v>
                </c:pt>
                <c:pt idx="31">
                  <c:v>1703.5173369181621</c:v>
                </c:pt>
                <c:pt idx="32">
                  <c:v>1968.5479989997048</c:v>
                </c:pt>
                <c:pt idx="33">
                  <c:v>2074.294821767448</c:v>
                </c:pt>
                <c:pt idx="34">
                  <c:v>2073.6181179579085</c:v>
                </c:pt>
                <c:pt idx="35">
                  <c:v>2041.4475342738251</c:v>
                </c:pt>
              </c:numCache>
            </c:numRef>
          </c:val>
          <c:smooth val="0"/>
        </c:ser>
        <c:ser>
          <c:idx val="4"/>
          <c:order val="2"/>
          <c:tx>
            <c:v>Goal Bounds</c:v>
          </c:tx>
          <c:spPr>
            <a:ln w="25400">
              <a:solidFill>
                <a:srgbClr val="000000"/>
              </a:solidFill>
              <a:prstDash val="solid"/>
            </a:ln>
          </c:spPr>
          <c:marker>
            <c:symbol val="none"/>
          </c:marker>
          <c:cat>
            <c:numRef>
              <c:f>'Fig 5 Fig 6 Table 4 Sitka'!$M$10:$M$45</c:f>
              <c:numCache>
                <c:formatCode>#,##0</c:formatCode>
                <c:ptCount val="36"/>
                <c:pt idx="0">
                  <c:v>1545.3219007545463</c:v>
                </c:pt>
                <c:pt idx="1">
                  <c:v>456.62998799081362</c:v>
                </c:pt>
                <c:pt idx="2">
                  <c:v>2062.8587955777002</c:v>
                </c:pt>
                <c:pt idx="3">
                  <c:v>1245.8850151473785</c:v>
                </c:pt>
                <c:pt idx="4">
                  <c:v>701.94667538311569</c:v>
                </c:pt>
                <c:pt idx="5">
                  <c:v>293.01983987605763</c:v>
                </c:pt>
                <c:pt idx="6">
                  <c:v>402.6513632086486</c:v>
                </c:pt>
                <c:pt idx="7">
                  <c:v>576.25829154790063</c:v>
                </c:pt>
                <c:pt idx="8">
                  <c:v>566</c:v>
                </c:pt>
                <c:pt idx="9">
                  <c:v>1510</c:v>
                </c:pt>
                <c:pt idx="10">
                  <c:v>1899</c:v>
                </c:pt>
                <c:pt idx="11">
                  <c:v>1716.3150783224742</c:v>
                </c:pt>
                <c:pt idx="12">
                  <c:v>1965</c:v>
                </c:pt>
                <c:pt idx="13">
                  <c:v>1487</c:v>
                </c:pt>
                <c:pt idx="14">
                  <c:v>1451</c:v>
                </c:pt>
                <c:pt idx="15">
                  <c:v>809</c:v>
                </c:pt>
                <c:pt idx="16">
                  <c:v>1242</c:v>
                </c:pt>
                <c:pt idx="17">
                  <c:v>775.58397313770752</c:v>
                </c:pt>
                <c:pt idx="18">
                  <c:v>803</c:v>
                </c:pt>
                <c:pt idx="19">
                  <c:v>1515</c:v>
                </c:pt>
                <c:pt idx="20">
                  <c:v>1868</c:v>
                </c:pt>
                <c:pt idx="21">
                  <c:v>1101</c:v>
                </c:pt>
                <c:pt idx="22">
                  <c:v>1124</c:v>
                </c:pt>
                <c:pt idx="23">
                  <c:v>1668</c:v>
                </c:pt>
                <c:pt idx="24">
                  <c:v>2647</c:v>
                </c:pt>
                <c:pt idx="25">
                  <c:v>1066</c:v>
                </c:pt>
                <c:pt idx="26">
                  <c:v>1117</c:v>
                </c:pt>
                <c:pt idx="27">
                  <c:v>1156</c:v>
                </c:pt>
                <c:pt idx="28">
                  <c:v>1273</c:v>
                </c:pt>
                <c:pt idx="29">
                  <c:v>2222</c:v>
                </c:pt>
                <c:pt idx="30">
                  <c:v>1157</c:v>
                </c:pt>
                <c:pt idx="31">
                  <c:v>1414</c:v>
                </c:pt>
                <c:pt idx="32">
                  <c:v>2161</c:v>
                </c:pt>
                <c:pt idx="33">
                  <c:v>2244</c:v>
                </c:pt>
                <c:pt idx="34">
                  <c:v>2943</c:v>
                </c:pt>
                <c:pt idx="35">
                  <c:v>1280</c:v>
                </c:pt>
              </c:numCache>
            </c:numRef>
          </c:cat>
          <c:val>
            <c:numRef>
              <c:f>'Fig 5 Fig 6 Table 4 Sitka'!$O$10:$O$45</c:f>
              <c:numCache>
                <c:formatCode>#,##0</c:formatCode>
                <c:ptCount val="36"/>
                <c:pt idx="0">
                  <c:v>400</c:v>
                </c:pt>
                <c:pt idx="1">
                  <c:v>400</c:v>
                </c:pt>
                <c:pt idx="2">
                  <c:v>400</c:v>
                </c:pt>
                <c:pt idx="3">
                  <c:v>400</c:v>
                </c:pt>
                <c:pt idx="4">
                  <c:v>400</c:v>
                </c:pt>
                <c:pt idx="5">
                  <c:v>400</c:v>
                </c:pt>
                <c:pt idx="6">
                  <c:v>400</c:v>
                </c:pt>
                <c:pt idx="7">
                  <c:v>400</c:v>
                </c:pt>
                <c:pt idx="8">
                  <c:v>400</c:v>
                </c:pt>
                <c:pt idx="9">
                  <c:v>400</c:v>
                </c:pt>
                <c:pt idx="10">
                  <c:v>400</c:v>
                </c:pt>
                <c:pt idx="11">
                  <c:v>400</c:v>
                </c:pt>
                <c:pt idx="12">
                  <c:v>400</c:v>
                </c:pt>
                <c:pt idx="13">
                  <c:v>400</c:v>
                </c:pt>
                <c:pt idx="14">
                  <c:v>400</c:v>
                </c:pt>
                <c:pt idx="15">
                  <c:v>400</c:v>
                </c:pt>
                <c:pt idx="16">
                  <c:v>400</c:v>
                </c:pt>
                <c:pt idx="17">
                  <c:v>400</c:v>
                </c:pt>
                <c:pt idx="18">
                  <c:v>400</c:v>
                </c:pt>
                <c:pt idx="19">
                  <c:v>400</c:v>
                </c:pt>
                <c:pt idx="20">
                  <c:v>400</c:v>
                </c:pt>
                <c:pt idx="21">
                  <c:v>400</c:v>
                </c:pt>
                <c:pt idx="22">
                  <c:v>400</c:v>
                </c:pt>
                <c:pt idx="23">
                  <c:v>400</c:v>
                </c:pt>
                <c:pt idx="24">
                  <c:v>400</c:v>
                </c:pt>
                <c:pt idx="25">
                  <c:v>400</c:v>
                </c:pt>
                <c:pt idx="26">
                  <c:v>400</c:v>
                </c:pt>
                <c:pt idx="27">
                  <c:v>400</c:v>
                </c:pt>
                <c:pt idx="28">
                  <c:v>400</c:v>
                </c:pt>
                <c:pt idx="29">
                  <c:v>400</c:v>
                </c:pt>
                <c:pt idx="30">
                  <c:v>400</c:v>
                </c:pt>
                <c:pt idx="31">
                  <c:v>400</c:v>
                </c:pt>
                <c:pt idx="32">
                  <c:v>400</c:v>
                </c:pt>
                <c:pt idx="33">
                  <c:v>400</c:v>
                </c:pt>
                <c:pt idx="34">
                  <c:v>400</c:v>
                </c:pt>
                <c:pt idx="35">
                  <c:v>400</c:v>
                </c:pt>
              </c:numCache>
            </c:numRef>
          </c:val>
          <c:smooth val="0"/>
        </c:ser>
        <c:ser>
          <c:idx val="5"/>
          <c:order val="3"/>
          <c:tx>
            <c:v>Upper Goal</c:v>
          </c:tx>
          <c:spPr>
            <a:ln w="25400">
              <a:solidFill>
                <a:srgbClr val="000000"/>
              </a:solidFill>
              <a:prstDash val="solid"/>
            </a:ln>
          </c:spPr>
          <c:marker>
            <c:symbol val="none"/>
          </c:marker>
          <c:cat>
            <c:numRef>
              <c:f>'Fig 5 Fig 6 Table 4 Sitka'!$M$10:$M$45</c:f>
              <c:numCache>
                <c:formatCode>#,##0</c:formatCode>
                <c:ptCount val="36"/>
                <c:pt idx="0">
                  <c:v>1545.3219007545463</c:v>
                </c:pt>
                <c:pt idx="1">
                  <c:v>456.62998799081362</c:v>
                </c:pt>
                <c:pt idx="2">
                  <c:v>2062.8587955777002</c:v>
                </c:pt>
                <c:pt idx="3">
                  <c:v>1245.8850151473785</c:v>
                </c:pt>
                <c:pt idx="4">
                  <c:v>701.94667538311569</c:v>
                </c:pt>
                <c:pt idx="5">
                  <c:v>293.01983987605763</c:v>
                </c:pt>
                <c:pt idx="6">
                  <c:v>402.6513632086486</c:v>
                </c:pt>
                <c:pt idx="7">
                  <c:v>576.25829154790063</c:v>
                </c:pt>
                <c:pt idx="8">
                  <c:v>566</c:v>
                </c:pt>
                <c:pt idx="9">
                  <c:v>1510</c:v>
                </c:pt>
                <c:pt idx="10">
                  <c:v>1899</c:v>
                </c:pt>
                <c:pt idx="11">
                  <c:v>1716.3150783224742</c:v>
                </c:pt>
                <c:pt idx="12">
                  <c:v>1965</c:v>
                </c:pt>
                <c:pt idx="13">
                  <c:v>1487</c:v>
                </c:pt>
                <c:pt idx="14">
                  <c:v>1451</c:v>
                </c:pt>
                <c:pt idx="15">
                  <c:v>809</c:v>
                </c:pt>
                <c:pt idx="16">
                  <c:v>1242</c:v>
                </c:pt>
                <c:pt idx="17">
                  <c:v>775.58397313770752</c:v>
                </c:pt>
                <c:pt idx="18">
                  <c:v>803</c:v>
                </c:pt>
                <c:pt idx="19">
                  <c:v>1515</c:v>
                </c:pt>
                <c:pt idx="20">
                  <c:v>1868</c:v>
                </c:pt>
                <c:pt idx="21">
                  <c:v>1101</c:v>
                </c:pt>
                <c:pt idx="22">
                  <c:v>1124</c:v>
                </c:pt>
                <c:pt idx="23">
                  <c:v>1668</c:v>
                </c:pt>
                <c:pt idx="24">
                  <c:v>2647</c:v>
                </c:pt>
                <c:pt idx="25">
                  <c:v>1066</c:v>
                </c:pt>
                <c:pt idx="26">
                  <c:v>1117</c:v>
                </c:pt>
                <c:pt idx="27">
                  <c:v>1156</c:v>
                </c:pt>
                <c:pt idx="28">
                  <c:v>1273</c:v>
                </c:pt>
                <c:pt idx="29">
                  <c:v>2222</c:v>
                </c:pt>
                <c:pt idx="30">
                  <c:v>1157</c:v>
                </c:pt>
                <c:pt idx="31">
                  <c:v>1414</c:v>
                </c:pt>
                <c:pt idx="32">
                  <c:v>2161</c:v>
                </c:pt>
                <c:pt idx="33">
                  <c:v>2244</c:v>
                </c:pt>
                <c:pt idx="34">
                  <c:v>2943</c:v>
                </c:pt>
                <c:pt idx="35">
                  <c:v>1280</c:v>
                </c:pt>
              </c:numCache>
            </c:numRef>
          </c:cat>
          <c:val>
            <c:numRef>
              <c:f>'Fig 5 Fig 6 Table 4 Sitka'!$P$10:$P$45</c:f>
              <c:numCache>
                <c:formatCode>#,##0</c:formatCode>
                <c:ptCount val="36"/>
                <c:pt idx="0">
                  <c:v>800</c:v>
                </c:pt>
                <c:pt idx="1">
                  <c:v>800</c:v>
                </c:pt>
                <c:pt idx="2">
                  <c:v>800</c:v>
                </c:pt>
                <c:pt idx="3">
                  <c:v>800</c:v>
                </c:pt>
                <c:pt idx="4">
                  <c:v>800</c:v>
                </c:pt>
                <c:pt idx="5">
                  <c:v>800</c:v>
                </c:pt>
                <c:pt idx="6">
                  <c:v>800</c:v>
                </c:pt>
                <c:pt idx="7">
                  <c:v>800</c:v>
                </c:pt>
                <c:pt idx="8">
                  <c:v>800</c:v>
                </c:pt>
                <c:pt idx="9">
                  <c:v>800</c:v>
                </c:pt>
                <c:pt idx="10">
                  <c:v>800</c:v>
                </c:pt>
                <c:pt idx="11">
                  <c:v>800</c:v>
                </c:pt>
                <c:pt idx="12">
                  <c:v>800</c:v>
                </c:pt>
                <c:pt idx="13">
                  <c:v>800</c:v>
                </c:pt>
                <c:pt idx="14">
                  <c:v>800</c:v>
                </c:pt>
                <c:pt idx="15">
                  <c:v>800</c:v>
                </c:pt>
                <c:pt idx="16">
                  <c:v>800</c:v>
                </c:pt>
                <c:pt idx="17">
                  <c:v>800</c:v>
                </c:pt>
                <c:pt idx="18">
                  <c:v>800</c:v>
                </c:pt>
                <c:pt idx="19">
                  <c:v>800</c:v>
                </c:pt>
                <c:pt idx="20">
                  <c:v>800</c:v>
                </c:pt>
                <c:pt idx="21">
                  <c:v>800</c:v>
                </c:pt>
                <c:pt idx="22">
                  <c:v>800</c:v>
                </c:pt>
                <c:pt idx="23">
                  <c:v>800</c:v>
                </c:pt>
                <c:pt idx="24">
                  <c:v>800</c:v>
                </c:pt>
                <c:pt idx="25">
                  <c:v>800</c:v>
                </c:pt>
                <c:pt idx="26">
                  <c:v>800</c:v>
                </c:pt>
                <c:pt idx="27">
                  <c:v>800</c:v>
                </c:pt>
                <c:pt idx="28">
                  <c:v>800</c:v>
                </c:pt>
                <c:pt idx="29">
                  <c:v>800</c:v>
                </c:pt>
                <c:pt idx="30">
                  <c:v>800</c:v>
                </c:pt>
                <c:pt idx="31">
                  <c:v>800</c:v>
                </c:pt>
                <c:pt idx="32">
                  <c:v>800</c:v>
                </c:pt>
                <c:pt idx="33">
                  <c:v>800</c:v>
                </c:pt>
                <c:pt idx="34">
                  <c:v>800</c:v>
                </c:pt>
                <c:pt idx="35">
                  <c:v>800</c:v>
                </c:pt>
              </c:numCache>
            </c:numRef>
          </c:val>
          <c:smooth val="0"/>
        </c:ser>
        <c:dLbls>
          <c:showLegendKey val="0"/>
          <c:showVal val="0"/>
          <c:showCatName val="0"/>
          <c:showSerName val="0"/>
          <c:showPercent val="0"/>
          <c:showBubbleSize val="0"/>
        </c:dLbls>
        <c:marker val="1"/>
        <c:smooth val="0"/>
        <c:axId val="171721472"/>
        <c:axId val="171723008"/>
      </c:lineChart>
      <c:catAx>
        <c:axId val="171721472"/>
        <c:scaling>
          <c:orientation val="minMax"/>
        </c:scaling>
        <c:delete val="0"/>
        <c:axPos val="b"/>
        <c:numFmt formatCode="General" sourceLinked="1"/>
        <c:majorTickMark val="none"/>
        <c:minorTickMark val="none"/>
        <c:tickLblPos val="nextTo"/>
        <c:spPr>
          <a:ln w="12700">
            <a:solidFill>
              <a:srgbClr val="000000"/>
            </a:solidFill>
            <a:prstDash val="solid"/>
          </a:ln>
        </c:spPr>
        <c:txPr>
          <a:bodyPr rot="-5400000" vert="horz"/>
          <a:lstStyle/>
          <a:p>
            <a:pPr>
              <a:defRPr sz="200" b="1" i="0" u="none" strike="noStrike" baseline="0">
                <a:solidFill>
                  <a:srgbClr val="FFFFFF"/>
                </a:solidFill>
                <a:latin typeface="Arial"/>
                <a:ea typeface="Arial"/>
                <a:cs typeface="Arial"/>
              </a:defRPr>
            </a:pPr>
            <a:endParaRPr lang="en-US"/>
          </a:p>
        </c:txPr>
        <c:crossAx val="171723008"/>
        <c:crosses val="autoZero"/>
        <c:auto val="1"/>
        <c:lblAlgn val="ctr"/>
        <c:lblOffset val="100"/>
        <c:tickLblSkip val="1"/>
        <c:tickMarkSkip val="1"/>
        <c:noMultiLvlLbl val="0"/>
      </c:catAx>
      <c:valAx>
        <c:axId val="171723008"/>
        <c:scaling>
          <c:orientation val="minMax"/>
          <c:max val="3000"/>
          <c:min val="0"/>
        </c:scaling>
        <c:delete val="0"/>
        <c:axPos val="l"/>
        <c:title>
          <c:tx>
            <c:rich>
              <a:bodyPr/>
              <a:lstStyle/>
              <a:p>
                <a:pPr>
                  <a:defRPr sz="1400" b="1" i="0" u="none" strike="noStrike" baseline="0">
                    <a:solidFill>
                      <a:srgbClr val="000000"/>
                    </a:solidFill>
                    <a:latin typeface="Arial"/>
                    <a:ea typeface="Arial"/>
                    <a:cs typeface="Arial"/>
                  </a:defRPr>
                </a:pPr>
                <a:r>
                  <a:rPr lang="en-US" sz="1400"/>
                  <a:t>Spawners</a:t>
                </a:r>
              </a:p>
            </c:rich>
          </c:tx>
          <c:layout>
            <c:manualLayout>
              <c:xMode val="edge"/>
              <c:yMode val="edge"/>
              <c:x val="1.0857969542026041E-3"/>
              <c:y val="0.6183332814623467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71721472"/>
        <c:crosses val="autoZero"/>
        <c:crossBetween val="between"/>
        <c:majorUnit val="500"/>
        <c:minorUnit val="500"/>
      </c:valAx>
      <c:spPr>
        <a:solidFill>
          <a:srgbClr val="FFFFFF"/>
        </a:solidFill>
        <a:ln w="25400">
          <a:noFill/>
        </a:ln>
      </c:spPr>
    </c:plotArea>
    <c:plotVisOnly val="1"/>
    <c:dispBlanksAs val="gap"/>
    <c:showDLblsOverMax val="0"/>
  </c:chart>
  <c:spPr>
    <a:noFill/>
    <a:ln w="9525">
      <a:noFill/>
    </a:ln>
  </c:spPr>
  <c:txPr>
    <a:bodyPr/>
    <a:lstStyle/>
    <a:p>
      <a:pPr>
        <a:defRPr sz="575"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sz="1400"/>
              <a:t>Ford</a:t>
            </a:r>
            <a:r>
              <a:rPr lang="en-US" sz="1400" baseline="0"/>
              <a:t> Arm Creek</a:t>
            </a:r>
            <a:endParaRPr lang="en-US" sz="1400"/>
          </a:p>
          <a:p>
            <a:pPr>
              <a:defRPr sz="1400" b="1" i="0" u="none" strike="noStrike" baseline="0">
                <a:solidFill>
                  <a:srgbClr val="000000"/>
                </a:solidFill>
                <a:latin typeface="Arial"/>
                <a:ea typeface="Arial"/>
                <a:cs typeface="Arial"/>
              </a:defRPr>
            </a:pPr>
            <a:r>
              <a:rPr lang="en-US" sz="1400"/>
              <a:t>(Weir/Mark</a:t>
            </a:r>
            <a:r>
              <a:rPr lang="en-US" sz="1400" b="1" i="0" u="none" strike="noStrike" baseline="0">
                <a:effectLst/>
              </a:rPr>
              <a:t>–</a:t>
            </a:r>
            <a:r>
              <a:rPr lang="en-US" sz="1400"/>
              <a:t>Recapture)</a:t>
            </a:r>
          </a:p>
        </c:rich>
      </c:tx>
      <c:layout>
        <c:manualLayout>
          <c:xMode val="edge"/>
          <c:yMode val="edge"/>
          <c:x val="0.42545475933155413"/>
          <c:y val="5.77424945169525E-2"/>
        </c:manualLayout>
      </c:layout>
      <c:overlay val="0"/>
      <c:spPr>
        <a:noFill/>
        <a:ln w="25400">
          <a:noFill/>
        </a:ln>
      </c:spPr>
    </c:title>
    <c:autoTitleDeleted val="0"/>
    <c:plotArea>
      <c:layout>
        <c:manualLayout>
          <c:layoutTarget val="inner"/>
          <c:xMode val="edge"/>
          <c:yMode val="edge"/>
          <c:x val="0.11647264680150275"/>
          <c:y val="7.5461690576349189E-2"/>
          <c:w val="0.88350632641508042"/>
          <c:h val="0.65423708337827635"/>
        </c:manualLayout>
      </c:layout>
      <c:barChart>
        <c:barDir val="col"/>
        <c:grouping val="stacked"/>
        <c:varyColors val="0"/>
        <c:ser>
          <c:idx val="0"/>
          <c:order val="1"/>
          <c:tx>
            <c:v>Total Escapement</c:v>
          </c:tx>
          <c:spPr>
            <a:solidFill>
              <a:srgbClr val="E3E3E3"/>
            </a:solidFill>
            <a:ln w="12700">
              <a:solidFill>
                <a:srgbClr val="000000"/>
              </a:solidFill>
              <a:prstDash val="solid"/>
            </a:ln>
          </c:spPr>
          <c:invertIfNegative val="0"/>
          <c:cat>
            <c:numRef>
              <c:f>'Fig 5 Fig 6 Table 4 Sitka'!$L$10:$L$45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'Fig 5 Fig 6 Table 4 Sitka'!$R$10:$R$45</c:f>
              <c:numCache>
                <c:formatCode>#,##0</c:formatCode>
                <c:ptCount val="36"/>
                <c:pt idx="0">
                  <c:v>2655</c:v>
                </c:pt>
                <c:pt idx="1">
                  <c:v>1931</c:v>
                </c:pt>
                <c:pt idx="2">
                  <c:v>0</c:v>
                </c:pt>
                <c:pt idx="3">
                  <c:v>2324</c:v>
                </c:pt>
                <c:pt idx="4">
                  <c:v>1552</c:v>
                </c:pt>
                <c:pt idx="5">
                  <c:v>1694</c:v>
                </c:pt>
                <c:pt idx="6">
                  <c:v>3119</c:v>
                </c:pt>
                <c:pt idx="7">
                  <c:v>2176</c:v>
                </c:pt>
                <c:pt idx="8">
                  <c:v>2192</c:v>
                </c:pt>
                <c:pt idx="9">
                  <c:v>2761</c:v>
                </c:pt>
                <c:pt idx="10">
                  <c:v>3866</c:v>
                </c:pt>
                <c:pt idx="11">
                  <c:v>4202</c:v>
                </c:pt>
                <c:pt idx="12">
                  <c:v>3227</c:v>
                </c:pt>
                <c:pt idx="13">
                  <c:v>2446</c:v>
                </c:pt>
                <c:pt idx="14">
                  <c:v>2500</c:v>
                </c:pt>
                <c:pt idx="15">
                  <c:v>4718</c:v>
                </c:pt>
                <c:pt idx="16">
                  <c:v>7049</c:v>
                </c:pt>
                <c:pt idx="17">
                  <c:v>3800</c:v>
                </c:pt>
                <c:pt idx="18">
                  <c:v>2304</c:v>
                </c:pt>
                <c:pt idx="19">
                  <c:v>2209</c:v>
                </c:pt>
                <c:pt idx="20">
                  <c:v>7109</c:v>
                </c:pt>
                <c:pt idx="21">
                  <c:v>6789</c:v>
                </c:pt>
                <c:pt idx="22">
                  <c:v>3539</c:v>
                </c:pt>
                <c:pt idx="23">
                  <c:v>4257</c:v>
                </c:pt>
                <c:pt idx="24">
                  <c:v>4737</c:v>
                </c:pt>
                <c:pt idx="25">
                  <c:v>2567</c:v>
                </c:pt>
                <c:pt idx="26">
                  <c:v>5173</c:v>
                </c:pt>
                <c:pt idx="27">
                  <c:v>2181</c:v>
                </c:pt>
                <c:pt idx="28">
                  <c:v>1610</c:v>
                </c:pt>
                <c:pt idx="29">
                  <c:v>1908</c:v>
                </c:pt>
                <c:pt idx="30">
                  <c:v>2282</c:v>
                </c:pt>
                <c:pt idx="31">
                  <c:v>1573</c:v>
                </c:pt>
                <c:pt idx="32">
                  <c:v>3025</c:v>
                </c:pt>
                <c:pt idx="33">
                  <c:v>3281</c:v>
                </c:pt>
                <c:pt idx="34">
                  <c:v>0</c:v>
                </c:pt>
                <c:pt idx="35">
                  <c:v>0</c:v>
                </c:pt>
              </c:numCache>
            </c:numRef>
          </c:val>
        </c:ser>
        <c:dLbls>
          <c:showLegendKey val="0"/>
          <c:showVal val="0"/>
          <c:showCatName val="0"/>
          <c:showSerName val="0"/>
          <c:showPercent val="0"/>
          <c:showBubbleSize val="0"/>
        </c:dLbls>
        <c:gapWidth val="60"/>
        <c:overlap val="100"/>
        <c:axId val="1971328"/>
        <c:axId val="1973248"/>
      </c:barChart>
      <c:lineChart>
        <c:grouping val="standard"/>
        <c:varyColors val="0"/>
        <c:ser>
          <c:idx val="1"/>
          <c:order val="0"/>
          <c:tx>
            <c:v>Trend</c:v>
          </c:tx>
          <c:spPr>
            <a:ln w="12700">
              <a:solidFill>
                <a:srgbClr val="424242"/>
              </a:solidFill>
              <a:prstDash val="lgDash"/>
            </a:ln>
          </c:spPr>
          <c:marker>
            <c:symbol val="none"/>
          </c:marker>
          <c:cat>
            <c:numRef>
              <c:f>'Fig 5 Fig 6 Table 4 Sitka'!$L$10:$L$45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'Fig 5 Fig 6 Table 4 Sitka'!$S$10:$S$45</c:f>
              <c:numCache>
                <c:formatCode>General</c:formatCode>
                <c:ptCount val="36"/>
                <c:pt idx="0">
                  <c:v>2446.0837358628933</c:v>
                </c:pt>
                <c:pt idx="1">
                  <c:v>2288.9140396969606</c:v>
                </c:pt>
                <c:pt idx="2">
                  <c:v>2119.1538462290482</c:v>
                </c:pt>
                <c:pt idx="3">
                  <c:v>1971.2842767494574</c:v>
                </c:pt>
                <c:pt idx="4">
                  <c:v>1999.9016160025521</c:v>
                </c:pt>
                <c:pt idx="5">
                  <c:v>2134.2027045067598</c:v>
                </c:pt>
                <c:pt idx="6">
                  <c:v>2262.3443612309989</c:v>
                </c:pt>
                <c:pt idx="7">
                  <c:v>2432.1793213381711</c:v>
                </c:pt>
                <c:pt idx="8">
                  <c:v>2594.0216042569555</c:v>
                </c:pt>
                <c:pt idx="9">
                  <c:v>2984.0688663749015</c:v>
                </c:pt>
                <c:pt idx="10">
                  <c:v>3437.41465801194</c:v>
                </c:pt>
                <c:pt idx="11">
                  <c:v>3546.0059655665709</c:v>
                </c:pt>
                <c:pt idx="12">
                  <c:v>3267.9340511373625</c:v>
                </c:pt>
                <c:pt idx="13">
                  <c:v>3063.0993544922094</c:v>
                </c:pt>
                <c:pt idx="14">
                  <c:v>3582.7031341081711</c:v>
                </c:pt>
                <c:pt idx="15">
                  <c:v>4427.7993959986643</c:v>
                </c:pt>
                <c:pt idx="16">
                  <c:v>4688.466894229412</c:v>
                </c:pt>
                <c:pt idx="17">
                  <c:v>4182.1075802538799</c:v>
                </c:pt>
                <c:pt idx="18">
                  <c:v>3618.7116239311717</c:v>
                </c:pt>
                <c:pt idx="19">
                  <c:v>4107.0789897577424</c:v>
                </c:pt>
                <c:pt idx="20">
                  <c:v>4932.7153008648502</c:v>
                </c:pt>
                <c:pt idx="21">
                  <c:v>5326.2064250871381</c:v>
                </c:pt>
                <c:pt idx="22">
                  <c:v>5033.3952859678484</c:v>
                </c:pt>
                <c:pt idx="23">
                  <c:v>4280.2256796282418</c:v>
                </c:pt>
                <c:pt idx="24">
                  <c:v>3981.3371105933084</c:v>
                </c:pt>
                <c:pt idx="25">
                  <c:v>3921.9678649639159</c:v>
                </c:pt>
                <c:pt idx="26">
                  <c:v>3337.637740410406</c:v>
                </c:pt>
                <c:pt idx="27">
                  <c:v>2813.0155649123831</c:v>
                </c:pt>
                <c:pt idx="28">
                  <c:v>2256.5276358459905</c:v>
                </c:pt>
                <c:pt idx="29">
                  <c:v>1921.2819570295521</c:v>
                </c:pt>
                <c:pt idx="30">
                  <c:v>2011.4382594441181</c:v>
                </c:pt>
                <c:pt idx="31">
                  <c:v>2390.4740499480208</c:v>
                </c:pt>
                <c:pt idx="32">
                  <c:v>2756.6105703591975</c:v>
                </c:pt>
                <c:pt idx="33">
                  <c:v>3155.8870391220662</c:v>
                </c:pt>
              </c:numCache>
            </c:numRef>
          </c:val>
          <c:smooth val="0"/>
        </c:ser>
        <c:ser>
          <c:idx val="4"/>
          <c:order val="2"/>
          <c:tx>
            <c:v>Lower</c:v>
          </c:tx>
          <c:spPr>
            <a:ln w="25400">
              <a:solidFill>
                <a:srgbClr val="000000"/>
              </a:solidFill>
              <a:prstDash val="solid"/>
            </a:ln>
          </c:spPr>
          <c:marker>
            <c:symbol val="none"/>
          </c:marker>
          <c:cat>
            <c:numRef>
              <c:f>'Fig 5 Fig 6 Table 4 Sitka'!$L$10:$L$45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'Fig 5 Fig 6 Table 4 Sitka'!$T$10:$T$45</c:f>
              <c:numCache>
                <c:formatCode>#,##0</c:formatCode>
                <c:ptCount val="36"/>
                <c:pt idx="0">
                  <c:v>1300</c:v>
                </c:pt>
                <c:pt idx="1">
                  <c:v>1300</c:v>
                </c:pt>
                <c:pt idx="2">
                  <c:v>1300</c:v>
                </c:pt>
                <c:pt idx="3">
                  <c:v>1300</c:v>
                </c:pt>
                <c:pt idx="4">
                  <c:v>1300</c:v>
                </c:pt>
                <c:pt idx="5">
                  <c:v>1300</c:v>
                </c:pt>
                <c:pt idx="6">
                  <c:v>1300</c:v>
                </c:pt>
                <c:pt idx="7">
                  <c:v>1300</c:v>
                </c:pt>
                <c:pt idx="8">
                  <c:v>1300</c:v>
                </c:pt>
                <c:pt idx="9">
                  <c:v>1300</c:v>
                </c:pt>
                <c:pt idx="10">
                  <c:v>1300</c:v>
                </c:pt>
                <c:pt idx="11">
                  <c:v>1300</c:v>
                </c:pt>
                <c:pt idx="12">
                  <c:v>1300</c:v>
                </c:pt>
                <c:pt idx="13">
                  <c:v>1300</c:v>
                </c:pt>
                <c:pt idx="14">
                  <c:v>1300</c:v>
                </c:pt>
                <c:pt idx="15">
                  <c:v>1300</c:v>
                </c:pt>
                <c:pt idx="16">
                  <c:v>1300</c:v>
                </c:pt>
                <c:pt idx="17">
                  <c:v>1300</c:v>
                </c:pt>
                <c:pt idx="18">
                  <c:v>1300</c:v>
                </c:pt>
                <c:pt idx="19">
                  <c:v>1300</c:v>
                </c:pt>
                <c:pt idx="20">
                  <c:v>1300</c:v>
                </c:pt>
                <c:pt idx="21">
                  <c:v>1300</c:v>
                </c:pt>
                <c:pt idx="22">
                  <c:v>1300</c:v>
                </c:pt>
                <c:pt idx="23">
                  <c:v>1300</c:v>
                </c:pt>
                <c:pt idx="24">
                  <c:v>1300</c:v>
                </c:pt>
                <c:pt idx="25">
                  <c:v>1300</c:v>
                </c:pt>
                <c:pt idx="26">
                  <c:v>1300</c:v>
                </c:pt>
                <c:pt idx="27">
                  <c:v>1300</c:v>
                </c:pt>
                <c:pt idx="28">
                  <c:v>1300</c:v>
                </c:pt>
                <c:pt idx="29">
                  <c:v>1300</c:v>
                </c:pt>
                <c:pt idx="30">
                  <c:v>1300</c:v>
                </c:pt>
                <c:pt idx="31">
                  <c:v>1300</c:v>
                </c:pt>
                <c:pt idx="32">
                  <c:v>1300</c:v>
                </c:pt>
                <c:pt idx="33">
                  <c:v>1300</c:v>
                </c:pt>
                <c:pt idx="34">
                  <c:v>1300</c:v>
                </c:pt>
                <c:pt idx="35">
                  <c:v>1300</c:v>
                </c:pt>
              </c:numCache>
            </c:numRef>
          </c:val>
          <c:smooth val="0"/>
        </c:ser>
        <c:ser>
          <c:idx val="2"/>
          <c:order val="3"/>
          <c:tx>
            <c:v>Goal Bounds</c:v>
          </c:tx>
          <c:spPr>
            <a:ln w="25400">
              <a:solidFill>
                <a:srgbClr val="000000"/>
              </a:solidFill>
              <a:prstDash val="solid"/>
            </a:ln>
          </c:spPr>
          <c:marker>
            <c:symbol val="none"/>
          </c:marker>
          <c:cat>
            <c:numRef>
              <c:f>'Fig 5 Fig 6 Table 4 Sitka'!$L$10:$L$45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'Fig 5 Fig 6 Table 4 Sitka'!$U$10:$U$45</c:f>
              <c:numCache>
                <c:formatCode>#,##0</c:formatCode>
                <c:ptCount val="36"/>
                <c:pt idx="0">
                  <c:v>2900</c:v>
                </c:pt>
                <c:pt idx="1">
                  <c:v>2900</c:v>
                </c:pt>
                <c:pt idx="2">
                  <c:v>2900</c:v>
                </c:pt>
                <c:pt idx="3">
                  <c:v>2900</c:v>
                </c:pt>
                <c:pt idx="4">
                  <c:v>2900</c:v>
                </c:pt>
                <c:pt idx="5">
                  <c:v>2900</c:v>
                </c:pt>
                <c:pt idx="6">
                  <c:v>2900</c:v>
                </c:pt>
                <c:pt idx="7">
                  <c:v>2900</c:v>
                </c:pt>
                <c:pt idx="8">
                  <c:v>2900</c:v>
                </c:pt>
                <c:pt idx="9">
                  <c:v>2900</c:v>
                </c:pt>
                <c:pt idx="10">
                  <c:v>2900</c:v>
                </c:pt>
                <c:pt idx="11">
                  <c:v>2900</c:v>
                </c:pt>
                <c:pt idx="12">
                  <c:v>2900</c:v>
                </c:pt>
                <c:pt idx="13">
                  <c:v>2900</c:v>
                </c:pt>
                <c:pt idx="14">
                  <c:v>2900</c:v>
                </c:pt>
                <c:pt idx="15">
                  <c:v>2900</c:v>
                </c:pt>
                <c:pt idx="16">
                  <c:v>2900</c:v>
                </c:pt>
                <c:pt idx="17">
                  <c:v>2900</c:v>
                </c:pt>
                <c:pt idx="18">
                  <c:v>2900</c:v>
                </c:pt>
                <c:pt idx="19">
                  <c:v>2900</c:v>
                </c:pt>
                <c:pt idx="20">
                  <c:v>2900</c:v>
                </c:pt>
                <c:pt idx="21">
                  <c:v>2900</c:v>
                </c:pt>
                <c:pt idx="22">
                  <c:v>2900</c:v>
                </c:pt>
                <c:pt idx="23">
                  <c:v>2900</c:v>
                </c:pt>
                <c:pt idx="24">
                  <c:v>2900</c:v>
                </c:pt>
                <c:pt idx="25">
                  <c:v>2900</c:v>
                </c:pt>
                <c:pt idx="26">
                  <c:v>2900</c:v>
                </c:pt>
                <c:pt idx="27">
                  <c:v>2900</c:v>
                </c:pt>
                <c:pt idx="28">
                  <c:v>2900</c:v>
                </c:pt>
                <c:pt idx="29">
                  <c:v>2900</c:v>
                </c:pt>
                <c:pt idx="30">
                  <c:v>2900</c:v>
                </c:pt>
                <c:pt idx="31">
                  <c:v>2900</c:v>
                </c:pt>
                <c:pt idx="32">
                  <c:v>2900</c:v>
                </c:pt>
                <c:pt idx="33">
                  <c:v>2900</c:v>
                </c:pt>
                <c:pt idx="34">
                  <c:v>2900</c:v>
                </c:pt>
                <c:pt idx="35">
                  <c:v>2900</c:v>
                </c:pt>
              </c:numCache>
            </c:numRef>
          </c:val>
          <c:smooth val="0"/>
        </c:ser>
        <c:dLbls>
          <c:showLegendKey val="0"/>
          <c:showVal val="0"/>
          <c:showCatName val="0"/>
          <c:showSerName val="0"/>
          <c:showPercent val="0"/>
          <c:showBubbleSize val="0"/>
        </c:dLbls>
        <c:marker val="1"/>
        <c:smooth val="0"/>
        <c:axId val="1971328"/>
        <c:axId val="1973248"/>
      </c:lineChart>
      <c:catAx>
        <c:axId val="1971328"/>
        <c:scaling>
          <c:orientation val="minMax"/>
        </c:scaling>
        <c:delete val="0"/>
        <c:axPos val="b"/>
        <c:title>
          <c:tx>
            <c:rich>
              <a:bodyPr/>
              <a:lstStyle/>
              <a:p>
                <a:pPr>
                  <a:defRPr sz="1400" b="1" i="0" u="none" strike="noStrike" baseline="0">
                    <a:solidFill>
                      <a:srgbClr val="000000"/>
                    </a:solidFill>
                    <a:latin typeface="Arial"/>
                    <a:ea typeface="Arial"/>
                    <a:cs typeface="Arial"/>
                  </a:defRPr>
                </a:pPr>
                <a:r>
                  <a:rPr lang="en-US" sz="1400"/>
                  <a:t>Year</a:t>
                </a:r>
              </a:p>
            </c:rich>
          </c:tx>
          <c:layout>
            <c:manualLayout>
              <c:xMode val="edge"/>
              <c:yMode val="edge"/>
              <c:x val="0.52502393083217547"/>
              <c:y val="0.84080998094416282"/>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1000" b="1" i="0" u="none" strike="noStrike" baseline="0">
                <a:solidFill>
                  <a:srgbClr val="000000"/>
                </a:solidFill>
                <a:latin typeface="Arial"/>
                <a:ea typeface="Arial"/>
                <a:cs typeface="Arial"/>
              </a:defRPr>
            </a:pPr>
            <a:endParaRPr lang="en-US"/>
          </a:p>
        </c:txPr>
        <c:crossAx val="1973248"/>
        <c:crosses val="autoZero"/>
        <c:auto val="1"/>
        <c:lblAlgn val="ctr"/>
        <c:lblOffset val="100"/>
        <c:tickLblSkip val="2"/>
        <c:tickMarkSkip val="1"/>
        <c:noMultiLvlLbl val="0"/>
      </c:catAx>
      <c:valAx>
        <c:axId val="1973248"/>
        <c:scaling>
          <c:orientation val="minMax"/>
          <c:max val="90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971328"/>
        <c:crosses val="autoZero"/>
        <c:crossBetween val="between"/>
      </c:valAx>
      <c:spPr>
        <a:solidFill>
          <a:srgbClr val="FFFFFF"/>
        </a:solidFill>
        <a:ln w="25400">
          <a:noFill/>
        </a:ln>
      </c:spPr>
    </c:plotArea>
    <c:legend>
      <c:legendPos val="r"/>
      <c:legendEntry>
        <c:idx val="2"/>
        <c:delete val="1"/>
      </c:legendEntry>
      <c:layout>
        <c:manualLayout>
          <c:xMode val="edge"/>
          <c:yMode val="edge"/>
          <c:x val="6.8876684532080554E-2"/>
          <c:y val="0.92842742602380179"/>
          <c:w val="0.93112331546791949"/>
          <c:h val="6.0148851256606628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sz="1400" baseline="0"/>
              <a:t>Ketchikan Index</a:t>
            </a:r>
            <a:endParaRPr lang="en-US" sz="1400"/>
          </a:p>
          <a:p>
            <a:pPr>
              <a:defRPr sz="1400" b="1" i="0" u="none" strike="noStrike" baseline="0">
                <a:solidFill>
                  <a:srgbClr val="000000"/>
                </a:solidFill>
                <a:latin typeface="Arial"/>
                <a:ea typeface="Arial"/>
                <a:cs typeface="Arial"/>
              </a:defRPr>
            </a:pPr>
            <a:r>
              <a:rPr lang="en-US" sz="1400"/>
              <a:t>(Survey)</a:t>
            </a:r>
          </a:p>
        </c:rich>
      </c:tx>
      <c:layout>
        <c:manualLayout>
          <c:xMode val="edge"/>
          <c:yMode val="edge"/>
          <c:x val="0.44875878641818845"/>
          <c:y val="2.5727158120982908E-2"/>
        </c:manualLayout>
      </c:layout>
      <c:overlay val="0"/>
      <c:spPr>
        <a:noFill/>
        <a:ln w="25400">
          <a:noFill/>
        </a:ln>
      </c:spPr>
    </c:title>
    <c:autoTitleDeleted val="0"/>
    <c:plotArea>
      <c:layout>
        <c:manualLayout>
          <c:layoutTarget val="inner"/>
          <c:xMode val="edge"/>
          <c:yMode val="edge"/>
          <c:x val="0.11410821894107556"/>
          <c:y val="2.9101471908412037E-2"/>
          <c:w val="0.88589178105892441"/>
          <c:h val="0.88583149640803649"/>
        </c:manualLayout>
      </c:layout>
      <c:barChart>
        <c:barDir val="col"/>
        <c:grouping val="stacked"/>
        <c:varyColors val="0"/>
        <c:ser>
          <c:idx val="0"/>
          <c:order val="1"/>
          <c:tx>
            <c:v>Peak Count</c:v>
          </c:tx>
          <c:spPr>
            <a:solidFill>
              <a:srgbClr val="E3E3E3"/>
            </a:solidFill>
            <a:ln w="12700">
              <a:solidFill>
                <a:srgbClr val="000000"/>
              </a:solidFill>
              <a:prstDash val="solid"/>
            </a:ln>
          </c:spPr>
          <c:invertIfNegative val="0"/>
          <c:cat>
            <c:numRef>
              <c:f>'Fig 5 Fig 6 Table 4 Sitka'!$L$10:$L$45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'table 5 Ketchikan'!$W$92:$W$126</c:f>
              <c:numCache>
                <c:formatCode>General</c:formatCode>
                <c:ptCount val="35"/>
                <c:pt idx="5" formatCode="#,##0">
                  <c:v>4791.7310554409642</c:v>
                </c:pt>
                <c:pt idx="6" formatCode="#,##0">
                  <c:v>5007</c:v>
                </c:pt>
                <c:pt idx="7" formatCode="#,##0">
                  <c:v>6761</c:v>
                </c:pt>
                <c:pt idx="8" formatCode="#,##0">
                  <c:v>3443.5916335040188</c:v>
                </c:pt>
                <c:pt idx="9" formatCode="#,##0">
                  <c:v>5721</c:v>
                </c:pt>
                <c:pt idx="10" formatCode="#,##0">
                  <c:v>7017</c:v>
                </c:pt>
                <c:pt idx="11" formatCode="#,##0">
                  <c:v>7270</c:v>
                </c:pt>
                <c:pt idx="12" formatCode="#,##0">
                  <c:v>8690</c:v>
                </c:pt>
                <c:pt idx="13" formatCode="#,##0">
                  <c:v>8627</c:v>
                </c:pt>
                <c:pt idx="14" formatCode="#,##0">
                  <c:v>8831</c:v>
                </c:pt>
                <c:pt idx="15" formatCode="#,##0">
                  <c:v>5024.9558480428277</c:v>
                </c:pt>
                <c:pt idx="16" formatCode="#,##0">
                  <c:v>7094.5375401263209</c:v>
                </c:pt>
                <c:pt idx="17" formatCode="#,##0">
                  <c:v>8038</c:v>
                </c:pt>
                <c:pt idx="18" formatCode="#,##0">
                  <c:v>8634</c:v>
                </c:pt>
                <c:pt idx="19" formatCode="#,##0">
                  <c:v>11267.116943179739</c:v>
                </c:pt>
                <c:pt idx="20" formatCode="#,##0">
                  <c:v>12223</c:v>
                </c:pt>
                <c:pt idx="21" formatCode="#,##0">
                  <c:v>11899.091649078884</c:v>
                </c:pt>
                <c:pt idx="22" formatCode="#,##0">
                  <c:v>9904</c:v>
                </c:pt>
                <c:pt idx="23" formatCode="#,##0">
                  <c:v>14840</c:v>
                </c:pt>
                <c:pt idx="24" formatCode="#,##0">
                  <c:v>6900.5412233682428</c:v>
                </c:pt>
                <c:pt idx="25" formatCode="#,##0">
                  <c:v>4316.19131889442</c:v>
                </c:pt>
                <c:pt idx="26" formatCode="#,##0">
                  <c:v>16752.168254747987</c:v>
                </c:pt>
                <c:pt idx="27" formatCode="#,##0">
                  <c:v>8709.9845470338514</c:v>
                </c:pt>
                <c:pt idx="28" formatCode="#,##0">
                  <c:v>4562.5036185839253</c:v>
                </c:pt>
                <c:pt idx="29" formatCode="#,##0">
                  <c:v>5097.790030993855</c:v>
                </c:pt>
                <c:pt idx="30" formatCode="#,##0">
                  <c:v>11960.137442047555</c:v>
                </c:pt>
                <c:pt idx="31" formatCode="#,##0">
                  <c:v>11294.848476759547</c:v>
                </c:pt>
                <c:pt idx="32" formatCode="#,##0">
                  <c:v>16674.889312790467</c:v>
                </c:pt>
                <c:pt idx="33" formatCode="#,##0">
                  <c:v>10128.133298386627</c:v>
                </c:pt>
                <c:pt idx="34" formatCode="#,##0">
                  <c:v>14059.849604949886</c:v>
                </c:pt>
              </c:numCache>
            </c:numRef>
          </c:val>
        </c:ser>
        <c:dLbls>
          <c:showLegendKey val="0"/>
          <c:showVal val="0"/>
          <c:showCatName val="0"/>
          <c:showSerName val="0"/>
          <c:showPercent val="0"/>
          <c:showBubbleSize val="0"/>
        </c:dLbls>
        <c:gapWidth val="60"/>
        <c:overlap val="100"/>
        <c:axId val="2021632"/>
        <c:axId val="2027520"/>
      </c:barChart>
      <c:lineChart>
        <c:grouping val="standard"/>
        <c:varyColors val="0"/>
        <c:ser>
          <c:idx val="1"/>
          <c:order val="0"/>
          <c:tx>
            <c:v>Trend</c:v>
          </c:tx>
          <c:spPr>
            <a:ln w="12700">
              <a:solidFill>
                <a:srgbClr val="424242"/>
              </a:solidFill>
              <a:prstDash val="lgDash"/>
            </a:ln>
          </c:spPr>
          <c:marker>
            <c:symbol val="none"/>
          </c:marker>
          <c:cat>
            <c:numRef>
              <c:f>'table 5 Ketchikan'!$V$92:$V$126</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'table 5 Ketchikan'!$X$92:$X$126</c:f>
              <c:numCache>
                <c:formatCode>General</c:formatCode>
                <c:ptCount val="35"/>
                <c:pt idx="5">
                  <c:v>5052.0384013657895</c:v>
                </c:pt>
                <c:pt idx="6">
                  <c:v>5125.1723649739552</c:v>
                </c:pt>
                <c:pt idx="7">
                  <c:v>5217.3077622707387</c:v>
                </c:pt>
                <c:pt idx="8">
                  <c:v>5391.9808352433483</c:v>
                </c:pt>
                <c:pt idx="9">
                  <c:v>5728.4207918504089</c:v>
                </c:pt>
                <c:pt idx="10">
                  <c:v>6559.4464445170361</c:v>
                </c:pt>
                <c:pt idx="11">
                  <c:v>7549.9915964218389</c:v>
                </c:pt>
                <c:pt idx="12">
                  <c:v>8156.4975131510655</c:v>
                </c:pt>
                <c:pt idx="13">
                  <c:v>8199.2828802760123</c:v>
                </c:pt>
                <c:pt idx="14">
                  <c:v>7615.034963778684</c:v>
                </c:pt>
                <c:pt idx="15">
                  <c:v>7193.2473962083604</c:v>
                </c:pt>
                <c:pt idx="16">
                  <c:v>7133.5861215064033</c:v>
                </c:pt>
                <c:pt idx="17">
                  <c:v>7970.5345788424474</c:v>
                </c:pt>
                <c:pt idx="18">
                  <c:v>9361.3517609097908</c:v>
                </c:pt>
                <c:pt idx="19">
                  <c:v>10577.243977278287</c:v>
                </c:pt>
                <c:pt idx="20">
                  <c:v>11303.761079221107</c:v>
                </c:pt>
                <c:pt idx="21">
                  <c:v>11701.642352216544</c:v>
                </c:pt>
                <c:pt idx="22">
                  <c:v>11612.549066639189</c:v>
                </c:pt>
                <c:pt idx="23">
                  <c:v>10191.719727164564</c:v>
                </c:pt>
                <c:pt idx="24">
                  <c:v>9559.7162697745025</c:v>
                </c:pt>
                <c:pt idx="25">
                  <c:v>9659.7517197041198</c:v>
                </c:pt>
                <c:pt idx="26">
                  <c:v>9296.544562598463</c:v>
                </c:pt>
                <c:pt idx="27">
                  <c:v>8907.4992608898501</c:v>
                </c:pt>
                <c:pt idx="28">
                  <c:v>7722.8846228636539</c:v>
                </c:pt>
                <c:pt idx="29">
                  <c:v>7701.4119028046407</c:v>
                </c:pt>
                <c:pt idx="30">
                  <c:v>9761.727098724039</c:v>
                </c:pt>
                <c:pt idx="31">
                  <c:v>12108.008999044197</c:v>
                </c:pt>
                <c:pt idx="32">
                  <c:v>12481.317681462211</c:v>
                </c:pt>
                <c:pt idx="33">
                  <c:v>12938.082051099378</c:v>
                </c:pt>
                <c:pt idx="34">
                  <c:v>13165.024371321091</c:v>
                </c:pt>
              </c:numCache>
            </c:numRef>
          </c:val>
          <c:smooth val="0"/>
        </c:ser>
        <c:ser>
          <c:idx val="4"/>
          <c:order val="2"/>
          <c:tx>
            <c:v>Goal Bounds</c:v>
          </c:tx>
          <c:spPr>
            <a:ln w="25400">
              <a:solidFill>
                <a:srgbClr val="000000"/>
              </a:solidFill>
              <a:prstDash val="solid"/>
            </a:ln>
          </c:spPr>
          <c:marker>
            <c:symbol val="none"/>
          </c:marker>
          <c:cat>
            <c:numRef>
              <c:f>'table 5 Ketchikan'!$V$92:$V$126</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'table 5 Ketchikan'!$Y$92:$Y$126</c:f>
              <c:numCache>
                <c:formatCode>General</c:formatCode>
                <c:ptCount val="35"/>
                <c:pt idx="5">
                  <c:v>4250</c:v>
                </c:pt>
                <c:pt idx="6">
                  <c:v>4250</c:v>
                </c:pt>
                <c:pt idx="7">
                  <c:v>4250</c:v>
                </c:pt>
                <c:pt idx="8">
                  <c:v>4250</c:v>
                </c:pt>
                <c:pt idx="9">
                  <c:v>4250</c:v>
                </c:pt>
                <c:pt idx="10">
                  <c:v>4250</c:v>
                </c:pt>
                <c:pt idx="11">
                  <c:v>4250</c:v>
                </c:pt>
                <c:pt idx="12">
                  <c:v>4250</c:v>
                </c:pt>
                <c:pt idx="13">
                  <c:v>4250</c:v>
                </c:pt>
                <c:pt idx="14">
                  <c:v>4250</c:v>
                </c:pt>
                <c:pt idx="15">
                  <c:v>4250</c:v>
                </c:pt>
                <c:pt idx="16">
                  <c:v>4250</c:v>
                </c:pt>
                <c:pt idx="17">
                  <c:v>4250</c:v>
                </c:pt>
                <c:pt idx="18">
                  <c:v>4250</c:v>
                </c:pt>
                <c:pt idx="19">
                  <c:v>4250</c:v>
                </c:pt>
                <c:pt idx="20">
                  <c:v>4250</c:v>
                </c:pt>
                <c:pt idx="21">
                  <c:v>4250</c:v>
                </c:pt>
                <c:pt idx="22">
                  <c:v>4250</c:v>
                </c:pt>
                <c:pt idx="23">
                  <c:v>4250</c:v>
                </c:pt>
                <c:pt idx="24">
                  <c:v>4250</c:v>
                </c:pt>
                <c:pt idx="25">
                  <c:v>4250</c:v>
                </c:pt>
                <c:pt idx="26">
                  <c:v>4250</c:v>
                </c:pt>
                <c:pt idx="27">
                  <c:v>4250</c:v>
                </c:pt>
                <c:pt idx="28">
                  <c:v>4250</c:v>
                </c:pt>
                <c:pt idx="29">
                  <c:v>4250</c:v>
                </c:pt>
                <c:pt idx="30">
                  <c:v>4250</c:v>
                </c:pt>
                <c:pt idx="31">
                  <c:v>4250</c:v>
                </c:pt>
                <c:pt idx="32">
                  <c:v>4250</c:v>
                </c:pt>
                <c:pt idx="33">
                  <c:v>4250</c:v>
                </c:pt>
                <c:pt idx="34">
                  <c:v>4250</c:v>
                </c:pt>
              </c:numCache>
            </c:numRef>
          </c:val>
          <c:smooth val="0"/>
        </c:ser>
        <c:ser>
          <c:idx val="5"/>
          <c:order val="3"/>
          <c:tx>
            <c:v>Upper Goal</c:v>
          </c:tx>
          <c:spPr>
            <a:ln w="25400">
              <a:solidFill>
                <a:srgbClr val="000000"/>
              </a:solidFill>
              <a:prstDash val="solid"/>
            </a:ln>
          </c:spPr>
          <c:marker>
            <c:symbol val="none"/>
          </c:marker>
          <c:cat>
            <c:numRef>
              <c:f>'table 5 Ketchikan'!$V$92:$V$126</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'table 5 Ketchikan'!$Z$92:$Z$126</c:f>
              <c:numCache>
                <c:formatCode>General</c:formatCode>
                <c:ptCount val="35"/>
                <c:pt idx="5">
                  <c:v>8500</c:v>
                </c:pt>
                <c:pt idx="6">
                  <c:v>8500</c:v>
                </c:pt>
                <c:pt idx="7">
                  <c:v>8500</c:v>
                </c:pt>
                <c:pt idx="8">
                  <c:v>8500</c:v>
                </c:pt>
                <c:pt idx="9">
                  <c:v>8500</c:v>
                </c:pt>
                <c:pt idx="10">
                  <c:v>8500</c:v>
                </c:pt>
                <c:pt idx="11">
                  <c:v>8500</c:v>
                </c:pt>
                <c:pt idx="12">
                  <c:v>8500</c:v>
                </c:pt>
                <c:pt idx="13">
                  <c:v>8500</c:v>
                </c:pt>
                <c:pt idx="14">
                  <c:v>8500</c:v>
                </c:pt>
                <c:pt idx="15">
                  <c:v>8500</c:v>
                </c:pt>
                <c:pt idx="16">
                  <c:v>8500</c:v>
                </c:pt>
                <c:pt idx="17">
                  <c:v>8500</c:v>
                </c:pt>
                <c:pt idx="18">
                  <c:v>8500</c:v>
                </c:pt>
                <c:pt idx="19">
                  <c:v>8500</c:v>
                </c:pt>
                <c:pt idx="20">
                  <c:v>8500</c:v>
                </c:pt>
                <c:pt idx="21">
                  <c:v>8500</c:v>
                </c:pt>
                <c:pt idx="22">
                  <c:v>8500</c:v>
                </c:pt>
                <c:pt idx="23">
                  <c:v>8500</c:v>
                </c:pt>
                <c:pt idx="24">
                  <c:v>8500</c:v>
                </c:pt>
                <c:pt idx="25">
                  <c:v>8500</c:v>
                </c:pt>
                <c:pt idx="26">
                  <c:v>8500</c:v>
                </c:pt>
                <c:pt idx="27">
                  <c:v>8500</c:v>
                </c:pt>
                <c:pt idx="28">
                  <c:v>8500</c:v>
                </c:pt>
                <c:pt idx="29">
                  <c:v>8500</c:v>
                </c:pt>
                <c:pt idx="30">
                  <c:v>8500</c:v>
                </c:pt>
                <c:pt idx="31">
                  <c:v>8500</c:v>
                </c:pt>
                <c:pt idx="32">
                  <c:v>8500</c:v>
                </c:pt>
                <c:pt idx="33">
                  <c:v>8500</c:v>
                </c:pt>
                <c:pt idx="34">
                  <c:v>8500</c:v>
                </c:pt>
              </c:numCache>
            </c:numRef>
          </c:val>
          <c:smooth val="0"/>
        </c:ser>
        <c:dLbls>
          <c:showLegendKey val="0"/>
          <c:showVal val="0"/>
          <c:showCatName val="0"/>
          <c:showSerName val="0"/>
          <c:showPercent val="0"/>
          <c:showBubbleSize val="0"/>
        </c:dLbls>
        <c:marker val="1"/>
        <c:smooth val="0"/>
        <c:axId val="2021632"/>
        <c:axId val="2027520"/>
      </c:lineChart>
      <c:catAx>
        <c:axId val="2021632"/>
        <c:scaling>
          <c:orientation val="minMax"/>
        </c:scaling>
        <c:delete val="0"/>
        <c:axPos val="b"/>
        <c:numFmt formatCode="General" sourceLinked="1"/>
        <c:majorTickMark val="none"/>
        <c:minorTickMark val="none"/>
        <c:tickLblPos val="nextTo"/>
        <c:spPr>
          <a:ln w="12700">
            <a:solidFill>
              <a:srgbClr val="000000"/>
            </a:solidFill>
            <a:prstDash val="solid"/>
          </a:ln>
        </c:spPr>
        <c:txPr>
          <a:bodyPr rot="-5400000" vert="horz"/>
          <a:lstStyle/>
          <a:p>
            <a:pPr>
              <a:defRPr sz="200" b="1" i="0" u="none" strike="noStrike" baseline="0">
                <a:solidFill>
                  <a:srgbClr val="FFFFFF"/>
                </a:solidFill>
                <a:latin typeface="Arial"/>
                <a:ea typeface="Arial"/>
                <a:cs typeface="Arial"/>
              </a:defRPr>
            </a:pPr>
            <a:endParaRPr lang="en-US"/>
          </a:p>
        </c:txPr>
        <c:crossAx val="2027520"/>
        <c:crosses val="autoZero"/>
        <c:auto val="1"/>
        <c:lblAlgn val="ctr"/>
        <c:lblOffset val="100"/>
        <c:tickLblSkip val="1"/>
        <c:tickMarkSkip val="1"/>
        <c:noMultiLvlLbl val="0"/>
      </c:catAx>
      <c:valAx>
        <c:axId val="2027520"/>
        <c:scaling>
          <c:orientation val="minMax"/>
          <c:max val="18000"/>
          <c:min val="0"/>
        </c:scaling>
        <c:delete val="0"/>
        <c:axPos val="l"/>
        <c:title>
          <c:tx>
            <c:rich>
              <a:bodyPr/>
              <a:lstStyle/>
              <a:p>
                <a:pPr>
                  <a:defRPr sz="1400" b="0" i="0" u="none" strike="noStrike" baseline="0">
                    <a:solidFill>
                      <a:srgbClr val="000000"/>
                    </a:solidFill>
                    <a:latin typeface="Arial"/>
                    <a:ea typeface="Arial"/>
                    <a:cs typeface="Arial"/>
                  </a:defRPr>
                </a:pPr>
                <a:r>
                  <a:rPr lang="en-US" sz="1400" b="0"/>
                  <a:t>Spawners</a:t>
                </a:r>
              </a:p>
            </c:rich>
          </c:tx>
          <c:layout>
            <c:manualLayout>
              <c:xMode val="edge"/>
              <c:yMode val="edge"/>
              <c:x val="1.0857969542026039E-3"/>
              <c:y val="0.6183332814623469"/>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021632"/>
        <c:crosses val="autoZero"/>
        <c:crossBetween val="between"/>
        <c:majorUnit val="2000"/>
        <c:minorUnit val="2000"/>
      </c:valAx>
      <c:spPr>
        <a:solidFill>
          <a:srgbClr val="FFFFFF"/>
        </a:solidFill>
        <a:ln w="25400">
          <a:noFill/>
        </a:ln>
      </c:spPr>
    </c:plotArea>
    <c:plotVisOnly val="1"/>
    <c:dispBlanksAs val="gap"/>
    <c:showDLblsOverMax val="0"/>
  </c:chart>
  <c:spPr>
    <a:noFill/>
    <a:ln w="9525">
      <a:noFill/>
    </a:ln>
  </c:spPr>
  <c:txPr>
    <a:bodyPr/>
    <a:lstStyle/>
    <a:p>
      <a:pPr>
        <a:defRPr sz="575"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sz="1400"/>
              <a:t>Hugh</a:t>
            </a:r>
            <a:r>
              <a:rPr lang="en-US" sz="1400" baseline="0"/>
              <a:t> Smith Lake</a:t>
            </a:r>
            <a:endParaRPr lang="en-US" sz="1400"/>
          </a:p>
          <a:p>
            <a:pPr>
              <a:defRPr sz="1400" b="1" i="0" u="none" strike="noStrike" baseline="0">
                <a:solidFill>
                  <a:srgbClr val="000000"/>
                </a:solidFill>
                <a:latin typeface="Arial"/>
                <a:ea typeface="Arial"/>
                <a:cs typeface="Arial"/>
              </a:defRPr>
            </a:pPr>
            <a:r>
              <a:rPr lang="en-US" sz="1400"/>
              <a:t>(Weir/Mark-Recapture)</a:t>
            </a:r>
          </a:p>
        </c:rich>
      </c:tx>
      <c:layout>
        <c:manualLayout>
          <c:xMode val="edge"/>
          <c:yMode val="edge"/>
          <c:x val="0.42545472266895018"/>
          <c:y val="6.1335184341626721E-2"/>
        </c:manualLayout>
      </c:layout>
      <c:overlay val="0"/>
      <c:spPr>
        <a:noFill/>
        <a:ln w="25400">
          <a:noFill/>
        </a:ln>
      </c:spPr>
    </c:title>
    <c:autoTitleDeleted val="0"/>
    <c:plotArea>
      <c:layout>
        <c:manualLayout>
          <c:layoutTarget val="inner"/>
          <c:xMode val="edge"/>
          <c:yMode val="edge"/>
          <c:x val="0.11647264680150275"/>
          <c:y val="7.5461690576349189E-2"/>
          <c:w val="0.88350632641508042"/>
          <c:h val="0.65423708337827635"/>
        </c:manualLayout>
      </c:layout>
      <c:barChart>
        <c:barDir val="col"/>
        <c:grouping val="stacked"/>
        <c:varyColors val="0"/>
        <c:ser>
          <c:idx val="0"/>
          <c:order val="1"/>
          <c:tx>
            <c:v>Total Escapement</c:v>
          </c:tx>
          <c:spPr>
            <a:solidFill>
              <a:srgbClr val="E3E3E3"/>
            </a:solidFill>
            <a:ln w="12700">
              <a:solidFill>
                <a:srgbClr val="000000"/>
              </a:solidFill>
              <a:prstDash val="solid"/>
            </a:ln>
          </c:spPr>
          <c:invertIfNegative val="0"/>
          <c:cat>
            <c:numRef>
              <c:f>'Fig 5 Fig 6 Table 4 Sitka'!$L$10:$L$45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'table 5 Ketchikan'!$AB$92:$AB$127</c:f>
              <c:numCache>
                <c:formatCode>#,##0</c:formatCode>
                <c:ptCount val="36"/>
                <c:pt idx="0">
                  <c:v>2144</c:v>
                </c:pt>
                <c:pt idx="1">
                  <c:v>1487</c:v>
                </c:pt>
                <c:pt idx="2">
                  <c:v>1407</c:v>
                </c:pt>
                <c:pt idx="3">
                  <c:v>903</c:v>
                </c:pt>
                <c:pt idx="4">
                  <c:v>1782</c:v>
                </c:pt>
                <c:pt idx="5">
                  <c:v>1117</c:v>
                </c:pt>
                <c:pt idx="6">
                  <c:v>513</c:v>
                </c:pt>
                <c:pt idx="7">
                  <c:v>433</c:v>
                </c:pt>
                <c:pt idx="8">
                  <c:v>870</c:v>
                </c:pt>
                <c:pt idx="9">
                  <c:v>1836</c:v>
                </c:pt>
                <c:pt idx="10">
                  <c:v>1426</c:v>
                </c:pt>
                <c:pt idx="11">
                  <c:v>832</c:v>
                </c:pt>
                <c:pt idx="12">
                  <c:v>1753</c:v>
                </c:pt>
                <c:pt idx="13">
                  <c:v>1781</c:v>
                </c:pt>
                <c:pt idx="14">
                  <c:v>950</c:v>
                </c:pt>
                <c:pt idx="15">
                  <c:v>732</c:v>
                </c:pt>
                <c:pt idx="16">
                  <c:v>983</c:v>
                </c:pt>
                <c:pt idx="17">
                  <c:v>1246</c:v>
                </c:pt>
                <c:pt idx="18">
                  <c:v>600</c:v>
                </c:pt>
                <c:pt idx="19">
                  <c:v>1580</c:v>
                </c:pt>
                <c:pt idx="20">
                  <c:v>3291</c:v>
                </c:pt>
                <c:pt idx="21">
                  <c:v>1510</c:v>
                </c:pt>
                <c:pt idx="22">
                  <c:v>840</c:v>
                </c:pt>
                <c:pt idx="23">
                  <c:v>1732</c:v>
                </c:pt>
                <c:pt idx="24">
                  <c:v>891</c:v>
                </c:pt>
                <c:pt idx="25">
                  <c:v>1244</c:v>
                </c:pt>
                <c:pt idx="26">
                  <c:v>1741</c:v>
                </c:pt>
                <c:pt idx="27">
                  <c:v>2281</c:v>
                </c:pt>
                <c:pt idx="28">
                  <c:v>2878</c:v>
                </c:pt>
                <c:pt idx="29">
                  <c:v>2137</c:v>
                </c:pt>
                <c:pt idx="30">
                  <c:v>1908</c:v>
                </c:pt>
                <c:pt idx="31">
                  <c:v>3048</c:v>
                </c:pt>
                <c:pt idx="32">
                  <c:v>4110</c:v>
                </c:pt>
                <c:pt idx="33">
                  <c:v>956</c:v>
                </c:pt>
                <c:pt idx="34">
                  <c:v>948</c:v>
                </c:pt>
                <c:pt idx="35">
                  <c:v>1266</c:v>
                </c:pt>
              </c:numCache>
            </c:numRef>
          </c:val>
        </c:ser>
        <c:dLbls>
          <c:showLegendKey val="0"/>
          <c:showVal val="0"/>
          <c:showCatName val="0"/>
          <c:showSerName val="0"/>
          <c:showPercent val="0"/>
          <c:showBubbleSize val="0"/>
        </c:dLbls>
        <c:gapWidth val="60"/>
        <c:overlap val="100"/>
        <c:axId val="127470208"/>
        <c:axId val="127484672"/>
      </c:barChart>
      <c:lineChart>
        <c:grouping val="standard"/>
        <c:varyColors val="0"/>
        <c:ser>
          <c:idx val="1"/>
          <c:order val="0"/>
          <c:tx>
            <c:v>Trend</c:v>
          </c:tx>
          <c:spPr>
            <a:ln w="12700">
              <a:solidFill>
                <a:srgbClr val="424242"/>
              </a:solidFill>
              <a:prstDash val="lgDash"/>
            </a:ln>
          </c:spPr>
          <c:marker>
            <c:symbol val="none"/>
          </c:marker>
          <c:cat>
            <c:numRef>
              <c:f>'table 5 Ketchikan'!$V$92:$V$126</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'table 5 Ketchikan'!$AC$92:$AC$127</c:f>
              <c:numCache>
                <c:formatCode>General</c:formatCode>
                <c:ptCount val="36"/>
                <c:pt idx="0">
                  <c:v>1894.034899745569</c:v>
                </c:pt>
                <c:pt idx="1">
                  <c:v>1678.4421652109747</c:v>
                </c:pt>
                <c:pt idx="2">
                  <c:v>1489.2935454015078</c:v>
                </c:pt>
                <c:pt idx="3">
                  <c:v>1337.4243142718749</c:v>
                </c:pt>
                <c:pt idx="4">
                  <c:v>1221.6519479658427</c:v>
                </c:pt>
                <c:pt idx="5">
                  <c:v>1042.7910521931535</c:v>
                </c:pt>
                <c:pt idx="6">
                  <c:v>810.03379864316321</c:v>
                </c:pt>
                <c:pt idx="7">
                  <c:v>774.3639812261315</c:v>
                </c:pt>
                <c:pt idx="8">
                  <c:v>1025.5387074891314</c:v>
                </c:pt>
                <c:pt idx="9">
                  <c:v>1242.3835426390731</c:v>
                </c:pt>
                <c:pt idx="10">
                  <c:v>1355.9126955784377</c:v>
                </c:pt>
                <c:pt idx="11">
                  <c:v>1415.8295476931939</c:v>
                </c:pt>
                <c:pt idx="12">
                  <c:v>1410.9866964733496</c:v>
                </c:pt>
                <c:pt idx="13">
                  <c:v>1360.8569577050375</c:v>
                </c:pt>
                <c:pt idx="14">
                  <c:v>1190.8094756495398</c:v>
                </c:pt>
                <c:pt idx="15">
                  <c:v>1008.6291919919056</c:v>
                </c:pt>
                <c:pt idx="16">
                  <c:v>944.4541741429008</c:v>
                </c:pt>
                <c:pt idx="17">
                  <c:v>994.93580132024306</c:v>
                </c:pt>
                <c:pt idx="18">
                  <c:v>1324.4488495570067</c:v>
                </c:pt>
                <c:pt idx="19">
                  <c:v>1726.9960467607948</c:v>
                </c:pt>
                <c:pt idx="20">
                  <c:v>1881.2240603282924</c:v>
                </c:pt>
                <c:pt idx="21">
                  <c:v>1824.0601289537512</c:v>
                </c:pt>
                <c:pt idx="22">
                  <c:v>1490.8093010013451</c:v>
                </c:pt>
                <c:pt idx="23">
                  <c:v>1216.6454860388917</c:v>
                </c:pt>
                <c:pt idx="24">
                  <c:v>1277.0674949538793</c:v>
                </c:pt>
                <c:pt idx="25">
                  <c:v>1433.5018309508541</c:v>
                </c:pt>
                <c:pt idx="26">
                  <c:v>1780.740069870154</c:v>
                </c:pt>
                <c:pt idx="27">
                  <c:v>2177.4502358264867</c:v>
                </c:pt>
                <c:pt idx="28">
                  <c:v>2324.1423864859844</c:v>
                </c:pt>
                <c:pt idx="29">
                  <c:v>2373.8263533371792</c:v>
                </c:pt>
                <c:pt idx="30">
                  <c:v>2576.363047562003</c:v>
                </c:pt>
                <c:pt idx="31">
                  <c:v>2727.539845031291</c:v>
                </c:pt>
                <c:pt idx="32">
                  <c:v>2492.3889249031981</c:v>
                </c:pt>
                <c:pt idx="33">
                  <c:v>1957.6199108344117</c:v>
                </c:pt>
                <c:pt idx="34">
                  <c:v>1387.4383330896489</c:v>
                </c:pt>
                <c:pt idx="35">
                  <c:v>784.86100829529096</c:v>
                </c:pt>
              </c:numCache>
            </c:numRef>
          </c:val>
          <c:smooth val="0"/>
        </c:ser>
        <c:ser>
          <c:idx val="4"/>
          <c:order val="2"/>
          <c:tx>
            <c:v>Lower</c:v>
          </c:tx>
          <c:spPr>
            <a:ln w="25400">
              <a:solidFill>
                <a:srgbClr val="000000"/>
              </a:solidFill>
              <a:prstDash val="solid"/>
            </a:ln>
          </c:spPr>
          <c:marker>
            <c:symbol val="none"/>
          </c:marker>
          <c:cat>
            <c:numRef>
              <c:f>'table 5 Ketchikan'!$V$92:$V$126</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'table 5 Ketchikan'!$AD$92:$AD$126</c:f>
              <c:numCache>
                <c:formatCode>General</c:formatCode>
                <c:ptCount val="35"/>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numCache>
            </c:numRef>
          </c:val>
          <c:smooth val="0"/>
        </c:ser>
        <c:ser>
          <c:idx val="2"/>
          <c:order val="3"/>
          <c:tx>
            <c:v>Goal Bounds</c:v>
          </c:tx>
          <c:spPr>
            <a:ln w="25400">
              <a:solidFill>
                <a:srgbClr val="000000"/>
              </a:solidFill>
              <a:prstDash val="solid"/>
            </a:ln>
          </c:spPr>
          <c:marker>
            <c:symbol val="none"/>
          </c:marker>
          <c:cat>
            <c:numRef>
              <c:f>'table 5 Ketchikan'!$V$92:$V$126</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'table 5 Ketchikan'!$AE$92:$AE$126</c:f>
              <c:numCache>
                <c:formatCode>General</c:formatCode>
                <c:ptCount val="35"/>
                <c:pt idx="0">
                  <c:v>1600</c:v>
                </c:pt>
                <c:pt idx="1">
                  <c:v>1600</c:v>
                </c:pt>
                <c:pt idx="2">
                  <c:v>1600</c:v>
                </c:pt>
                <c:pt idx="3">
                  <c:v>1600</c:v>
                </c:pt>
                <c:pt idx="4">
                  <c:v>1600</c:v>
                </c:pt>
                <c:pt idx="5">
                  <c:v>1600</c:v>
                </c:pt>
                <c:pt idx="6">
                  <c:v>1600</c:v>
                </c:pt>
                <c:pt idx="7">
                  <c:v>1600</c:v>
                </c:pt>
                <c:pt idx="8">
                  <c:v>1600</c:v>
                </c:pt>
                <c:pt idx="9">
                  <c:v>1600</c:v>
                </c:pt>
                <c:pt idx="10">
                  <c:v>1600</c:v>
                </c:pt>
                <c:pt idx="11">
                  <c:v>1600</c:v>
                </c:pt>
                <c:pt idx="12">
                  <c:v>1600</c:v>
                </c:pt>
                <c:pt idx="13">
                  <c:v>1600</c:v>
                </c:pt>
                <c:pt idx="14">
                  <c:v>1600</c:v>
                </c:pt>
                <c:pt idx="15">
                  <c:v>1600</c:v>
                </c:pt>
                <c:pt idx="16">
                  <c:v>1600</c:v>
                </c:pt>
                <c:pt idx="17">
                  <c:v>1600</c:v>
                </c:pt>
                <c:pt idx="18">
                  <c:v>1600</c:v>
                </c:pt>
                <c:pt idx="19">
                  <c:v>1600</c:v>
                </c:pt>
                <c:pt idx="20">
                  <c:v>1600</c:v>
                </c:pt>
                <c:pt idx="21">
                  <c:v>1600</c:v>
                </c:pt>
                <c:pt idx="22">
                  <c:v>1600</c:v>
                </c:pt>
                <c:pt idx="23">
                  <c:v>1600</c:v>
                </c:pt>
                <c:pt idx="24">
                  <c:v>1600</c:v>
                </c:pt>
                <c:pt idx="25">
                  <c:v>1600</c:v>
                </c:pt>
                <c:pt idx="26">
                  <c:v>1600</c:v>
                </c:pt>
                <c:pt idx="27">
                  <c:v>1600</c:v>
                </c:pt>
                <c:pt idx="28">
                  <c:v>1600</c:v>
                </c:pt>
                <c:pt idx="29">
                  <c:v>1600</c:v>
                </c:pt>
                <c:pt idx="30">
                  <c:v>1600</c:v>
                </c:pt>
                <c:pt idx="31">
                  <c:v>1600</c:v>
                </c:pt>
                <c:pt idx="32">
                  <c:v>1600</c:v>
                </c:pt>
                <c:pt idx="33">
                  <c:v>1600</c:v>
                </c:pt>
                <c:pt idx="34">
                  <c:v>1600</c:v>
                </c:pt>
              </c:numCache>
            </c:numRef>
          </c:val>
          <c:smooth val="0"/>
        </c:ser>
        <c:dLbls>
          <c:showLegendKey val="0"/>
          <c:showVal val="0"/>
          <c:showCatName val="0"/>
          <c:showSerName val="0"/>
          <c:showPercent val="0"/>
          <c:showBubbleSize val="0"/>
        </c:dLbls>
        <c:marker val="1"/>
        <c:smooth val="0"/>
        <c:axId val="127470208"/>
        <c:axId val="127484672"/>
      </c:lineChart>
      <c:catAx>
        <c:axId val="127470208"/>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sz="1400" b="0"/>
                  <a:t>Year</a:t>
                </a:r>
              </a:p>
            </c:rich>
          </c:tx>
          <c:layout>
            <c:manualLayout>
              <c:xMode val="edge"/>
              <c:yMode val="edge"/>
              <c:x val="0.52502391445101193"/>
              <c:y val="0.84815629451277263"/>
            </c:manualLayout>
          </c:layout>
          <c:overlay val="0"/>
          <c:spPr>
            <a:noFill/>
            <a:ln w="25400">
              <a:noFill/>
            </a:ln>
          </c:spPr>
        </c:title>
        <c:numFmt formatCode="General" sourceLinked="1"/>
        <c:majorTickMark val="out"/>
        <c:minorTickMark val="none"/>
        <c:tickLblPos val="nextTo"/>
        <c:spPr>
          <a:ln w="12700">
            <a:solidFill>
              <a:srgbClr val="000000"/>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127484672"/>
        <c:crosses val="autoZero"/>
        <c:auto val="1"/>
        <c:lblAlgn val="ctr"/>
        <c:lblOffset val="100"/>
        <c:tickLblSkip val="2"/>
        <c:tickMarkSkip val="1"/>
        <c:noMultiLvlLbl val="0"/>
      </c:catAx>
      <c:valAx>
        <c:axId val="127484672"/>
        <c:scaling>
          <c:orientation val="minMax"/>
          <c:max val="42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27470208"/>
        <c:crosses val="autoZero"/>
        <c:crossBetween val="between"/>
        <c:majorUnit val="500"/>
        <c:minorUnit val="500"/>
      </c:valAx>
      <c:spPr>
        <a:solidFill>
          <a:srgbClr val="FFFFFF"/>
        </a:solidFill>
        <a:ln w="25400">
          <a:noFill/>
        </a:ln>
      </c:spPr>
    </c:plotArea>
    <c:legend>
      <c:legendPos val="r"/>
      <c:legendEntry>
        <c:idx val="2"/>
        <c:delete val="1"/>
      </c:legendEntry>
      <c:layout>
        <c:manualLayout>
          <c:xMode val="edge"/>
          <c:yMode val="edge"/>
          <c:x val="6.887668219191434E-2"/>
          <c:y val="0.92836713592619102"/>
          <c:w val="0.93112331546791949"/>
          <c:h val="6.0148851256606628E-2"/>
        </c:manualLayout>
      </c:layout>
      <c:overlay val="0"/>
      <c:spPr>
        <a:noFill/>
        <a:ln w="25400">
          <a:noFill/>
        </a:ln>
      </c:spPr>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b="1"/>
              <a:t>Tawah Creek</a:t>
            </a:r>
          </a:p>
        </c:rich>
      </c:tx>
      <c:layout>
        <c:manualLayout>
          <c:xMode val="edge"/>
          <c:yMode val="edge"/>
          <c:x val="0.44927304647666705"/>
          <c:y val="1.6557770704193891E-3"/>
        </c:manualLayout>
      </c:layout>
      <c:overlay val="0"/>
      <c:spPr>
        <a:noFill/>
        <a:ln w="25400">
          <a:noFill/>
        </a:ln>
      </c:spPr>
    </c:title>
    <c:autoTitleDeleted val="0"/>
    <c:plotArea>
      <c:layout>
        <c:manualLayout>
          <c:layoutTarget val="inner"/>
          <c:xMode val="edge"/>
          <c:yMode val="edge"/>
          <c:x val="0.11902063643913671"/>
          <c:y val="0.12426697701067907"/>
          <c:w val="0.86778129369342849"/>
          <c:h val="0.77604057877969035"/>
        </c:manualLayout>
      </c:layout>
      <c:barChart>
        <c:barDir val="col"/>
        <c:grouping val="stacked"/>
        <c:varyColors val="0"/>
        <c:ser>
          <c:idx val="0"/>
          <c:order val="0"/>
          <c:tx>
            <c:v>Peak Count</c:v>
          </c:tx>
          <c:spPr>
            <a:solidFill>
              <a:srgbClr val="E3E3E3"/>
            </a:solidFill>
            <a:ln w="12700">
              <a:solidFill>
                <a:srgbClr val="000000"/>
              </a:solidFill>
              <a:prstDash val="solid"/>
            </a:ln>
          </c:spPr>
          <c:invertIfNegative val="0"/>
          <c:cat>
            <c:numRef>
              <c:f>'Fig 7 table 6 YakutatFig'!$A$5:$A$50</c:f>
              <c:numCache>
                <c:formatCode>General</c:formatCode>
                <c:ptCount val="46"/>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pt idx="27">
                  <c:v>1999</c:v>
                </c:pt>
                <c:pt idx="28">
                  <c:v>2000</c:v>
                </c:pt>
                <c:pt idx="29">
                  <c:v>2001</c:v>
                </c:pt>
                <c:pt idx="30">
                  <c:v>2002</c:v>
                </c:pt>
                <c:pt idx="31">
                  <c:v>2003</c:v>
                </c:pt>
                <c:pt idx="32">
                  <c:v>2004</c:v>
                </c:pt>
                <c:pt idx="33">
                  <c:v>2005</c:v>
                </c:pt>
                <c:pt idx="34">
                  <c:v>2006</c:v>
                </c:pt>
                <c:pt idx="35">
                  <c:v>2007</c:v>
                </c:pt>
                <c:pt idx="36">
                  <c:v>2008</c:v>
                </c:pt>
                <c:pt idx="37">
                  <c:v>2009</c:v>
                </c:pt>
                <c:pt idx="38">
                  <c:v>2010</c:v>
                </c:pt>
                <c:pt idx="39">
                  <c:v>2011</c:v>
                </c:pt>
                <c:pt idx="40">
                  <c:v>2012</c:v>
                </c:pt>
                <c:pt idx="41">
                  <c:v>2013</c:v>
                </c:pt>
                <c:pt idx="42">
                  <c:v>2014</c:v>
                </c:pt>
                <c:pt idx="43">
                  <c:v>2015</c:v>
                </c:pt>
                <c:pt idx="44">
                  <c:v>2016</c:v>
                </c:pt>
                <c:pt idx="45">
                  <c:v>2017</c:v>
                </c:pt>
              </c:numCache>
            </c:numRef>
          </c:cat>
          <c:val>
            <c:numRef>
              <c:f>'Fig 7 table 6 YakutatFig'!$B$5:$B$50</c:f>
              <c:numCache>
                <c:formatCode>#,##0</c:formatCode>
                <c:ptCount val="46"/>
                <c:pt idx="0">
                  <c:v>3000</c:v>
                </c:pt>
                <c:pt idx="1">
                  <c:v>1978</c:v>
                </c:pt>
                <c:pt idx="2">
                  <c:v>2500</c:v>
                </c:pt>
                <c:pt idx="3">
                  <c:v>800</c:v>
                </c:pt>
                <c:pt idx="4">
                  <c:v>1200</c:v>
                </c:pt>
                <c:pt idx="5">
                  <c:v>3000</c:v>
                </c:pt>
                <c:pt idx="6">
                  <c:v>2200</c:v>
                </c:pt>
                <c:pt idx="7">
                  <c:v>3250</c:v>
                </c:pt>
                <c:pt idx="8">
                  <c:v>3200</c:v>
                </c:pt>
                <c:pt idx="9">
                  <c:v>5793</c:v>
                </c:pt>
                <c:pt idx="10">
                  <c:v>7100</c:v>
                </c:pt>
                <c:pt idx="11">
                  <c:v>5950</c:v>
                </c:pt>
                <c:pt idx="12">
                  <c:v>4200</c:v>
                </c:pt>
                <c:pt idx="13">
                  <c:v>3300</c:v>
                </c:pt>
                <c:pt idx="14">
                  <c:v>3300</c:v>
                </c:pt>
                <c:pt idx="15">
                  <c:v>5000</c:v>
                </c:pt>
                <c:pt idx="16">
                  <c:v>1600</c:v>
                </c:pt>
                <c:pt idx="17">
                  <c:v>1490</c:v>
                </c:pt>
                <c:pt idx="18">
                  <c:v>9460</c:v>
                </c:pt>
                <c:pt idx="19">
                  <c:v>975</c:v>
                </c:pt>
                <c:pt idx="20">
                  <c:v>4235</c:v>
                </c:pt>
                <c:pt idx="21">
                  <c:v>5436</c:v>
                </c:pt>
                <c:pt idx="22">
                  <c:v>6000</c:v>
                </c:pt>
                <c:pt idx="23">
                  <c:v>2642</c:v>
                </c:pt>
                <c:pt idx="24">
                  <c:v>4030</c:v>
                </c:pt>
                <c:pt idx="25">
                  <c:v>2550</c:v>
                </c:pt>
                <c:pt idx="26">
                  <c:v>0</c:v>
                </c:pt>
                <c:pt idx="27">
                  <c:v>0</c:v>
                </c:pt>
                <c:pt idx="28">
                  <c:v>1572</c:v>
                </c:pt>
                <c:pt idx="29">
                  <c:v>3190</c:v>
                </c:pt>
                <c:pt idx="30">
                  <c:v>8093</c:v>
                </c:pt>
                <c:pt idx="31">
                  <c:v>5907</c:v>
                </c:pt>
                <c:pt idx="32">
                  <c:v>2214</c:v>
                </c:pt>
                <c:pt idx="33">
                  <c:v>1241</c:v>
                </c:pt>
                <c:pt idx="34">
                  <c:v>1156</c:v>
                </c:pt>
                <c:pt idx="35">
                  <c:v>1751</c:v>
                </c:pt>
                <c:pt idx="36">
                  <c:v>0</c:v>
                </c:pt>
                <c:pt idx="37">
                  <c:v>3581</c:v>
                </c:pt>
                <c:pt idx="38">
                  <c:v>2393</c:v>
                </c:pt>
                <c:pt idx="39">
                  <c:v>1221</c:v>
                </c:pt>
                <c:pt idx="40">
                  <c:v>0</c:v>
                </c:pt>
                <c:pt idx="41">
                  <c:v>2593</c:v>
                </c:pt>
                <c:pt idx="42">
                  <c:v>3555</c:v>
                </c:pt>
                <c:pt idx="43">
                  <c:v>2015</c:v>
                </c:pt>
                <c:pt idx="44">
                  <c:v>746</c:v>
                </c:pt>
                <c:pt idx="45">
                  <c:v>1455</c:v>
                </c:pt>
              </c:numCache>
            </c:numRef>
          </c:val>
        </c:ser>
        <c:dLbls>
          <c:showLegendKey val="0"/>
          <c:showVal val="0"/>
          <c:showCatName val="0"/>
          <c:showSerName val="0"/>
          <c:showPercent val="0"/>
          <c:showBubbleSize val="0"/>
        </c:dLbls>
        <c:gapWidth val="60"/>
        <c:overlap val="100"/>
        <c:axId val="171497344"/>
        <c:axId val="171498880"/>
      </c:barChart>
      <c:lineChart>
        <c:grouping val="standard"/>
        <c:varyColors val="0"/>
        <c:ser>
          <c:idx val="4"/>
          <c:order val="1"/>
          <c:tx>
            <c:v>Goal Bounds</c:v>
          </c:tx>
          <c:spPr>
            <a:ln w="25400">
              <a:solidFill>
                <a:srgbClr val="000000"/>
              </a:solidFill>
              <a:prstDash val="solid"/>
            </a:ln>
          </c:spPr>
          <c:marker>
            <c:symbol val="none"/>
          </c:marker>
          <c:cat>
            <c:numRef>
              <c:f>'Fig 7 table 6 YakutatFig'!$A$5:$A$50</c:f>
              <c:numCache>
                <c:formatCode>General</c:formatCode>
                <c:ptCount val="46"/>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pt idx="27">
                  <c:v>1999</c:v>
                </c:pt>
                <c:pt idx="28">
                  <c:v>2000</c:v>
                </c:pt>
                <c:pt idx="29">
                  <c:v>2001</c:v>
                </c:pt>
                <c:pt idx="30">
                  <c:v>2002</c:v>
                </c:pt>
                <c:pt idx="31">
                  <c:v>2003</c:v>
                </c:pt>
                <c:pt idx="32">
                  <c:v>2004</c:v>
                </c:pt>
                <c:pt idx="33">
                  <c:v>2005</c:v>
                </c:pt>
                <c:pt idx="34">
                  <c:v>2006</c:v>
                </c:pt>
                <c:pt idx="35">
                  <c:v>2007</c:v>
                </c:pt>
                <c:pt idx="36">
                  <c:v>2008</c:v>
                </c:pt>
                <c:pt idx="37">
                  <c:v>2009</c:v>
                </c:pt>
                <c:pt idx="38">
                  <c:v>2010</c:v>
                </c:pt>
                <c:pt idx="39">
                  <c:v>2011</c:v>
                </c:pt>
                <c:pt idx="40">
                  <c:v>2012</c:v>
                </c:pt>
                <c:pt idx="41">
                  <c:v>2013</c:v>
                </c:pt>
                <c:pt idx="42">
                  <c:v>2014</c:v>
                </c:pt>
                <c:pt idx="43">
                  <c:v>2015</c:v>
                </c:pt>
                <c:pt idx="44">
                  <c:v>2016</c:v>
                </c:pt>
                <c:pt idx="45">
                  <c:v>2017</c:v>
                </c:pt>
              </c:numCache>
            </c:numRef>
          </c:cat>
          <c:val>
            <c:numRef>
              <c:f>'Fig 7 table 6 YakutatFig'!$P$5:$P$50</c:f>
              <c:numCache>
                <c:formatCode>#,##0</c:formatCode>
                <c:ptCount val="46"/>
                <c:pt idx="0">
                  <c:v>1400</c:v>
                </c:pt>
                <c:pt idx="1">
                  <c:v>1400</c:v>
                </c:pt>
                <c:pt idx="2">
                  <c:v>1400</c:v>
                </c:pt>
                <c:pt idx="3">
                  <c:v>1400</c:v>
                </c:pt>
                <c:pt idx="4">
                  <c:v>1400</c:v>
                </c:pt>
                <c:pt idx="5">
                  <c:v>1400</c:v>
                </c:pt>
                <c:pt idx="6">
                  <c:v>1400</c:v>
                </c:pt>
                <c:pt idx="7">
                  <c:v>1400</c:v>
                </c:pt>
                <c:pt idx="8">
                  <c:v>1400</c:v>
                </c:pt>
                <c:pt idx="9">
                  <c:v>1400</c:v>
                </c:pt>
                <c:pt idx="10">
                  <c:v>1400</c:v>
                </c:pt>
                <c:pt idx="11">
                  <c:v>1400</c:v>
                </c:pt>
                <c:pt idx="12">
                  <c:v>1400</c:v>
                </c:pt>
                <c:pt idx="13">
                  <c:v>1400</c:v>
                </c:pt>
                <c:pt idx="14">
                  <c:v>1400</c:v>
                </c:pt>
                <c:pt idx="15">
                  <c:v>1400</c:v>
                </c:pt>
                <c:pt idx="16">
                  <c:v>1400</c:v>
                </c:pt>
                <c:pt idx="17">
                  <c:v>1400</c:v>
                </c:pt>
                <c:pt idx="18">
                  <c:v>1400</c:v>
                </c:pt>
                <c:pt idx="19">
                  <c:v>1400</c:v>
                </c:pt>
                <c:pt idx="20">
                  <c:v>1400</c:v>
                </c:pt>
                <c:pt idx="21">
                  <c:v>1400</c:v>
                </c:pt>
                <c:pt idx="22">
                  <c:v>1400</c:v>
                </c:pt>
                <c:pt idx="23">
                  <c:v>1400</c:v>
                </c:pt>
                <c:pt idx="24">
                  <c:v>1400</c:v>
                </c:pt>
                <c:pt idx="25">
                  <c:v>1400</c:v>
                </c:pt>
                <c:pt idx="26">
                  <c:v>1400</c:v>
                </c:pt>
                <c:pt idx="27">
                  <c:v>1400</c:v>
                </c:pt>
                <c:pt idx="28">
                  <c:v>1400</c:v>
                </c:pt>
                <c:pt idx="29">
                  <c:v>1400</c:v>
                </c:pt>
                <c:pt idx="30">
                  <c:v>1400</c:v>
                </c:pt>
                <c:pt idx="31">
                  <c:v>1400</c:v>
                </c:pt>
                <c:pt idx="32">
                  <c:v>1400</c:v>
                </c:pt>
                <c:pt idx="33">
                  <c:v>1400</c:v>
                </c:pt>
                <c:pt idx="34">
                  <c:v>1400</c:v>
                </c:pt>
                <c:pt idx="35">
                  <c:v>1400</c:v>
                </c:pt>
                <c:pt idx="36">
                  <c:v>1400</c:v>
                </c:pt>
                <c:pt idx="37">
                  <c:v>1400</c:v>
                </c:pt>
                <c:pt idx="38">
                  <c:v>1400</c:v>
                </c:pt>
                <c:pt idx="39">
                  <c:v>1400</c:v>
                </c:pt>
                <c:pt idx="40">
                  <c:v>1400</c:v>
                </c:pt>
                <c:pt idx="41">
                  <c:v>1400</c:v>
                </c:pt>
                <c:pt idx="42">
                  <c:v>1400</c:v>
                </c:pt>
                <c:pt idx="43">
                  <c:v>1400</c:v>
                </c:pt>
                <c:pt idx="44">
                  <c:v>1400</c:v>
                </c:pt>
                <c:pt idx="45">
                  <c:v>1400</c:v>
                </c:pt>
              </c:numCache>
            </c:numRef>
          </c:val>
          <c:smooth val="0"/>
        </c:ser>
        <c:ser>
          <c:idx val="1"/>
          <c:order val="2"/>
          <c:spPr>
            <a:ln w="25400">
              <a:solidFill>
                <a:schemeClr val="tx1"/>
              </a:solidFill>
            </a:ln>
          </c:spPr>
          <c:marker>
            <c:symbol val="none"/>
          </c:marker>
          <c:val>
            <c:numRef>
              <c:f>'Fig 7 table 6 YakutatFig'!$Q$5:$Q$50</c:f>
              <c:numCache>
                <c:formatCode>#,##0</c:formatCode>
                <c:ptCount val="46"/>
                <c:pt idx="0">
                  <c:v>4200</c:v>
                </c:pt>
                <c:pt idx="1">
                  <c:v>4200</c:v>
                </c:pt>
                <c:pt idx="2">
                  <c:v>4200</c:v>
                </c:pt>
                <c:pt idx="3">
                  <c:v>4200</c:v>
                </c:pt>
                <c:pt idx="4">
                  <c:v>4200</c:v>
                </c:pt>
                <c:pt idx="5">
                  <c:v>4200</c:v>
                </c:pt>
                <c:pt idx="6">
                  <c:v>4200</c:v>
                </c:pt>
                <c:pt idx="7">
                  <c:v>4200</c:v>
                </c:pt>
                <c:pt idx="8">
                  <c:v>4200</c:v>
                </c:pt>
                <c:pt idx="9">
                  <c:v>4200</c:v>
                </c:pt>
                <c:pt idx="10">
                  <c:v>4200</c:v>
                </c:pt>
                <c:pt idx="11">
                  <c:v>4200</c:v>
                </c:pt>
                <c:pt idx="12">
                  <c:v>4200</c:v>
                </c:pt>
                <c:pt idx="13">
                  <c:v>4200</c:v>
                </c:pt>
                <c:pt idx="14">
                  <c:v>4200</c:v>
                </c:pt>
                <c:pt idx="15">
                  <c:v>4200</c:v>
                </c:pt>
                <c:pt idx="16">
                  <c:v>4200</c:v>
                </c:pt>
                <c:pt idx="17">
                  <c:v>4200</c:v>
                </c:pt>
                <c:pt idx="18">
                  <c:v>4200</c:v>
                </c:pt>
                <c:pt idx="19">
                  <c:v>4200</c:v>
                </c:pt>
                <c:pt idx="20">
                  <c:v>4200</c:v>
                </c:pt>
                <c:pt idx="21">
                  <c:v>4200</c:v>
                </c:pt>
                <c:pt idx="22">
                  <c:v>4200</c:v>
                </c:pt>
                <c:pt idx="23">
                  <c:v>4200</c:v>
                </c:pt>
                <c:pt idx="24">
                  <c:v>4200</c:v>
                </c:pt>
                <c:pt idx="25">
                  <c:v>4200</c:v>
                </c:pt>
                <c:pt idx="26">
                  <c:v>4200</c:v>
                </c:pt>
                <c:pt idx="27">
                  <c:v>4200</c:v>
                </c:pt>
                <c:pt idx="28">
                  <c:v>4200</c:v>
                </c:pt>
                <c:pt idx="29">
                  <c:v>4200</c:v>
                </c:pt>
                <c:pt idx="30">
                  <c:v>4200</c:v>
                </c:pt>
                <c:pt idx="31">
                  <c:v>4200</c:v>
                </c:pt>
                <c:pt idx="32">
                  <c:v>4200</c:v>
                </c:pt>
                <c:pt idx="33">
                  <c:v>4200</c:v>
                </c:pt>
                <c:pt idx="34">
                  <c:v>4200</c:v>
                </c:pt>
                <c:pt idx="35">
                  <c:v>4200</c:v>
                </c:pt>
                <c:pt idx="36">
                  <c:v>4200</c:v>
                </c:pt>
                <c:pt idx="37">
                  <c:v>4200</c:v>
                </c:pt>
                <c:pt idx="38">
                  <c:v>4200</c:v>
                </c:pt>
                <c:pt idx="39">
                  <c:v>4200</c:v>
                </c:pt>
                <c:pt idx="40">
                  <c:v>4200</c:v>
                </c:pt>
                <c:pt idx="41">
                  <c:v>4200</c:v>
                </c:pt>
                <c:pt idx="42">
                  <c:v>4200</c:v>
                </c:pt>
                <c:pt idx="43">
                  <c:v>4200</c:v>
                </c:pt>
                <c:pt idx="44">
                  <c:v>4200</c:v>
                </c:pt>
                <c:pt idx="45">
                  <c:v>4200</c:v>
                </c:pt>
              </c:numCache>
            </c:numRef>
          </c:val>
          <c:smooth val="0"/>
        </c:ser>
        <c:dLbls>
          <c:showLegendKey val="0"/>
          <c:showVal val="0"/>
          <c:showCatName val="0"/>
          <c:showSerName val="0"/>
          <c:showPercent val="0"/>
          <c:showBubbleSize val="0"/>
        </c:dLbls>
        <c:marker val="1"/>
        <c:smooth val="0"/>
        <c:axId val="171497344"/>
        <c:axId val="171498880"/>
      </c:lineChart>
      <c:catAx>
        <c:axId val="171497344"/>
        <c:scaling>
          <c:orientation val="minMax"/>
        </c:scaling>
        <c:delete val="0"/>
        <c:axPos val="b"/>
        <c:numFmt formatCode="General" sourceLinked="1"/>
        <c:majorTickMark val="out"/>
        <c:minorTickMark val="none"/>
        <c:tickLblPos val="nextTo"/>
        <c:spPr>
          <a:ln w="12700">
            <a:solidFill>
              <a:srgbClr val="000000"/>
            </a:solidFill>
            <a:prstDash val="solid"/>
          </a:ln>
        </c:spPr>
        <c:txPr>
          <a:bodyPr rot="-5400000" vert="horz"/>
          <a:lstStyle/>
          <a:p>
            <a:pPr>
              <a:defRPr sz="200" b="0" i="0" u="none" strike="noStrike" baseline="0">
                <a:solidFill>
                  <a:srgbClr val="FFFFFF"/>
                </a:solidFill>
                <a:latin typeface="Arial"/>
                <a:ea typeface="Arial"/>
                <a:cs typeface="Arial"/>
              </a:defRPr>
            </a:pPr>
            <a:endParaRPr lang="en-US"/>
          </a:p>
        </c:txPr>
        <c:crossAx val="171498880"/>
        <c:crosses val="autoZero"/>
        <c:auto val="1"/>
        <c:lblAlgn val="ctr"/>
        <c:lblOffset val="100"/>
        <c:tickLblSkip val="2"/>
        <c:tickMarkSkip val="1"/>
        <c:noMultiLvlLbl val="0"/>
      </c:catAx>
      <c:valAx>
        <c:axId val="171498880"/>
        <c:scaling>
          <c:orientation val="minMax"/>
          <c:max val="100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71497344"/>
        <c:crosses val="autoZero"/>
        <c:crossBetween val="between"/>
        <c:majorUnit val="2500"/>
      </c:valAx>
      <c:spPr>
        <a:solidFill>
          <a:srgbClr val="FFFFFF"/>
        </a:solidFill>
        <a:ln w="25400">
          <a:noFill/>
        </a:ln>
      </c:spPr>
    </c:plotArea>
    <c:legend>
      <c:legendPos val="r"/>
      <c:legendEntry>
        <c:idx val="2"/>
        <c:delete val="1"/>
      </c:legendEntry>
      <c:layout>
        <c:manualLayout>
          <c:xMode val="edge"/>
          <c:yMode val="edge"/>
          <c:x val="0.75189400390371763"/>
          <c:y val="8.2620204389344948E-2"/>
          <c:w val="0.22886031769393311"/>
          <c:h val="0.30192215334785277"/>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 footer="0.5"/>
    <c:pageSetup orientation="landscape"/>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b="1"/>
              <a:t>Situk River</a:t>
            </a:r>
          </a:p>
        </c:rich>
      </c:tx>
      <c:layout>
        <c:manualLayout>
          <c:xMode val="edge"/>
          <c:yMode val="edge"/>
          <c:x val="0.46924951226016537"/>
          <c:y val="6.6023622047244102E-2"/>
        </c:manualLayout>
      </c:layout>
      <c:overlay val="0"/>
      <c:spPr>
        <a:noFill/>
        <a:ln w="25400">
          <a:noFill/>
        </a:ln>
      </c:spPr>
    </c:title>
    <c:autoTitleDeleted val="0"/>
    <c:plotArea>
      <c:layout>
        <c:manualLayout>
          <c:layoutTarget val="inner"/>
          <c:xMode val="edge"/>
          <c:yMode val="edge"/>
          <c:x val="0.12081266579645457"/>
          <c:y val="4.2329396325459318E-2"/>
          <c:w val="0.86776201103204342"/>
          <c:h val="0.90352958721068954"/>
        </c:manualLayout>
      </c:layout>
      <c:barChart>
        <c:barDir val="col"/>
        <c:grouping val="stacked"/>
        <c:varyColors val="0"/>
        <c:ser>
          <c:idx val="0"/>
          <c:order val="0"/>
          <c:tx>
            <c:v>Peak Count</c:v>
          </c:tx>
          <c:spPr>
            <a:solidFill>
              <a:srgbClr val="E3E3E3"/>
            </a:solidFill>
            <a:ln w="12700">
              <a:solidFill>
                <a:srgbClr val="000000"/>
              </a:solidFill>
              <a:prstDash val="solid"/>
            </a:ln>
          </c:spPr>
          <c:invertIfNegative val="0"/>
          <c:cat>
            <c:numRef>
              <c:f>'Fig 7 table 6 YakutatFig'!$A$5:$A$50</c:f>
              <c:numCache>
                <c:formatCode>General</c:formatCode>
                <c:ptCount val="46"/>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pt idx="27">
                  <c:v>1999</c:v>
                </c:pt>
                <c:pt idx="28">
                  <c:v>2000</c:v>
                </c:pt>
                <c:pt idx="29">
                  <c:v>2001</c:v>
                </c:pt>
                <c:pt idx="30">
                  <c:v>2002</c:v>
                </c:pt>
                <c:pt idx="31">
                  <c:v>2003</c:v>
                </c:pt>
                <c:pt idx="32">
                  <c:v>2004</c:v>
                </c:pt>
                <c:pt idx="33">
                  <c:v>2005</c:v>
                </c:pt>
                <c:pt idx="34">
                  <c:v>2006</c:v>
                </c:pt>
                <c:pt idx="35">
                  <c:v>2007</c:v>
                </c:pt>
                <c:pt idx="36">
                  <c:v>2008</c:v>
                </c:pt>
                <c:pt idx="37">
                  <c:v>2009</c:v>
                </c:pt>
                <c:pt idx="38">
                  <c:v>2010</c:v>
                </c:pt>
                <c:pt idx="39">
                  <c:v>2011</c:v>
                </c:pt>
                <c:pt idx="40">
                  <c:v>2012</c:v>
                </c:pt>
                <c:pt idx="41">
                  <c:v>2013</c:v>
                </c:pt>
                <c:pt idx="42">
                  <c:v>2014</c:v>
                </c:pt>
                <c:pt idx="43">
                  <c:v>2015</c:v>
                </c:pt>
                <c:pt idx="44">
                  <c:v>2016</c:v>
                </c:pt>
                <c:pt idx="45">
                  <c:v>2017</c:v>
                </c:pt>
              </c:numCache>
            </c:numRef>
          </c:cat>
          <c:val>
            <c:numRef>
              <c:f>'Fig 7 table 6 YakutatFig'!$D$5:$D$50</c:f>
              <c:numCache>
                <c:formatCode>#,##0</c:formatCode>
                <c:ptCount val="46"/>
                <c:pt idx="0">
                  <c:v>5100</c:v>
                </c:pt>
                <c:pt idx="1">
                  <c:v>1719</c:v>
                </c:pt>
                <c:pt idx="2">
                  <c:v>4260</c:v>
                </c:pt>
                <c:pt idx="3">
                  <c:v>4500</c:v>
                </c:pt>
                <c:pt idx="4">
                  <c:v>3280</c:v>
                </c:pt>
                <c:pt idx="5">
                  <c:v>3750</c:v>
                </c:pt>
                <c:pt idx="6">
                  <c:v>3850</c:v>
                </c:pt>
                <c:pt idx="7">
                  <c:v>7000</c:v>
                </c:pt>
                <c:pt idx="8">
                  <c:v>8100</c:v>
                </c:pt>
                <c:pt idx="9">
                  <c:v>8430</c:v>
                </c:pt>
                <c:pt idx="10">
                  <c:v>9180</c:v>
                </c:pt>
                <c:pt idx="11">
                  <c:v>5300</c:v>
                </c:pt>
                <c:pt idx="12">
                  <c:v>14000</c:v>
                </c:pt>
                <c:pt idx="13">
                  <c:v>6490</c:v>
                </c:pt>
                <c:pt idx="14">
                  <c:v>3162</c:v>
                </c:pt>
                <c:pt idx="15">
                  <c:v>2000</c:v>
                </c:pt>
                <c:pt idx="16">
                  <c:v>11000</c:v>
                </c:pt>
                <c:pt idx="17">
                  <c:v>3900</c:v>
                </c:pt>
                <c:pt idx="18">
                  <c:v>1630</c:v>
                </c:pt>
                <c:pt idx="19">
                  <c:v>0</c:v>
                </c:pt>
                <c:pt idx="20">
                  <c:v>13820</c:v>
                </c:pt>
                <c:pt idx="21">
                  <c:v>10703</c:v>
                </c:pt>
                <c:pt idx="22">
                  <c:v>21960</c:v>
                </c:pt>
                <c:pt idx="23">
                  <c:v>0</c:v>
                </c:pt>
                <c:pt idx="24">
                  <c:v>0</c:v>
                </c:pt>
                <c:pt idx="25">
                  <c:v>9780</c:v>
                </c:pt>
                <c:pt idx="26">
                  <c:v>0</c:v>
                </c:pt>
                <c:pt idx="27">
                  <c:v>0</c:v>
                </c:pt>
                <c:pt idx="28">
                  <c:v>0</c:v>
                </c:pt>
                <c:pt idx="29">
                  <c:v>5030</c:v>
                </c:pt>
                <c:pt idx="30">
                  <c:v>40000</c:v>
                </c:pt>
                <c:pt idx="31">
                  <c:v>6009</c:v>
                </c:pt>
                <c:pt idx="32">
                  <c:v>10284</c:v>
                </c:pt>
                <c:pt idx="33">
                  <c:v>2514</c:v>
                </c:pt>
                <c:pt idx="34">
                  <c:v>7950</c:v>
                </c:pt>
                <c:pt idx="35">
                  <c:v>5763</c:v>
                </c:pt>
                <c:pt idx="36">
                  <c:v>0</c:v>
                </c:pt>
                <c:pt idx="37">
                  <c:v>5814</c:v>
                </c:pt>
                <c:pt idx="38">
                  <c:v>11195</c:v>
                </c:pt>
                <c:pt idx="39">
                  <c:v>3652</c:v>
                </c:pt>
                <c:pt idx="40">
                  <c:v>3007</c:v>
                </c:pt>
                <c:pt idx="41">
                  <c:v>14853</c:v>
                </c:pt>
                <c:pt idx="42">
                  <c:v>8226</c:v>
                </c:pt>
                <c:pt idx="43">
                  <c:v>7062</c:v>
                </c:pt>
                <c:pt idx="44">
                  <c:v>6177</c:v>
                </c:pt>
                <c:pt idx="45">
                  <c:v>4122</c:v>
                </c:pt>
              </c:numCache>
            </c:numRef>
          </c:val>
        </c:ser>
        <c:dLbls>
          <c:showLegendKey val="0"/>
          <c:showVal val="0"/>
          <c:showCatName val="0"/>
          <c:showSerName val="0"/>
          <c:showPercent val="0"/>
          <c:showBubbleSize val="0"/>
        </c:dLbls>
        <c:gapWidth val="60"/>
        <c:overlap val="100"/>
        <c:axId val="171421696"/>
        <c:axId val="171423232"/>
      </c:barChart>
      <c:lineChart>
        <c:grouping val="standard"/>
        <c:varyColors val="0"/>
        <c:ser>
          <c:idx val="4"/>
          <c:order val="1"/>
          <c:tx>
            <c:v>Goal Bounds</c:v>
          </c:tx>
          <c:spPr>
            <a:ln w="25400">
              <a:solidFill>
                <a:srgbClr val="000000"/>
              </a:solidFill>
              <a:prstDash val="solid"/>
            </a:ln>
          </c:spPr>
          <c:marker>
            <c:symbol val="none"/>
          </c:marker>
          <c:cat>
            <c:numRef>
              <c:f>'Fig 7 table 6 YakutatFig'!$A$5:$A$50</c:f>
              <c:numCache>
                <c:formatCode>General</c:formatCode>
                <c:ptCount val="46"/>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pt idx="27">
                  <c:v>1999</c:v>
                </c:pt>
                <c:pt idx="28">
                  <c:v>2000</c:v>
                </c:pt>
                <c:pt idx="29">
                  <c:v>2001</c:v>
                </c:pt>
                <c:pt idx="30">
                  <c:v>2002</c:v>
                </c:pt>
                <c:pt idx="31">
                  <c:v>2003</c:v>
                </c:pt>
                <c:pt idx="32">
                  <c:v>2004</c:v>
                </c:pt>
                <c:pt idx="33">
                  <c:v>2005</c:v>
                </c:pt>
                <c:pt idx="34">
                  <c:v>2006</c:v>
                </c:pt>
                <c:pt idx="35">
                  <c:v>2007</c:v>
                </c:pt>
                <c:pt idx="36">
                  <c:v>2008</c:v>
                </c:pt>
                <c:pt idx="37">
                  <c:v>2009</c:v>
                </c:pt>
                <c:pt idx="38">
                  <c:v>2010</c:v>
                </c:pt>
                <c:pt idx="39">
                  <c:v>2011</c:v>
                </c:pt>
                <c:pt idx="40">
                  <c:v>2012</c:v>
                </c:pt>
                <c:pt idx="41">
                  <c:v>2013</c:v>
                </c:pt>
                <c:pt idx="42">
                  <c:v>2014</c:v>
                </c:pt>
                <c:pt idx="43">
                  <c:v>2015</c:v>
                </c:pt>
                <c:pt idx="44">
                  <c:v>2016</c:v>
                </c:pt>
                <c:pt idx="45">
                  <c:v>2017</c:v>
                </c:pt>
              </c:numCache>
            </c:numRef>
          </c:cat>
          <c:val>
            <c:numRef>
              <c:f>'Fig 7 table 6 YakutatFig'!$J$5:$J$50</c:f>
              <c:numCache>
                <c:formatCode>#,##0</c:formatCode>
                <c:ptCount val="46"/>
                <c:pt idx="0">
                  <c:v>3300</c:v>
                </c:pt>
                <c:pt idx="1">
                  <c:v>3300</c:v>
                </c:pt>
                <c:pt idx="2">
                  <c:v>3300</c:v>
                </c:pt>
                <c:pt idx="3">
                  <c:v>3300</c:v>
                </c:pt>
                <c:pt idx="4">
                  <c:v>3300</c:v>
                </c:pt>
                <c:pt idx="5">
                  <c:v>3300</c:v>
                </c:pt>
                <c:pt idx="6">
                  <c:v>3300</c:v>
                </c:pt>
                <c:pt idx="7">
                  <c:v>3300</c:v>
                </c:pt>
                <c:pt idx="8">
                  <c:v>3300</c:v>
                </c:pt>
                <c:pt idx="9">
                  <c:v>3300</c:v>
                </c:pt>
                <c:pt idx="10">
                  <c:v>3300</c:v>
                </c:pt>
                <c:pt idx="11">
                  <c:v>3300</c:v>
                </c:pt>
                <c:pt idx="12">
                  <c:v>3300</c:v>
                </c:pt>
                <c:pt idx="13">
                  <c:v>3300</c:v>
                </c:pt>
                <c:pt idx="14">
                  <c:v>3300</c:v>
                </c:pt>
                <c:pt idx="15">
                  <c:v>3300</c:v>
                </c:pt>
                <c:pt idx="16">
                  <c:v>3300</c:v>
                </c:pt>
                <c:pt idx="17">
                  <c:v>3300</c:v>
                </c:pt>
                <c:pt idx="18">
                  <c:v>3300</c:v>
                </c:pt>
                <c:pt idx="19">
                  <c:v>3300</c:v>
                </c:pt>
                <c:pt idx="20">
                  <c:v>3300</c:v>
                </c:pt>
                <c:pt idx="21">
                  <c:v>3300</c:v>
                </c:pt>
                <c:pt idx="22">
                  <c:v>3300</c:v>
                </c:pt>
                <c:pt idx="23">
                  <c:v>3300</c:v>
                </c:pt>
                <c:pt idx="24">
                  <c:v>3300</c:v>
                </c:pt>
                <c:pt idx="25">
                  <c:v>3300</c:v>
                </c:pt>
                <c:pt idx="26">
                  <c:v>3300</c:v>
                </c:pt>
                <c:pt idx="27">
                  <c:v>3300</c:v>
                </c:pt>
                <c:pt idx="28">
                  <c:v>3300</c:v>
                </c:pt>
                <c:pt idx="29">
                  <c:v>3300</c:v>
                </c:pt>
                <c:pt idx="30">
                  <c:v>3300</c:v>
                </c:pt>
                <c:pt idx="31">
                  <c:v>3300</c:v>
                </c:pt>
                <c:pt idx="32">
                  <c:v>3300</c:v>
                </c:pt>
                <c:pt idx="33">
                  <c:v>3300</c:v>
                </c:pt>
                <c:pt idx="34">
                  <c:v>3300</c:v>
                </c:pt>
                <c:pt idx="35">
                  <c:v>3300</c:v>
                </c:pt>
                <c:pt idx="36">
                  <c:v>3300</c:v>
                </c:pt>
                <c:pt idx="37">
                  <c:v>3300</c:v>
                </c:pt>
                <c:pt idx="38">
                  <c:v>3300</c:v>
                </c:pt>
                <c:pt idx="39">
                  <c:v>3300</c:v>
                </c:pt>
                <c:pt idx="40">
                  <c:v>3300</c:v>
                </c:pt>
                <c:pt idx="41">
                  <c:v>3300</c:v>
                </c:pt>
                <c:pt idx="42">
                  <c:v>3300</c:v>
                </c:pt>
                <c:pt idx="43">
                  <c:v>3300</c:v>
                </c:pt>
                <c:pt idx="44">
                  <c:v>3300</c:v>
                </c:pt>
                <c:pt idx="45">
                  <c:v>3300</c:v>
                </c:pt>
              </c:numCache>
            </c:numRef>
          </c:val>
          <c:smooth val="0"/>
        </c:ser>
        <c:ser>
          <c:idx val="1"/>
          <c:order val="2"/>
          <c:spPr>
            <a:ln w="25400">
              <a:solidFill>
                <a:schemeClr val="tx1"/>
              </a:solidFill>
            </a:ln>
          </c:spPr>
          <c:marker>
            <c:symbol val="none"/>
          </c:marker>
          <c:val>
            <c:numRef>
              <c:f>'Fig 7 table 6 YakutatFig'!$K$5:$K$50</c:f>
              <c:numCache>
                <c:formatCode>#,##0</c:formatCode>
                <c:ptCount val="46"/>
                <c:pt idx="0">
                  <c:v>9800</c:v>
                </c:pt>
                <c:pt idx="1">
                  <c:v>9800</c:v>
                </c:pt>
                <c:pt idx="2">
                  <c:v>9800</c:v>
                </c:pt>
                <c:pt idx="3">
                  <c:v>9800</c:v>
                </c:pt>
                <c:pt idx="4">
                  <c:v>9800</c:v>
                </c:pt>
                <c:pt idx="5">
                  <c:v>9800</c:v>
                </c:pt>
                <c:pt idx="6">
                  <c:v>9800</c:v>
                </c:pt>
                <c:pt idx="7">
                  <c:v>9800</c:v>
                </c:pt>
                <c:pt idx="8">
                  <c:v>9800</c:v>
                </c:pt>
                <c:pt idx="9">
                  <c:v>9800</c:v>
                </c:pt>
                <c:pt idx="10">
                  <c:v>9800</c:v>
                </c:pt>
                <c:pt idx="11">
                  <c:v>9800</c:v>
                </c:pt>
                <c:pt idx="12">
                  <c:v>9800</c:v>
                </c:pt>
                <c:pt idx="13">
                  <c:v>9800</c:v>
                </c:pt>
                <c:pt idx="14">
                  <c:v>9800</c:v>
                </c:pt>
                <c:pt idx="15">
                  <c:v>9800</c:v>
                </c:pt>
                <c:pt idx="16">
                  <c:v>9800</c:v>
                </c:pt>
                <c:pt idx="17">
                  <c:v>9800</c:v>
                </c:pt>
                <c:pt idx="18">
                  <c:v>9800</c:v>
                </c:pt>
                <c:pt idx="19">
                  <c:v>9800</c:v>
                </c:pt>
                <c:pt idx="20">
                  <c:v>9800</c:v>
                </c:pt>
                <c:pt idx="21">
                  <c:v>9800</c:v>
                </c:pt>
                <c:pt idx="22">
                  <c:v>9800</c:v>
                </c:pt>
                <c:pt idx="23">
                  <c:v>9800</c:v>
                </c:pt>
                <c:pt idx="24">
                  <c:v>9800</c:v>
                </c:pt>
                <c:pt idx="25">
                  <c:v>9800</c:v>
                </c:pt>
                <c:pt idx="26">
                  <c:v>9800</c:v>
                </c:pt>
                <c:pt idx="27">
                  <c:v>9800</c:v>
                </c:pt>
                <c:pt idx="28">
                  <c:v>9800</c:v>
                </c:pt>
                <c:pt idx="29">
                  <c:v>9800</c:v>
                </c:pt>
                <c:pt idx="30">
                  <c:v>9800</c:v>
                </c:pt>
                <c:pt idx="31">
                  <c:v>9800</c:v>
                </c:pt>
                <c:pt idx="32">
                  <c:v>9800</c:v>
                </c:pt>
                <c:pt idx="33">
                  <c:v>9800</c:v>
                </c:pt>
                <c:pt idx="34">
                  <c:v>9800</c:v>
                </c:pt>
                <c:pt idx="35">
                  <c:v>9800</c:v>
                </c:pt>
                <c:pt idx="36">
                  <c:v>9800</c:v>
                </c:pt>
                <c:pt idx="37">
                  <c:v>9800</c:v>
                </c:pt>
                <c:pt idx="38">
                  <c:v>9800</c:v>
                </c:pt>
                <c:pt idx="39">
                  <c:v>9800</c:v>
                </c:pt>
                <c:pt idx="40">
                  <c:v>9800</c:v>
                </c:pt>
                <c:pt idx="41">
                  <c:v>9800</c:v>
                </c:pt>
                <c:pt idx="42">
                  <c:v>9800</c:v>
                </c:pt>
                <c:pt idx="43">
                  <c:v>9800</c:v>
                </c:pt>
                <c:pt idx="44">
                  <c:v>9800</c:v>
                </c:pt>
                <c:pt idx="45">
                  <c:v>9800</c:v>
                </c:pt>
              </c:numCache>
            </c:numRef>
          </c:val>
          <c:smooth val="0"/>
        </c:ser>
        <c:dLbls>
          <c:showLegendKey val="0"/>
          <c:showVal val="0"/>
          <c:showCatName val="0"/>
          <c:showSerName val="0"/>
          <c:showPercent val="0"/>
          <c:showBubbleSize val="0"/>
        </c:dLbls>
        <c:marker val="1"/>
        <c:smooth val="0"/>
        <c:axId val="171421696"/>
        <c:axId val="171423232"/>
      </c:lineChart>
      <c:catAx>
        <c:axId val="171421696"/>
        <c:scaling>
          <c:orientation val="minMax"/>
        </c:scaling>
        <c:delete val="0"/>
        <c:axPos val="b"/>
        <c:numFmt formatCode="General" sourceLinked="1"/>
        <c:majorTickMark val="out"/>
        <c:minorTickMark val="none"/>
        <c:tickLblPos val="nextTo"/>
        <c:spPr>
          <a:ln w="12700">
            <a:solidFill>
              <a:srgbClr val="000000"/>
            </a:solidFill>
            <a:prstDash val="solid"/>
          </a:ln>
        </c:spPr>
        <c:txPr>
          <a:bodyPr rot="-5400000" vert="horz"/>
          <a:lstStyle/>
          <a:p>
            <a:pPr>
              <a:defRPr sz="200" b="0" i="0" u="none" strike="noStrike" baseline="0">
                <a:solidFill>
                  <a:srgbClr val="FFFFFF"/>
                </a:solidFill>
                <a:latin typeface="Arial"/>
                <a:ea typeface="Arial"/>
                <a:cs typeface="Arial"/>
              </a:defRPr>
            </a:pPr>
            <a:endParaRPr lang="en-US"/>
          </a:p>
        </c:txPr>
        <c:crossAx val="171423232"/>
        <c:crosses val="autoZero"/>
        <c:auto val="1"/>
        <c:lblAlgn val="ctr"/>
        <c:lblOffset val="100"/>
        <c:tickLblSkip val="2"/>
        <c:tickMarkSkip val="1"/>
        <c:noMultiLvlLbl val="0"/>
      </c:catAx>
      <c:valAx>
        <c:axId val="171423232"/>
        <c:scaling>
          <c:orientation val="minMax"/>
          <c:max val="40000"/>
          <c:min val="0"/>
        </c:scaling>
        <c:delete val="0"/>
        <c:axPos val="l"/>
        <c:title>
          <c:tx>
            <c:rich>
              <a:bodyPr/>
              <a:lstStyle/>
              <a:p>
                <a:pPr>
                  <a:defRPr sz="1400" b="1" i="0" u="none" strike="noStrike" baseline="0">
                    <a:solidFill>
                      <a:srgbClr val="000000"/>
                    </a:solidFill>
                    <a:latin typeface="Arial"/>
                    <a:ea typeface="Arial"/>
                    <a:cs typeface="Arial"/>
                  </a:defRPr>
                </a:pPr>
                <a:r>
                  <a:rPr lang="en-US" b="1"/>
                  <a:t>Spawners</a:t>
                </a:r>
              </a:p>
            </c:rich>
          </c:tx>
          <c:layout>
            <c:manualLayout>
              <c:xMode val="edge"/>
              <c:yMode val="edge"/>
              <c:x val="5.8291577189214985E-3"/>
              <c:y val="0.23993080410403245"/>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71421696"/>
        <c:crosses val="autoZero"/>
        <c:crossBetween val="between"/>
        <c:majorUnit val="10000"/>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78" r="0.75000000000000078" t="1" header="0.5" footer="0.5"/>
    <c:pageSetup orientation="landscape"/>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b="1"/>
              <a:t>Tsiu River</a:t>
            </a:r>
          </a:p>
        </c:rich>
      </c:tx>
      <c:layout>
        <c:manualLayout>
          <c:xMode val="edge"/>
          <c:yMode val="edge"/>
          <c:x val="0.47982985370796483"/>
          <c:y val="4.1958563690177024E-2"/>
        </c:manualLayout>
      </c:layout>
      <c:overlay val="0"/>
      <c:spPr>
        <a:noFill/>
        <a:ln w="25400">
          <a:noFill/>
        </a:ln>
      </c:spPr>
    </c:title>
    <c:autoTitleDeleted val="0"/>
    <c:plotArea>
      <c:layout>
        <c:manualLayout>
          <c:layoutTarget val="inner"/>
          <c:xMode val="edge"/>
          <c:yMode val="edge"/>
          <c:x val="0.12085931617797105"/>
          <c:y val="3.6870944323448923E-2"/>
          <c:w val="0.87375637696762432"/>
          <c:h val="0.69419914000111693"/>
        </c:manualLayout>
      </c:layout>
      <c:barChart>
        <c:barDir val="col"/>
        <c:grouping val="stacked"/>
        <c:varyColors val="0"/>
        <c:ser>
          <c:idx val="0"/>
          <c:order val="0"/>
          <c:tx>
            <c:v>Peak Count</c:v>
          </c:tx>
          <c:spPr>
            <a:solidFill>
              <a:srgbClr val="E3E3E3"/>
            </a:solidFill>
            <a:ln w="12700">
              <a:solidFill>
                <a:srgbClr val="000000"/>
              </a:solidFill>
              <a:prstDash val="solid"/>
            </a:ln>
          </c:spPr>
          <c:invertIfNegative val="0"/>
          <c:cat>
            <c:numRef>
              <c:f>'Fig 7 table 6 YakutatFig'!$A$5:$A$50</c:f>
              <c:numCache>
                <c:formatCode>General</c:formatCode>
                <c:ptCount val="46"/>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pt idx="27">
                  <c:v>1999</c:v>
                </c:pt>
                <c:pt idx="28">
                  <c:v>2000</c:v>
                </c:pt>
                <c:pt idx="29">
                  <c:v>2001</c:v>
                </c:pt>
                <c:pt idx="30">
                  <c:v>2002</c:v>
                </c:pt>
                <c:pt idx="31">
                  <c:v>2003</c:v>
                </c:pt>
                <c:pt idx="32">
                  <c:v>2004</c:v>
                </c:pt>
                <c:pt idx="33">
                  <c:v>2005</c:v>
                </c:pt>
                <c:pt idx="34">
                  <c:v>2006</c:v>
                </c:pt>
                <c:pt idx="35">
                  <c:v>2007</c:v>
                </c:pt>
                <c:pt idx="36">
                  <c:v>2008</c:v>
                </c:pt>
                <c:pt idx="37">
                  <c:v>2009</c:v>
                </c:pt>
                <c:pt idx="38">
                  <c:v>2010</c:v>
                </c:pt>
                <c:pt idx="39">
                  <c:v>2011</c:v>
                </c:pt>
                <c:pt idx="40">
                  <c:v>2012</c:v>
                </c:pt>
                <c:pt idx="41">
                  <c:v>2013</c:v>
                </c:pt>
                <c:pt idx="42">
                  <c:v>2014</c:v>
                </c:pt>
                <c:pt idx="43">
                  <c:v>2015</c:v>
                </c:pt>
                <c:pt idx="44">
                  <c:v>2016</c:v>
                </c:pt>
                <c:pt idx="45">
                  <c:v>2017</c:v>
                </c:pt>
              </c:numCache>
            </c:numRef>
          </c:cat>
          <c:val>
            <c:numRef>
              <c:f>'Fig 7 table 6 YakutatFig'!$F$5:$F$50</c:f>
              <c:numCache>
                <c:formatCode>#,##0</c:formatCode>
                <c:ptCount val="46"/>
                <c:pt idx="0">
                  <c:v>0</c:v>
                </c:pt>
                <c:pt idx="1">
                  <c:v>30000</c:v>
                </c:pt>
                <c:pt idx="2">
                  <c:v>15000</c:v>
                </c:pt>
                <c:pt idx="3">
                  <c:v>8150</c:v>
                </c:pt>
                <c:pt idx="4">
                  <c:v>30000</c:v>
                </c:pt>
                <c:pt idx="5">
                  <c:v>25000</c:v>
                </c:pt>
                <c:pt idx="6">
                  <c:v>40000</c:v>
                </c:pt>
                <c:pt idx="7">
                  <c:v>25000</c:v>
                </c:pt>
                <c:pt idx="8">
                  <c:v>18000</c:v>
                </c:pt>
                <c:pt idx="9">
                  <c:v>20000</c:v>
                </c:pt>
                <c:pt idx="10">
                  <c:v>40000</c:v>
                </c:pt>
                <c:pt idx="11">
                  <c:v>16500</c:v>
                </c:pt>
                <c:pt idx="12">
                  <c:v>30000</c:v>
                </c:pt>
                <c:pt idx="13">
                  <c:v>52350</c:v>
                </c:pt>
                <c:pt idx="14">
                  <c:v>14100</c:v>
                </c:pt>
                <c:pt idx="15">
                  <c:v>8500</c:v>
                </c:pt>
                <c:pt idx="16">
                  <c:v>16000</c:v>
                </c:pt>
                <c:pt idx="17">
                  <c:v>38000</c:v>
                </c:pt>
                <c:pt idx="18">
                  <c:v>16800</c:v>
                </c:pt>
                <c:pt idx="19">
                  <c:v>16600</c:v>
                </c:pt>
                <c:pt idx="20">
                  <c:v>30800</c:v>
                </c:pt>
                <c:pt idx="21">
                  <c:v>18500</c:v>
                </c:pt>
                <c:pt idx="22">
                  <c:v>55000</c:v>
                </c:pt>
                <c:pt idx="23">
                  <c:v>30000</c:v>
                </c:pt>
                <c:pt idx="24">
                  <c:v>19000</c:v>
                </c:pt>
                <c:pt idx="25">
                  <c:v>22000</c:v>
                </c:pt>
                <c:pt idx="26">
                  <c:v>12000</c:v>
                </c:pt>
                <c:pt idx="27">
                  <c:v>0</c:v>
                </c:pt>
                <c:pt idx="28">
                  <c:v>12000</c:v>
                </c:pt>
                <c:pt idx="29">
                  <c:v>17000</c:v>
                </c:pt>
                <c:pt idx="30">
                  <c:v>31000</c:v>
                </c:pt>
                <c:pt idx="31">
                  <c:v>35850</c:v>
                </c:pt>
                <c:pt idx="32">
                  <c:v>0</c:v>
                </c:pt>
                <c:pt idx="33">
                  <c:v>16600</c:v>
                </c:pt>
                <c:pt idx="34">
                  <c:v>14500</c:v>
                </c:pt>
                <c:pt idx="35">
                  <c:v>14000</c:v>
                </c:pt>
                <c:pt idx="36">
                  <c:v>25200</c:v>
                </c:pt>
                <c:pt idx="37">
                  <c:v>28000</c:v>
                </c:pt>
                <c:pt idx="38">
                  <c:v>11000</c:v>
                </c:pt>
                <c:pt idx="39">
                  <c:v>21000</c:v>
                </c:pt>
                <c:pt idx="40">
                  <c:v>10500</c:v>
                </c:pt>
                <c:pt idx="41">
                  <c:v>47000</c:v>
                </c:pt>
                <c:pt idx="42">
                  <c:v>27000</c:v>
                </c:pt>
                <c:pt idx="43">
                  <c:v>19500</c:v>
                </c:pt>
                <c:pt idx="44">
                  <c:v>31000</c:v>
                </c:pt>
                <c:pt idx="45">
                  <c:v>38000</c:v>
                </c:pt>
              </c:numCache>
            </c:numRef>
          </c:val>
        </c:ser>
        <c:dLbls>
          <c:showLegendKey val="0"/>
          <c:showVal val="0"/>
          <c:showCatName val="0"/>
          <c:showSerName val="0"/>
          <c:showPercent val="0"/>
          <c:showBubbleSize val="0"/>
        </c:dLbls>
        <c:gapWidth val="60"/>
        <c:overlap val="100"/>
        <c:axId val="171525632"/>
        <c:axId val="171527552"/>
      </c:barChart>
      <c:lineChart>
        <c:grouping val="standard"/>
        <c:varyColors val="0"/>
        <c:ser>
          <c:idx val="4"/>
          <c:order val="1"/>
          <c:tx>
            <c:v>Goal Bounds</c:v>
          </c:tx>
          <c:spPr>
            <a:ln w="25400">
              <a:solidFill>
                <a:srgbClr val="000000"/>
              </a:solidFill>
              <a:prstDash val="solid"/>
            </a:ln>
          </c:spPr>
          <c:marker>
            <c:symbol val="none"/>
          </c:marker>
          <c:cat>
            <c:numRef>
              <c:f>'Fig 7 table 6 YakutatFig'!$A$5:$A$50</c:f>
              <c:numCache>
                <c:formatCode>General</c:formatCode>
                <c:ptCount val="46"/>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pt idx="27">
                  <c:v>1999</c:v>
                </c:pt>
                <c:pt idx="28">
                  <c:v>2000</c:v>
                </c:pt>
                <c:pt idx="29">
                  <c:v>2001</c:v>
                </c:pt>
                <c:pt idx="30">
                  <c:v>2002</c:v>
                </c:pt>
                <c:pt idx="31">
                  <c:v>2003</c:v>
                </c:pt>
                <c:pt idx="32">
                  <c:v>2004</c:v>
                </c:pt>
                <c:pt idx="33">
                  <c:v>2005</c:v>
                </c:pt>
                <c:pt idx="34">
                  <c:v>2006</c:v>
                </c:pt>
                <c:pt idx="35">
                  <c:v>2007</c:v>
                </c:pt>
                <c:pt idx="36">
                  <c:v>2008</c:v>
                </c:pt>
                <c:pt idx="37">
                  <c:v>2009</c:v>
                </c:pt>
                <c:pt idx="38">
                  <c:v>2010</c:v>
                </c:pt>
                <c:pt idx="39">
                  <c:v>2011</c:v>
                </c:pt>
                <c:pt idx="40">
                  <c:v>2012</c:v>
                </c:pt>
                <c:pt idx="41">
                  <c:v>2013</c:v>
                </c:pt>
                <c:pt idx="42">
                  <c:v>2014</c:v>
                </c:pt>
                <c:pt idx="43">
                  <c:v>2015</c:v>
                </c:pt>
                <c:pt idx="44">
                  <c:v>2016</c:v>
                </c:pt>
                <c:pt idx="45">
                  <c:v>2017</c:v>
                </c:pt>
              </c:numCache>
            </c:numRef>
          </c:cat>
          <c:val>
            <c:numRef>
              <c:f>'Fig 7 table 6 YakutatFig'!$M$5:$M$50</c:f>
              <c:numCache>
                <c:formatCode>#,##0</c:formatCode>
                <c:ptCount val="46"/>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10000</c:v>
                </c:pt>
                <c:pt idx="16">
                  <c:v>10000</c:v>
                </c:pt>
                <c:pt idx="17">
                  <c:v>10000</c:v>
                </c:pt>
                <c:pt idx="18">
                  <c:v>10000</c:v>
                </c:pt>
                <c:pt idx="19">
                  <c:v>10000</c:v>
                </c:pt>
                <c:pt idx="20">
                  <c:v>10000</c:v>
                </c:pt>
                <c:pt idx="21">
                  <c:v>10000</c:v>
                </c:pt>
                <c:pt idx="22">
                  <c:v>10000</c:v>
                </c:pt>
                <c:pt idx="23">
                  <c:v>10000</c:v>
                </c:pt>
                <c:pt idx="24">
                  <c:v>10000</c:v>
                </c:pt>
                <c:pt idx="25">
                  <c:v>10000</c:v>
                </c:pt>
                <c:pt idx="26">
                  <c:v>10000</c:v>
                </c:pt>
                <c:pt idx="27">
                  <c:v>10000</c:v>
                </c:pt>
                <c:pt idx="28">
                  <c:v>10000</c:v>
                </c:pt>
                <c:pt idx="29">
                  <c:v>10000</c:v>
                </c:pt>
                <c:pt idx="30">
                  <c:v>10000</c:v>
                </c:pt>
                <c:pt idx="31">
                  <c:v>10000</c:v>
                </c:pt>
                <c:pt idx="32">
                  <c:v>10000</c:v>
                </c:pt>
                <c:pt idx="33">
                  <c:v>10000</c:v>
                </c:pt>
                <c:pt idx="34">
                  <c:v>10000</c:v>
                </c:pt>
                <c:pt idx="35">
                  <c:v>10000</c:v>
                </c:pt>
                <c:pt idx="36">
                  <c:v>10000</c:v>
                </c:pt>
                <c:pt idx="37">
                  <c:v>10000</c:v>
                </c:pt>
                <c:pt idx="38">
                  <c:v>10000</c:v>
                </c:pt>
                <c:pt idx="39">
                  <c:v>10000</c:v>
                </c:pt>
                <c:pt idx="40">
                  <c:v>10000</c:v>
                </c:pt>
                <c:pt idx="41">
                  <c:v>10000</c:v>
                </c:pt>
                <c:pt idx="42">
                  <c:v>10000</c:v>
                </c:pt>
                <c:pt idx="43">
                  <c:v>10000</c:v>
                </c:pt>
                <c:pt idx="44">
                  <c:v>10000</c:v>
                </c:pt>
                <c:pt idx="45">
                  <c:v>10000</c:v>
                </c:pt>
              </c:numCache>
            </c:numRef>
          </c:val>
          <c:smooth val="0"/>
        </c:ser>
        <c:ser>
          <c:idx val="1"/>
          <c:order val="2"/>
          <c:spPr>
            <a:ln w="25400">
              <a:solidFill>
                <a:schemeClr val="tx1"/>
              </a:solidFill>
            </a:ln>
          </c:spPr>
          <c:marker>
            <c:symbol val="none"/>
          </c:marker>
          <c:val>
            <c:numRef>
              <c:f>'Fig 7 table 6 YakutatFig'!$N$5:$N$50</c:f>
              <c:numCache>
                <c:formatCode>#,##0</c:formatCode>
                <c:ptCount val="46"/>
                <c:pt idx="0">
                  <c:v>29000</c:v>
                </c:pt>
                <c:pt idx="1">
                  <c:v>29000</c:v>
                </c:pt>
                <c:pt idx="2">
                  <c:v>29000</c:v>
                </c:pt>
                <c:pt idx="3">
                  <c:v>29000</c:v>
                </c:pt>
                <c:pt idx="4">
                  <c:v>29000</c:v>
                </c:pt>
                <c:pt idx="5">
                  <c:v>29000</c:v>
                </c:pt>
                <c:pt idx="6">
                  <c:v>29000</c:v>
                </c:pt>
                <c:pt idx="7">
                  <c:v>29000</c:v>
                </c:pt>
                <c:pt idx="8">
                  <c:v>29000</c:v>
                </c:pt>
                <c:pt idx="9">
                  <c:v>29000</c:v>
                </c:pt>
                <c:pt idx="10">
                  <c:v>29000</c:v>
                </c:pt>
                <c:pt idx="11">
                  <c:v>29000</c:v>
                </c:pt>
                <c:pt idx="12">
                  <c:v>29000</c:v>
                </c:pt>
                <c:pt idx="13">
                  <c:v>29000</c:v>
                </c:pt>
                <c:pt idx="14">
                  <c:v>29000</c:v>
                </c:pt>
                <c:pt idx="15">
                  <c:v>29000</c:v>
                </c:pt>
                <c:pt idx="16">
                  <c:v>29000</c:v>
                </c:pt>
                <c:pt idx="17">
                  <c:v>29000</c:v>
                </c:pt>
                <c:pt idx="18">
                  <c:v>29000</c:v>
                </c:pt>
                <c:pt idx="19">
                  <c:v>29000</c:v>
                </c:pt>
                <c:pt idx="20">
                  <c:v>29000</c:v>
                </c:pt>
                <c:pt idx="21">
                  <c:v>29000</c:v>
                </c:pt>
                <c:pt idx="22">
                  <c:v>29000</c:v>
                </c:pt>
                <c:pt idx="23">
                  <c:v>29000</c:v>
                </c:pt>
                <c:pt idx="24">
                  <c:v>29000</c:v>
                </c:pt>
                <c:pt idx="25">
                  <c:v>29000</c:v>
                </c:pt>
                <c:pt idx="26">
                  <c:v>29000</c:v>
                </c:pt>
                <c:pt idx="27">
                  <c:v>29000</c:v>
                </c:pt>
                <c:pt idx="28">
                  <c:v>29000</c:v>
                </c:pt>
                <c:pt idx="29">
                  <c:v>29000</c:v>
                </c:pt>
                <c:pt idx="30">
                  <c:v>29000</c:v>
                </c:pt>
                <c:pt idx="31">
                  <c:v>29000</c:v>
                </c:pt>
                <c:pt idx="32">
                  <c:v>29000</c:v>
                </c:pt>
                <c:pt idx="33">
                  <c:v>29000</c:v>
                </c:pt>
                <c:pt idx="34">
                  <c:v>29000</c:v>
                </c:pt>
                <c:pt idx="35">
                  <c:v>29000</c:v>
                </c:pt>
                <c:pt idx="36">
                  <c:v>29000</c:v>
                </c:pt>
                <c:pt idx="37">
                  <c:v>29000</c:v>
                </c:pt>
                <c:pt idx="38">
                  <c:v>29000</c:v>
                </c:pt>
                <c:pt idx="39">
                  <c:v>29000</c:v>
                </c:pt>
                <c:pt idx="40">
                  <c:v>29000</c:v>
                </c:pt>
                <c:pt idx="41">
                  <c:v>29000</c:v>
                </c:pt>
                <c:pt idx="42">
                  <c:v>29000</c:v>
                </c:pt>
                <c:pt idx="43">
                  <c:v>29000</c:v>
                </c:pt>
                <c:pt idx="44">
                  <c:v>29000</c:v>
                </c:pt>
                <c:pt idx="45">
                  <c:v>29000</c:v>
                </c:pt>
              </c:numCache>
            </c:numRef>
          </c:val>
          <c:smooth val="0"/>
        </c:ser>
        <c:dLbls>
          <c:showLegendKey val="0"/>
          <c:showVal val="0"/>
          <c:showCatName val="0"/>
          <c:showSerName val="0"/>
          <c:showPercent val="0"/>
          <c:showBubbleSize val="0"/>
        </c:dLbls>
        <c:marker val="1"/>
        <c:smooth val="0"/>
        <c:axId val="171525632"/>
        <c:axId val="171527552"/>
      </c:lineChart>
      <c:catAx>
        <c:axId val="171525632"/>
        <c:scaling>
          <c:orientation val="minMax"/>
        </c:scaling>
        <c:delete val="0"/>
        <c:axPos val="b"/>
        <c:title>
          <c:tx>
            <c:rich>
              <a:bodyPr/>
              <a:lstStyle/>
              <a:p>
                <a:pPr>
                  <a:defRPr sz="1400" b="1" i="0" u="none" strike="noStrike" baseline="0">
                    <a:solidFill>
                      <a:srgbClr val="000000"/>
                    </a:solidFill>
                    <a:latin typeface="Arial"/>
                    <a:ea typeface="Arial"/>
                    <a:cs typeface="Arial"/>
                  </a:defRPr>
                </a:pPr>
                <a:r>
                  <a:rPr lang="en-US" b="1"/>
                  <a:t>Year</a:t>
                </a:r>
              </a:p>
            </c:rich>
          </c:tx>
          <c:layout>
            <c:manualLayout>
              <c:xMode val="edge"/>
              <c:yMode val="edge"/>
              <c:x val="0.5270995616164601"/>
              <c:y val="0.88863930306584016"/>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1" i="0" u="none" strike="noStrike" baseline="0">
                <a:solidFill>
                  <a:srgbClr val="000000"/>
                </a:solidFill>
                <a:latin typeface="Arial"/>
                <a:ea typeface="Arial"/>
                <a:cs typeface="Arial"/>
              </a:defRPr>
            </a:pPr>
            <a:endParaRPr lang="en-US"/>
          </a:p>
        </c:txPr>
        <c:crossAx val="171527552"/>
        <c:crosses val="autoZero"/>
        <c:auto val="1"/>
        <c:lblAlgn val="ctr"/>
        <c:lblOffset val="100"/>
        <c:tickLblSkip val="2"/>
        <c:tickMarkSkip val="1"/>
        <c:noMultiLvlLbl val="0"/>
      </c:catAx>
      <c:valAx>
        <c:axId val="171527552"/>
        <c:scaling>
          <c:orientation val="minMax"/>
          <c:max val="700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171525632"/>
        <c:crosses val="autoZero"/>
        <c:crossBetween val="between"/>
        <c:majorUnit val="20000"/>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1" r="0.750000000000001" t="1" header="0.5" footer="0.5"/>
    <c:pageSetup orientation="landscape"/>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30593544228025"/>
          <c:y val="5.2279455408908278E-2"/>
          <c:w val="0.74915492471335821"/>
          <c:h val="0.80841763212473794"/>
        </c:manualLayout>
      </c:layout>
      <c:lineChart>
        <c:grouping val="standard"/>
        <c:varyColors val="0"/>
        <c:ser>
          <c:idx val="0"/>
          <c:order val="0"/>
          <c:tx>
            <c:v>Berners River</c:v>
          </c:tx>
          <c:spPr>
            <a:ln w="38100">
              <a:solidFill>
                <a:schemeClr val="tx1"/>
              </a:solidFill>
            </a:ln>
          </c:spPr>
          <c:marker>
            <c:symbol val="none"/>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'Berners River'!$K$11:$K$47</c:f>
              <c:numCache>
                <c:formatCode>#,##0</c:formatCode>
                <c:ptCount val="37"/>
                <c:pt idx="0">
                  <c:v>32609.466443750003</c:v>
                </c:pt>
                <c:pt idx="1">
                  <c:v>34414.496114285736</c:v>
                </c:pt>
                <c:pt idx="3">
                  <c:v>24336.406934285711</c:v>
                </c:pt>
                <c:pt idx="4">
                  <c:v>24687.243790666638</c:v>
                </c:pt>
                <c:pt idx="5">
                  <c:v>13954.139353870971</c:v>
                </c:pt>
                <c:pt idx="6">
                  <c:v>15148.339939375004</c:v>
                </c:pt>
                <c:pt idx="7">
                  <c:v>19756.31947621622</c:v>
                </c:pt>
                <c:pt idx="8">
                  <c:v>33960.630254994816</c:v>
                </c:pt>
                <c:pt idx="9">
                  <c:v>34986.804854161077</c:v>
                </c:pt>
                <c:pt idx="10">
                  <c:v>45994.775120772909</c:v>
                </c:pt>
                <c:pt idx="11">
                  <c:v>49605.621649948291</c:v>
                </c:pt>
                <c:pt idx="12">
                  <c:v>73368.888401009244</c:v>
                </c:pt>
                <c:pt idx="13">
                  <c:v>28815.150686949062</c:v>
                </c:pt>
                <c:pt idx="14">
                  <c:v>23653.698673798015</c:v>
                </c:pt>
                <c:pt idx="15">
                  <c:v>15284.193293887598</c:v>
                </c:pt>
                <c:pt idx="16">
                  <c:v>23137.138818002408</c:v>
                </c:pt>
                <c:pt idx="17">
                  <c:v>33145.161085633677</c:v>
                </c:pt>
                <c:pt idx="18">
                  <c:v>21464.712363482147</c:v>
                </c:pt>
                <c:pt idx="19">
                  <c:v>32152.75112682458</c:v>
                </c:pt>
                <c:pt idx="20">
                  <c:v>49818.421037951979</c:v>
                </c:pt>
                <c:pt idx="21">
                  <c:v>29111.021630484258</c:v>
                </c:pt>
                <c:pt idx="22">
                  <c:v>33174.003930812047</c:v>
                </c:pt>
                <c:pt idx="23">
                  <c:v>12757.874942477865</c:v>
                </c:pt>
                <c:pt idx="24">
                  <c:v>15822.204102688618</c:v>
                </c:pt>
                <c:pt idx="25">
                  <c:v>8721.5504169317664</c:v>
                </c:pt>
                <c:pt idx="26">
                  <c:v>14366.759212206873</c:v>
                </c:pt>
                <c:pt idx="27">
                  <c:v>9317.4461149367089</c:v>
                </c:pt>
                <c:pt idx="28">
                  <c:v>21816.53139184419</c:v>
                </c:pt>
                <c:pt idx="29">
                  <c:v>12029.060059090903</c:v>
                </c:pt>
                <c:pt idx="30">
                  <c:v>8530.5066227316747</c:v>
                </c:pt>
                <c:pt idx="31">
                  <c:v>21067.581021634618</c:v>
                </c:pt>
                <c:pt idx="32">
                  <c:v>26648.29454920346</c:v>
                </c:pt>
                <c:pt idx="33">
                  <c:v>15649</c:v>
                </c:pt>
                <c:pt idx="34">
                  <c:v>9948.2170047798718</c:v>
                </c:pt>
                <c:pt idx="35">
                  <c:v>14298</c:v>
                </c:pt>
                <c:pt idx="36">
                  <c:v>7780</c:v>
                </c:pt>
              </c:numCache>
            </c:numRef>
          </c:val>
          <c:smooth val="0"/>
        </c:ser>
        <c:ser>
          <c:idx val="2"/>
          <c:order val="2"/>
          <c:tx>
            <c:v>Chilkat River x 0.15</c:v>
          </c:tx>
          <c:spPr>
            <a:ln>
              <a:solidFill>
                <a:schemeClr val="tx1"/>
              </a:solidFill>
              <a:prstDash val="sysDash"/>
            </a:ln>
          </c:spPr>
          <c:marker>
            <c:symbol val="none"/>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ChilkatTable!$V$1:$V$37</c:f>
              <c:numCache>
                <c:formatCode>General_)</c:formatCode>
                <c:ptCount val="37"/>
                <c:pt idx="18" formatCode="#,##0">
                  <c:v>19873.167381267256</c:v>
                </c:pt>
                <c:pt idx="19" formatCode="#,##0">
                  <c:v>24745.01297257682</c:v>
                </c:pt>
                <c:pt idx="20" formatCode="#,##0">
                  <c:v>53975.610242636627</c:v>
                </c:pt>
                <c:pt idx="21" formatCode="#,##0">
                  <c:v>34786.377778675116</c:v>
                </c:pt>
                <c:pt idx="22" formatCode="#,##0">
                  <c:v>30997.587899032183</c:v>
                </c:pt>
                <c:pt idx="23" formatCode="#,##0">
                  <c:v>10351.104133782495</c:v>
                </c:pt>
                <c:pt idx="24" formatCode="#,##0">
                  <c:v>23065.181180559142</c:v>
                </c:pt>
                <c:pt idx="25" formatCode="#,##0">
                  <c:v>6075.7171042922719</c:v>
                </c:pt>
                <c:pt idx="26" formatCode="#,##0">
                  <c:v>17168.385768886088</c:v>
                </c:pt>
                <c:pt idx="27" formatCode="#,##0">
                  <c:v>12398.463626255794</c:v>
                </c:pt>
                <c:pt idx="28" formatCode="#,##0">
                  <c:v>24503.222610678804</c:v>
                </c:pt>
                <c:pt idx="29" formatCode="#,##0">
                  <c:v>15513.955459405299</c:v>
                </c:pt>
                <c:pt idx="30" formatCode="#,##0">
                  <c:v>10334.751929399372</c:v>
                </c:pt>
                <c:pt idx="31" formatCode="#,##0">
                  <c:v>19295.124894287164</c:v>
                </c:pt>
                <c:pt idx="32" formatCode="#,##0">
                  <c:v>24837.093346773043</c:v>
                </c:pt>
                <c:pt idx="33" formatCode="#,##0">
                  <c:v>11401.455436682878</c:v>
                </c:pt>
                <c:pt idx="34" formatCode="#,##0">
                  <c:v>6433.242970998992</c:v>
                </c:pt>
                <c:pt idx="35" formatCode="#,##0">
                  <c:v>8342.3231429120988</c:v>
                </c:pt>
                <c:pt idx="36" formatCode="#,##0">
                  <c:v>13763.041253945961</c:v>
                </c:pt>
              </c:numCache>
            </c:numRef>
          </c:val>
          <c:smooth val="0"/>
        </c:ser>
        <c:dLbls>
          <c:showLegendKey val="0"/>
          <c:showVal val="0"/>
          <c:showCatName val="0"/>
          <c:showSerName val="0"/>
          <c:showPercent val="0"/>
          <c:showBubbleSize val="0"/>
        </c:dLbls>
        <c:marker val="1"/>
        <c:smooth val="0"/>
        <c:axId val="171579264"/>
        <c:axId val="171585920"/>
      </c:lineChart>
      <c:lineChart>
        <c:grouping val="standard"/>
        <c:varyColors val="0"/>
        <c:ser>
          <c:idx val="1"/>
          <c:order val="1"/>
          <c:tx>
            <c:v>Hugh Smith Lake</c:v>
          </c:tx>
          <c:spPr>
            <a:ln w="38100">
              <a:solidFill>
                <a:schemeClr val="accent1">
                  <a:lumMod val="60000"/>
                  <a:lumOff val="40000"/>
                </a:schemeClr>
              </a:solidFill>
              <a:prstDash val="sysDash"/>
            </a:ln>
          </c:spPr>
          <c:marker>
            <c:symbol val="circle"/>
            <c:size val="7"/>
            <c:spPr>
              <a:solidFill>
                <a:schemeClr val="accent1">
                  <a:lumMod val="60000"/>
                  <a:lumOff val="40000"/>
                </a:schemeClr>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HughSmith!$M$6:$M$42</c:f>
              <c:numCache>
                <c:formatCode>#,##0</c:formatCode>
                <c:ptCount val="37"/>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pt idx="36">
                  <c:v>1318</c:v>
                </c:pt>
              </c:numCache>
            </c:numRef>
          </c:val>
          <c:smooth val="0"/>
        </c:ser>
        <c:dLbls>
          <c:showLegendKey val="0"/>
          <c:showVal val="0"/>
          <c:showCatName val="0"/>
          <c:showSerName val="0"/>
          <c:showPercent val="0"/>
          <c:showBubbleSize val="0"/>
        </c:dLbls>
        <c:marker val="1"/>
        <c:smooth val="0"/>
        <c:axId val="171587840"/>
        <c:axId val="171589632"/>
      </c:lineChart>
      <c:catAx>
        <c:axId val="171579264"/>
        <c:scaling>
          <c:orientation val="minMax"/>
        </c:scaling>
        <c:delete val="0"/>
        <c:axPos val="b"/>
        <c:title>
          <c:tx>
            <c:rich>
              <a:bodyPr/>
              <a:lstStyle/>
              <a:p>
                <a:pPr>
                  <a:defRPr sz="1600" b="0" baseline="0"/>
                </a:pPr>
                <a:r>
                  <a:rPr lang="en-US" sz="1600" b="0" baseline="0"/>
                  <a:t>Year</a:t>
                </a:r>
              </a:p>
            </c:rich>
          </c:tx>
          <c:layout>
            <c:manualLayout>
              <c:xMode val="edge"/>
              <c:yMode val="edge"/>
              <c:x val="0.47481949624717962"/>
              <c:y val="0.93991817733352478"/>
            </c:manualLayout>
          </c:layout>
          <c:overlay val="0"/>
        </c:title>
        <c:numFmt formatCode="0" sourceLinked="1"/>
        <c:majorTickMark val="out"/>
        <c:minorTickMark val="none"/>
        <c:tickLblPos val="nextTo"/>
        <c:spPr>
          <a:ln w="15875">
            <a:solidFill>
              <a:schemeClr val="tx1"/>
            </a:solidFill>
          </a:ln>
        </c:spPr>
        <c:txPr>
          <a:bodyPr rot="-5400000" vert="horz"/>
          <a:lstStyle/>
          <a:p>
            <a:pPr>
              <a:defRPr sz="1200"/>
            </a:pPr>
            <a:endParaRPr lang="en-US"/>
          </a:p>
        </c:txPr>
        <c:crossAx val="171585920"/>
        <c:crosses val="autoZero"/>
        <c:auto val="1"/>
        <c:lblAlgn val="ctr"/>
        <c:lblOffset val="100"/>
        <c:noMultiLvlLbl val="0"/>
      </c:catAx>
      <c:valAx>
        <c:axId val="171585920"/>
        <c:scaling>
          <c:orientation val="minMax"/>
          <c:max val="78580.5"/>
          <c:min val="0"/>
        </c:scaling>
        <c:delete val="0"/>
        <c:axPos val="l"/>
        <c:title>
          <c:tx>
            <c:rich>
              <a:bodyPr rot="-5400000" vert="horz"/>
              <a:lstStyle/>
              <a:p>
                <a:pPr>
                  <a:defRPr sz="1600" b="0" baseline="0"/>
                </a:pPr>
                <a:r>
                  <a:rPr lang="en-US" sz="1600" b="0" baseline="0"/>
                  <a:t>Berners -Chilkat (Number of Fish)</a:t>
                </a:r>
              </a:p>
            </c:rich>
          </c:tx>
          <c:layout>
            <c:manualLayout>
              <c:xMode val="edge"/>
              <c:yMode val="edge"/>
              <c:x val="1.4393677763963717E-2"/>
              <c:y val="0.18332466141108236"/>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171579264"/>
        <c:crosses val="autoZero"/>
        <c:crossBetween val="between"/>
      </c:valAx>
      <c:catAx>
        <c:axId val="171587840"/>
        <c:scaling>
          <c:orientation val="minMax"/>
        </c:scaling>
        <c:delete val="1"/>
        <c:axPos val="b"/>
        <c:numFmt formatCode="0" sourceLinked="1"/>
        <c:majorTickMark val="out"/>
        <c:minorTickMark val="none"/>
        <c:tickLblPos val="none"/>
        <c:crossAx val="171589632"/>
        <c:crosses val="autoZero"/>
        <c:auto val="1"/>
        <c:lblAlgn val="ctr"/>
        <c:lblOffset val="100"/>
        <c:noMultiLvlLbl val="0"/>
      </c:catAx>
      <c:valAx>
        <c:axId val="171589632"/>
        <c:scaling>
          <c:orientation val="minMax"/>
        </c:scaling>
        <c:delete val="0"/>
        <c:axPos val="r"/>
        <c:title>
          <c:tx>
            <c:rich>
              <a:bodyPr rot="-5400000" vert="horz"/>
              <a:lstStyle/>
              <a:p>
                <a:pPr>
                  <a:defRPr sz="1600" b="0" baseline="0"/>
                </a:pPr>
                <a:r>
                  <a:rPr lang="en-US" sz="1600" b="0" baseline="0"/>
                  <a:t>Hugh Smith Lake (Number of Fish)</a:t>
                </a:r>
              </a:p>
            </c:rich>
          </c:tx>
          <c:layout>
            <c:manualLayout>
              <c:xMode val="edge"/>
              <c:yMode val="edge"/>
              <c:x val="0.94990215038909609"/>
              <c:y val="0.18307775212298952"/>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171587840"/>
        <c:crosses val="max"/>
        <c:crossBetween val="between"/>
      </c:valAx>
    </c:plotArea>
    <c:legend>
      <c:legendPos val="r"/>
      <c:layout>
        <c:manualLayout>
          <c:xMode val="edge"/>
          <c:yMode val="edge"/>
          <c:x val="0.47604595478196798"/>
          <c:y val="7.0548211190306978E-2"/>
          <c:w val="0.29950395735416835"/>
          <c:h val="0.19054210241458178"/>
        </c:manualLayout>
      </c:layout>
      <c:overlay val="0"/>
      <c:txPr>
        <a:bodyPr/>
        <a:lstStyle/>
        <a:p>
          <a:pPr>
            <a:defRPr sz="16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30593544228025"/>
          <c:y val="5.2279455408908278E-2"/>
          <c:w val="0.74915492471335821"/>
          <c:h val="0.80841763212473794"/>
        </c:manualLayout>
      </c:layout>
      <c:lineChart>
        <c:grouping val="standard"/>
        <c:varyColors val="0"/>
        <c:ser>
          <c:idx val="0"/>
          <c:order val="0"/>
          <c:tx>
            <c:v>Berners River</c:v>
          </c:tx>
          <c:spPr>
            <a:ln w="38100">
              <a:solidFill>
                <a:schemeClr val="tx1"/>
              </a:solidFill>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River'!$L$95:$L$130</c:f>
              <c:numCache>
                <c:formatCode>General</c:formatCode>
                <c:ptCount val="36"/>
                <c:pt idx="0" formatCode="General_)">
                  <c:v>2.5660609480920962</c:v>
                </c:pt>
                <c:pt idx="7" formatCode="#,##0">
                  <c:v>21567.31947621622</c:v>
                </c:pt>
                <c:pt idx="8" formatCode="#,##0">
                  <c:v>36625.630254994816</c:v>
                </c:pt>
                <c:pt idx="9" formatCode="#,##0">
                  <c:v>37767.804854161077</c:v>
                </c:pt>
                <c:pt idx="10" formatCode="#,##0">
                  <c:v>49685.775120772909</c:v>
                </c:pt>
                <c:pt idx="11" formatCode="#,##0">
                  <c:v>53385.621649948291</c:v>
                </c:pt>
                <c:pt idx="12" formatCode="#,##0">
                  <c:v>77208.888401009244</c:v>
                </c:pt>
                <c:pt idx="13" formatCode="#,##0">
                  <c:v>30008.150686949062</c:v>
                </c:pt>
                <c:pt idx="14" formatCode="#,##0">
                  <c:v>25112.698673798015</c:v>
                </c:pt>
                <c:pt idx="15" formatCode="#,##0">
                  <c:v>17708.193293887598</c:v>
                </c:pt>
                <c:pt idx="16" formatCode="#,##0">
                  <c:v>24778.138818002408</c:v>
                </c:pt>
                <c:pt idx="17" formatCode="#,##0">
                  <c:v>35538.161085633677</c:v>
                </c:pt>
                <c:pt idx="18" formatCode="#,##0">
                  <c:v>24033.712363482147</c:v>
                </c:pt>
                <c:pt idx="19" formatCode="#,##0">
                  <c:v>36805.75112682458</c:v>
                </c:pt>
                <c:pt idx="20" formatCode="#,##0">
                  <c:v>56500.421037951979</c:v>
                </c:pt>
                <c:pt idx="21" formatCode="#,##0">
                  <c:v>31550.021630484258</c:v>
                </c:pt>
                <c:pt idx="22" formatCode="#,##0">
                  <c:v>36660.003930812047</c:v>
                </c:pt>
                <c:pt idx="23" formatCode="#,##0">
                  <c:v>14016.874942477865</c:v>
                </c:pt>
                <c:pt idx="24" formatCode="#,##0">
                  <c:v>17141.204102688618</c:v>
                </c:pt>
                <c:pt idx="25" formatCode="#,##0">
                  <c:v>9665.5504169317664</c:v>
                </c:pt>
                <c:pt idx="26" formatCode="#,##0">
                  <c:v>16023.759212206873</c:v>
                </c:pt>
                <c:pt idx="27" formatCode="#,##0">
                  <c:v>10337.446114936709</c:v>
                </c:pt>
                <c:pt idx="28" formatCode="#,##0">
                  <c:v>23630.53139184419</c:v>
                </c:pt>
                <c:pt idx="29" formatCode="#,##0">
                  <c:v>13488.060059090903</c:v>
                </c:pt>
                <c:pt idx="30" formatCode="#,##0">
                  <c:v>9852.5066227316747</c:v>
                </c:pt>
                <c:pt idx="31" formatCode="#,##0">
                  <c:v>22582.581021634618</c:v>
                </c:pt>
                <c:pt idx="32" formatCode="#,##0">
                  <c:v>30382.29454920346</c:v>
                </c:pt>
                <c:pt idx="33" formatCode="#,##0">
                  <c:v>18047</c:v>
                </c:pt>
                <c:pt idx="34" formatCode="#,##0">
                  <c:v>11572.217004779872</c:v>
                </c:pt>
                <c:pt idx="35" formatCode="#,##0">
                  <c:v>15996</c:v>
                </c:pt>
              </c:numCache>
            </c:numRef>
          </c:val>
          <c:smooth val="0"/>
        </c:ser>
        <c:ser>
          <c:idx val="2"/>
          <c:order val="2"/>
          <c:tx>
            <c:v>Chilkat x 0.17</c:v>
          </c:tx>
          <c:spPr>
            <a:ln>
              <a:solidFill>
                <a:schemeClr val="tx1"/>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River'!$R$11:$R$45</c:f>
              <c:numCache>
                <c:formatCode>General</c:formatCode>
                <c:ptCount val="35"/>
                <c:pt idx="18">
                  <c:v>21657.296136000001</c:v>
                </c:pt>
                <c:pt idx="19">
                  <c:v>26966.515380000001</c:v>
                </c:pt>
                <c:pt idx="20">
                  <c:v>58821.311807999999</c:v>
                </c:pt>
                <c:pt idx="21">
                  <c:v>37909.351368000003</c:v>
                </c:pt>
                <c:pt idx="22">
                  <c:v>33780.419988000001</c:v>
                </c:pt>
                <c:pt idx="23">
                  <c:v>11280.3824</c:v>
                </c:pt>
                <c:pt idx="24">
                  <c:v>25135.875408</c:v>
                </c:pt>
                <c:pt idx="25">
                  <c:v>6621.1692400000002</c:v>
                </c:pt>
                <c:pt idx="26">
                  <c:v>18709.690692</c:v>
                </c:pt>
                <c:pt idx="27">
                  <c:v>13511.545152000001</c:v>
                </c:pt>
                <c:pt idx="28">
                  <c:v>26703.018103999999</c:v>
                </c:pt>
                <c:pt idx="29">
                  <c:v>16906.732639999998</c:v>
                </c:pt>
                <c:pt idx="30">
                  <c:v>11262.562164000001</c:v>
                </c:pt>
                <c:pt idx="31">
                  <c:v>21027.359444000002</c:v>
                </c:pt>
                <c:pt idx="32">
                  <c:v>27066.86234</c:v>
                </c:pt>
                <c:pt idx="33">
                  <c:v>12425.029791999999</c:v>
                </c:pt>
                <c:pt idx="34">
                  <c:v>7010.7922639999997</c:v>
                </c:pt>
              </c:numCache>
            </c:numRef>
          </c:val>
          <c:smooth val="0"/>
        </c:ser>
        <c:dLbls>
          <c:showLegendKey val="0"/>
          <c:showVal val="0"/>
          <c:showCatName val="0"/>
          <c:showSerName val="0"/>
          <c:showPercent val="0"/>
          <c:showBubbleSize val="0"/>
        </c:dLbls>
        <c:marker val="1"/>
        <c:smooth val="0"/>
        <c:axId val="171632896"/>
        <c:axId val="171983616"/>
      </c:lineChart>
      <c:lineChart>
        <c:grouping val="standard"/>
        <c:varyColors val="0"/>
        <c:ser>
          <c:idx val="1"/>
          <c:order val="1"/>
          <c:tx>
            <c:v>Hugh Smith Lake</c:v>
          </c:tx>
          <c:spPr>
            <a:ln w="38100">
              <a:solidFill>
                <a:schemeClr val="accent1">
                  <a:lumMod val="60000"/>
                  <a:lumOff val="40000"/>
                </a:schemeClr>
              </a:solidFill>
              <a:prstDash val="sysDash"/>
            </a:ln>
          </c:spPr>
          <c:marker>
            <c:symbol val="circle"/>
            <c:size val="7"/>
            <c:spPr>
              <a:solidFill>
                <a:schemeClr val="accent1">
                  <a:lumMod val="60000"/>
                  <a:lumOff val="40000"/>
                </a:schemeClr>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HughSmith!$M$6:$M$41</c:f>
              <c:numCache>
                <c:formatCode>#,##0</c:formatCode>
                <c:ptCount val="36"/>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numCache>
            </c:numRef>
          </c:val>
          <c:smooth val="0"/>
        </c:ser>
        <c:dLbls>
          <c:showLegendKey val="0"/>
          <c:showVal val="0"/>
          <c:showCatName val="0"/>
          <c:showSerName val="0"/>
          <c:showPercent val="0"/>
          <c:showBubbleSize val="0"/>
        </c:dLbls>
        <c:marker val="1"/>
        <c:smooth val="0"/>
        <c:axId val="171985536"/>
        <c:axId val="171991424"/>
      </c:lineChart>
      <c:catAx>
        <c:axId val="171632896"/>
        <c:scaling>
          <c:orientation val="minMax"/>
        </c:scaling>
        <c:delete val="0"/>
        <c:axPos val="b"/>
        <c:title>
          <c:tx>
            <c:rich>
              <a:bodyPr/>
              <a:lstStyle/>
              <a:p>
                <a:pPr>
                  <a:defRPr sz="1600" b="0" baseline="0"/>
                </a:pPr>
                <a:r>
                  <a:rPr lang="en-US" sz="1600" b="0" baseline="0"/>
                  <a:t>Year</a:t>
                </a:r>
              </a:p>
            </c:rich>
          </c:tx>
          <c:layout>
            <c:manualLayout>
              <c:xMode val="edge"/>
              <c:yMode val="edge"/>
              <c:x val="0.47481949624717962"/>
              <c:y val="0.93991817733352478"/>
            </c:manualLayout>
          </c:layout>
          <c:overlay val="0"/>
        </c:title>
        <c:numFmt formatCode="0" sourceLinked="1"/>
        <c:majorTickMark val="out"/>
        <c:minorTickMark val="none"/>
        <c:tickLblPos val="nextTo"/>
        <c:spPr>
          <a:ln w="15875">
            <a:solidFill>
              <a:schemeClr val="tx1"/>
            </a:solidFill>
          </a:ln>
        </c:spPr>
        <c:txPr>
          <a:bodyPr rot="-5400000" vert="horz"/>
          <a:lstStyle/>
          <a:p>
            <a:pPr>
              <a:defRPr sz="1200"/>
            </a:pPr>
            <a:endParaRPr lang="en-US"/>
          </a:p>
        </c:txPr>
        <c:crossAx val="171983616"/>
        <c:crosses val="autoZero"/>
        <c:auto val="1"/>
        <c:lblAlgn val="ctr"/>
        <c:lblOffset val="100"/>
        <c:noMultiLvlLbl val="0"/>
      </c:catAx>
      <c:valAx>
        <c:axId val="171983616"/>
        <c:scaling>
          <c:orientation val="minMax"/>
          <c:max val="78580.5"/>
          <c:min val="0"/>
        </c:scaling>
        <c:delete val="0"/>
        <c:axPos val="l"/>
        <c:title>
          <c:tx>
            <c:rich>
              <a:bodyPr rot="-5400000" vert="horz"/>
              <a:lstStyle/>
              <a:p>
                <a:pPr>
                  <a:defRPr sz="1600" b="0" baseline="0"/>
                </a:pPr>
                <a:r>
                  <a:rPr lang="en-US" sz="1600" b="0" baseline="0"/>
                  <a:t>Berners -Chilkat (Number of Fish)</a:t>
                </a:r>
              </a:p>
            </c:rich>
          </c:tx>
          <c:layout>
            <c:manualLayout>
              <c:xMode val="edge"/>
              <c:yMode val="edge"/>
              <c:x val="1.4393677763963717E-2"/>
              <c:y val="0.18332466141108236"/>
            </c:manualLayout>
          </c:layout>
          <c:overlay val="0"/>
        </c:title>
        <c:numFmt formatCode="General_)" sourceLinked="1"/>
        <c:majorTickMark val="out"/>
        <c:minorTickMark val="none"/>
        <c:tickLblPos val="nextTo"/>
        <c:spPr>
          <a:ln w="15875">
            <a:solidFill>
              <a:schemeClr val="tx1"/>
            </a:solidFill>
          </a:ln>
        </c:spPr>
        <c:txPr>
          <a:bodyPr/>
          <a:lstStyle/>
          <a:p>
            <a:pPr>
              <a:defRPr sz="1200"/>
            </a:pPr>
            <a:endParaRPr lang="en-US"/>
          </a:p>
        </c:txPr>
        <c:crossAx val="171632896"/>
        <c:crosses val="autoZero"/>
        <c:crossBetween val="between"/>
      </c:valAx>
      <c:catAx>
        <c:axId val="171985536"/>
        <c:scaling>
          <c:orientation val="minMax"/>
        </c:scaling>
        <c:delete val="1"/>
        <c:axPos val="b"/>
        <c:numFmt formatCode="0" sourceLinked="1"/>
        <c:majorTickMark val="out"/>
        <c:minorTickMark val="none"/>
        <c:tickLblPos val="none"/>
        <c:crossAx val="171991424"/>
        <c:crosses val="autoZero"/>
        <c:auto val="1"/>
        <c:lblAlgn val="ctr"/>
        <c:lblOffset val="100"/>
        <c:noMultiLvlLbl val="0"/>
      </c:catAx>
      <c:valAx>
        <c:axId val="171991424"/>
        <c:scaling>
          <c:orientation val="minMax"/>
          <c:max val="24085"/>
          <c:min val="0"/>
        </c:scaling>
        <c:delete val="0"/>
        <c:axPos val="r"/>
        <c:title>
          <c:tx>
            <c:rich>
              <a:bodyPr rot="-5400000" vert="horz"/>
              <a:lstStyle/>
              <a:p>
                <a:pPr>
                  <a:defRPr sz="1600" b="0" baseline="0"/>
                </a:pPr>
                <a:r>
                  <a:rPr lang="en-US" sz="1600" b="0" baseline="0"/>
                  <a:t>Hugh Smith Lake (Number of Fish)</a:t>
                </a:r>
              </a:p>
            </c:rich>
          </c:tx>
          <c:layout>
            <c:manualLayout>
              <c:xMode val="edge"/>
              <c:yMode val="edge"/>
              <c:x val="0.94990215038909609"/>
              <c:y val="0.18307775212298952"/>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171985536"/>
        <c:crosses val="max"/>
        <c:crossBetween val="between"/>
      </c:valAx>
    </c:plotArea>
    <c:legend>
      <c:legendPos val="r"/>
      <c:layout>
        <c:manualLayout>
          <c:xMode val="edge"/>
          <c:yMode val="edge"/>
          <c:x val="0.47604595478196798"/>
          <c:y val="7.0548211190306978E-2"/>
          <c:w val="0.29950395735416835"/>
          <c:h val="0.19054210241458178"/>
        </c:manualLayout>
      </c:layout>
      <c:overlay val="0"/>
      <c:txPr>
        <a:bodyPr/>
        <a:lstStyle/>
        <a:p>
          <a:pPr>
            <a:defRPr sz="16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intercept val="0"/>
            <c:dispRSqr val="1"/>
            <c:dispEq val="1"/>
            <c:trendlineLbl>
              <c:numFmt formatCode="#,##0.000000" sourceLinked="0"/>
            </c:trendlineLbl>
          </c:trendline>
          <c:xVal>
            <c:numRef>
              <c:f>ChilkatTable!$T$19:$T$36</c:f>
              <c:numCache>
                <c:formatCode>#,##0</c:formatCode>
                <c:ptCount val="18"/>
                <c:pt idx="0">
                  <c:v>125178</c:v>
                </c:pt>
                <c:pt idx="1">
                  <c:v>155865</c:v>
                </c:pt>
                <c:pt idx="2">
                  <c:v>339984</c:v>
                </c:pt>
                <c:pt idx="3">
                  <c:v>219114</c:v>
                </c:pt>
                <c:pt idx="4">
                  <c:v>195249</c:v>
                </c:pt>
                <c:pt idx="5">
                  <c:v>65200</c:v>
                </c:pt>
                <c:pt idx="6">
                  <c:v>145284</c:v>
                </c:pt>
                <c:pt idx="7">
                  <c:v>38270</c:v>
                </c:pt>
                <c:pt idx="8">
                  <c:v>108141</c:v>
                </c:pt>
                <c:pt idx="9">
                  <c:v>78096</c:v>
                </c:pt>
                <c:pt idx="10">
                  <c:v>154342</c:v>
                </c:pt>
                <c:pt idx="11">
                  <c:v>97720</c:v>
                </c:pt>
                <c:pt idx="12">
                  <c:v>65097</c:v>
                </c:pt>
                <c:pt idx="13">
                  <c:v>121537</c:v>
                </c:pt>
                <c:pt idx="14">
                  <c:v>156445</c:v>
                </c:pt>
                <c:pt idx="15">
                  <c:v>71816</c:v>
                </c:pt>
                <c:pt idx="16">
                  <c:v>40522</c:v>
                </c:pt>
                <c:pt idx="17">
                  <c:v>52547</c:v>
                </c:pt>
              </c:numCache>
            </c:numRef>
          </c:xVal>
          <c:yVal>
            <c:numRef>
              <c:f>'Berners River'!$K$29:$K$46</c:f>
              <c:numCache>
                <c:formatCode>#,##0</c:formatCode>
                <c:ptCount val="18"/>
                <c:pt idx="0">
                  <c:v>21464.712363482147</c:v>
                </c:pt>
                <c:pt idx="1">
                  <c:v>32152.75112682458</c:v>
                </c:pt>
                <c:pt idx="2">
                  <c:v>49818.421037951979</c:v>
                </c:pt>
                <c:pt idx="3">
                  <c:v>29111.021630484258</c:v>
                </c:pt>
                <c:pt idx="4">
                  <c:v>33174.003930812047</c:v>
                </c:pt>
                <c:pt idx="5">
                  <c:v>12757.874942477865</c:v>
                </c:pt>
                <c:pt idx="6">
                  <c:v>15822.204102688618</c:v>
                </c:pt>
                <c:pt idx="7">
                  <c:v>8721.5504169317664</c:v>
                </c:pt>
                <c:pt idx="8">
                  <c:v>14366.759212206873</c:v>
                </c:pt>
                <c:pt idx="9">
                  <c:v>9317.4461149367089</c:v>
                </c:pt>
                <c:pt idx="10">
                  <c:v>21816.53139184419</c:v>
                </c:pt>
                <c:pt idx="11">
                  <c:v>12029.060059090903</c:v>
                </c:pt>
                <c:pt idx="12">
                  <c:v>8530.5066227316747</c:v>
                </c:pt>
                <c:pt idx="13">
                  <c:v>21067.581021634618</c:v>
                </c:pt>
                <c:pt idx="14">
                  <c:v>26648.29454920346</c:v>
                </c:pt>
                <c:pt idx="15">
                  <c:v>15649</c:v>
                </c:pt>
                <c:pt idx="16">
                  <c:v>9948.2170047798718</c:v>
                </c:pt>
                <c:pt idx="17">
                  <c:v>14298</c:v>
                </c:pt>
              </c:numCache>
            </c:numRef>
          </c:yVal>
          <c:smooth val="0"/>
        </c:ser>
        <c:dLbls>
          <c:showLegendKey val="0"/>
          <c:showVal val="0"/>
          <c:showCatName val="0"/>
          <c:showSerName val="0"/>
          <c:showPercent val="0"/>
          <c:showBubbleSize val="0"/>
        </c:dLbls>
        <c:axId val="172008576"/>
        <c:axId val="172010112"/>
      </c:scatterChart>
      <c:valAx>
        <c:axId val="172008576"/>
        <c:scaling>
          <c:orientation val="minMax"/>
        </c:scaling>
        <c:delete val="0"/>
        <c:axPos val="b"/>
        <c:numFmt formatCode="#,##0" sourceLinked="1"/>
        <c:majorTickMark val="out"/>
        <c:minorTickMark val="none"/>
        <c:tickLblPos val="nextTo"/>
        <c:crossAx val="172010112"/>
        <c:crosses val="autoZero"/>
        <c:crossBetween val="midCat"/>
      </c:valAx>
      <c:valAx>
        <c:axId val="172010112"/>
        <c:scaling>
          <c:orientation val="minMax"/>
        </c:scaling>
        <c:delete val="0"/>
        <c:axPos val="l"/>
        <c:majorGridlines/>
        <c:numFmt formatCode="#,##0" sourceLinked="1"/>
        <c:majorTickMark val="out"/>
        <c:minorTickMark val="none"/>
        <c:tickLblPos val="nextTo"/>
        <c:crossAx val="1720085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intercept val="0"/>
            <c:dispRSqr val="1"/>
            <c:dispEq val="1"/>
            <c:trendlineLbl>
              <c:numFmt formatCode="#,##0.000000" sourceLinked="0"/>
            </c:trendlineLbl>
          </c:trendline>
          <c:xVal>
            <c:numRef>
              <c:f>'Berners River'!$K$102:$K$119</c:f>
              <c:numCache>
                <c:formatCode>#,##0</c:formatCode>
                <c:ptCount val="18"/>
                <c:pt idx="0">
                  <c:v>21567.31947621622</c:v>
                </c:pt>
                <c:pt idx="1">
                  <c:v>36625.630254994816</c:v>
                </c:pt>
                <c:pt idx="2">
                  <c:v>37767.804854161077</c:v>
                </c:pt>
                <c:pt idx="3">
                  <c:v>49685.775120772909</c:v>
                </c:pt>
                <c:pt idx="4">
                  <c:v>53385.621649948291</c:v>
                </c:pt>
                <c:pt idx="5">
                  <c:v>77208.888401009244</c:v>
                </c:pt>
                <c:pt idx="6">
                  <c:v>30008.150686949062</c:v>
                </c:pt>
                <c:pt idx="7">
                  <c:v>25112.698673798015</c:v>
                </c:pt>
                <c:pt idx="8">
                  <c:v>17708.193293887598</c:v>
                </c:pt>
                <c:pt idx="9">
                  <c:v>24778.138818002408</c:v>
                </c:pt>
                <c:pt idx="10">
                  <c:v>35538.161085633677</c:v>
                </c:pt>
                <c:pt idx="11">
                  <c:v>24033.712363482147</c:v>
                </c:pt>
                <c:pt idx="12">
                  <c:v>36805.75112682458</c:v>
                </c:pt>
                <c:pt idx="13">
                  <c:v>56500.421037951979</c:v>
                </c:pt>
                <c:pt idx="14">
                  <c:v>31550.021630484258</c:v>
                </c:pt>
                <c:pt idx="15">
                  <c:v>36660.003930812047</c:v>
                </c:pt>
                <c:pt idx="16">
                  <c:v>14016.874942477865</c:v>
                </c:pt>
                <c:pt idx="17">
                  <c:v>17141.204102688618</c:v>
                </c:pt>
              </c:numCache>
            </c:numRef>
          </c:xVal>
          <c:yVal>
            <c:numRef>
              <c:f>HughSmith!$M$13:$M$30</c:f>
              <c:numCache>
                <c:formatCode>#,##0</c:formatCode>
                <c:ptCount val="18"/>
                <c:pt idx="0">
                  <c:v>2404.1482196078432</c:v>
                </c:pt>
                <c:pt idx="1">
                  <c:v>4793.5998117647068</c:v>
                </c:pt>
                <c:pt idx="2">
                  <c:v>5766.7673997076818</c:v>
                </c:pt>
                <c:pt idx="3">
                  <c:v>4894.6816364759979</c:v>
                </c:pt>
                <c:pt idx="4">
                  <c:v>4241.8022695348827</c:v>
                </c:pt>
                <c:pt idx="5">
                  <c:v>9463.7586653711714</c:v>
                </c:pt>
                <c:pt idx="6">
                  <c:v>6708.1908790374318</c:v>
                </c:pt>
                <c:pt idx="7">
                  <c:v>3948.0198984923668</c:v>
                </c:pt>
                <c:pt idx="8">
                  <c:v>2695.6040093386764</c:v>
                </c:pt>
                <c:pt idx="9">
                  <c:v>4371.2672840690102</c:v>
                </c:pt>
                <c:pt idx="10">
                  <c:v>4221.182284270074</c:v>
                </c:pt>
                <c:pt idx="11">
                  <c:v>1346.429008854748</c:v>
                </c:pt>
                <c:pt idx="12">
                  <c:v>3119.409837292078</c:v>
                </c:pt>
                <c:pt idx="13">
                  <c:v>5405.94794976298</c:v>
                </c:pt>
                <c:pt idx="14">
                  <c:v>3676.4022687281363</c:v>
                </c:pt>
                <c:pt idx="15">
                  <c:v>2491.5583522095121</c:v>
                </c:pt>
                <c:pt idx="16">
                  <c:v>3652.2158270975992</c:v>
                </c:pt>
                <c:pt idx="17">
                  <c:v>1925.8812384513892</c:v>
                </c:pt>
              </c:numCache>
            </c:numRef>
          </c:yVal>
          <c:smooth val="0"/>
        </c:ser>
        <c:dLbls>
          <c:showLegendKey val="0"/>
          <c:showVal val="0"/>
          <c:showCatName val="0"/>
          <c:showSerName val="0"/>
          <c:showPercent val="0"/>
          <c:showBubbleSize val="0"/>
        </c:dLbls>
        <c:axId val="172026880"/>
        <c:axId val="172106496"/>
      </c:scatterChart>
      <c:valAx>
        <c:axId val="172026880"/>
        <c:scaling>
          <c:orientation val="minMax"/>
        </c:scaling>
        <c:delete val="0"/>
        <c:axPos val="b"/>
        <c:numFmt formatCode="#,##0" sourceLinked="1"/>
        <c:majorTickMark val="out"/>
        <c:minorTickMark val="none"/>
        <c:tickLblPos val="nextTo"/>
        <c:crossAx val="172106496"/>
        <c:crosses val="autoZero"/>
        <c:crossBetween val="midCat"/>
      </c:valAx>
      <c:valAx>
        <c:axId val="172106496"/>
        <c:scaling>
          <c:orientation val="minMax"/>
        </c:scaling>
        <c:delete val="0"/>
        <c:axPos val="l"/>
        <c:majorGridlines/>
        <c:numFmt formatCode="#,##0" sourceLinked="1"/>
        <c:majorTickMark val="out"/>
        <c:minorTickMark val="none"/>
        <c:tickLblPos val="nextTo"/>
        <c:crossAx val="1720268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30593544228025"/>
          <c:y val="5.2279455408908278E-2"/>
          <c:w val="0.74915492471335821"/>
          <c:h val="0.80841763212473794"/>
        </c:manualLayout>
      </c:layout>
      <c:lineChart>
        <c:grouping val="standard"/>
        <c:varyColors val="0"/>
        <c:ser>
          <c:idx val="0"/>
          <c:order val="0"/>
          <c:tx>
            <c:v>Berners River</c:v>
          </c:tx>
          <c:spPr>
            <a:ln w="38100">
              <a:solidFill>
                <a:schemeClr val="tx1"/>
              </a:solidFill>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River'!$L$95:$L$130</c:f>
              <c:numCache>
                <c:formatCode>General</c:formatCode>
                <c:ptCount val="36"/>
                <c:pt idx="0" formatCode="General_)">
                  <c:v>2.5660609480920962</c:v>
                </c:pt>
                <c:pt idx="7" formatCode="#,##0">
                  <c:v>21567.31947621622</c:v>
                </c:pt>
                <c:pt idx="8" formatCode="#,##0">
                  <c:v>36625.630254994816</c:v>
                </c:pt>
                <c:pt idx="9" formatCode="#,##0">
                  <c:v>37767.804854161077</c:v>
                </c:pt>
                <c:pt idx="10" formatCode="#,##0">
                  <c:v>49685.775120772909</c:v>
                </c:pt>
                <c:pt idx="11" formatCode="#,##0">
                  <c:v>53385.621649948291</c:v>
                </c:pt>
                <c:pt idx="12" formatCode="#,##0">
                  <c:v>77208.888401009244</c:v>
                </c:pt>
                <c:pt idx="13" formatCode="#,##0">
                  <c:v>30008.150686949062</c:v>
                </c:pt>
                <c:pt idx="14" formatCode="#,##0">
                  <c:v>25112.698673798015</c:v>
                </c:pt>
                <c:pt idx="15" formatCode="#,##0">
                  <c:v>17708.193293887598</c:v>
                </c:pt>
                <c:pt idx="16" formatCode="#,##0">
                  <c:v>24778.138818002408</c:v>
                </c:pt>
                <c:pt idx="17" formatCode="#,##0">
                  <c:v>35538.161085633677</c:v>
                </c:pt>
                <c:pt idx="18" formatCode="#,##0">
                  <c:v>24033.712363482147</c:v>
                </c:pt>
                <c:pt idx="19" formatCode="#,##0">
                  <c:v>36805.75112682458</c:v>
                </c:pt>
                <c:pt idx="20" formatCode="#,##0">
                  <c:v>56500.421037951979</c:v>
                </c:pt>
                <c:pt idx="21" formatCode="#,##0">
                  <c:v>31550.021630484258</c:v>
                </c:pt>
                <c:pt idx="22" formatCode="#,##0">
                  <c:v>36660.003930812047</c:v>
                </c:pt>
                <c:pt idx="23" formatCode="#,##0">
                  <c:v>14016.874942477865</c:v>
                </c:pt>
                <c:pt idx="24" formatCode="#,##0">
                  <c:v>17141.204102688618</c:v>
                </c:pt>
                <c:pt idx="25" formatCode="#,##0">
                  <c:v>9665.5504169317664</c:v>
                </c:pt>
                <c:pt idx="26" formatCode="#,##0">
                  <c:v>16023.759212206873</c:v>
                </c:pt>
                <c:pt idx="27" formatCode="#,##0">
                  <c:v>10337.446114936709</c:v>
                </c:pt>
                <c:pt idx="28" formatCode="#,##0">
                  <c:v>23630.53139184419</c:v>
                </c:pt>
                <c:pt idx="29" formatCode="#,##0">
                  <c:v>13488.060059090903</c:v>
                </c:pt>
                <c:pt idx="30" formatCode="#,##0">
                  <c:v>9852.5066227316747</c:v>
                </c:pt>
                <c:pt idx="31" formatCode="#,##0">
                  <c:v>22582.581021634618</c:v>
                </c:pt>
                <c:pt idx="32" formatCode="#,##0">
                  <c:v>30382.29454920346</c:v>
                </c:pt>
                <c:pt idx="33" formatCode="#,##0">
                  <c:v>18047</c:v>
                </c:pt>
                <c:pt idx="34" formatCode="#,##0">
                  <c:v>11572.217004779872</c:v>
                </c:pt>
                <c:pt idx="35" formatCode="#,##0">
                  <c:v>15996</c:v>
                </c:pt>
              </c:numCache>
            </c:numRef>
          </c:val>
          <c:smooth val="0"/>
        </c:ser>
        <c:ser>
          <c:idx val="2"/>
          <c:order val="2"/>
          <c:tx>
            <c:v>Chilkat x 0.17</c:v>
          </c:tx>
          <c:spPr>
            <a:ln>
              <a:solidFill>
                <a:schemeClr val="tx1"/>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River'!$R$11:$R$45</c:f>
              <c:numCache>
                <c:formatCode>General</c:formatCode>
                <c:ptCount val="35"/>
                <c:pt idx="18">
                  <c:v>21657.296136000001</c:v>
                </c:pt>
                <c:pt idx="19">
                  <c:v>26966.515380000001</c:v>
                </c:pt>
                <c:pt idx="20">
                  <c:v>58821.311807999999</c:v>
                </c:pt>
                <c:pt idx="21">
                  <c:v>37909.351368000003</c:v>
                </c:pt>
                <c:pt idx="22">
                  <c:v>33780.419988000001</c:v>
                </c:pt>
                <c:pt idx="23">
                  <c:v>11280.3824</c:v>
                </c:pt>
                <c:pt idx="24">
                  <c:v>25135.875408</c:v>
                </c:pt>
                <c:pt idx="25">
                  <c:v>6621.1692400000002</c:v>
                </c:pt>
                <c:pt idx="26">
                  <c:v>18709.690692</c:v>
                </c:pt>
                <c:pt idx="27">
                  <c:v>13511.545152000001</c:v>
                </c:pt>
                <c:pt idx="28">
                  <c:v>26703.018103999999</c:v>
                </c:pt>
                <c:pt idx="29">
                  <c:v>16906.732639999998</c:v>
                </c:pt>
                <c:pt idx="30">
                  <c:v>11262.562164000001</c:v>
                </c:pt>
                <c:pt idx="31">
                  <c:v>21027.359444000002</c:v>
                </c:pt>
                <c:pt idx="32">
                  <c:v>27066.86234</c:v>
                </c:pt>
                <c:pt idx="33">
                  <c:v>12425.029791999999</c:v>
                </c:pt>
                <c:pt idx="34">
                  <c:v>7010.7922639999997</c:v>
                </c:pt>
              </c:numCache>
            </c:numRef>
          </c:val>
          <c:smooth val="0"/>
        </c:ser>
        <c:dLbls>
          <c:showLegendKey val="0"/>
          <c:showVal val="0"/>
          <c:showCatName val="0"/>
          <c:showSerName val="0"/>
          <c:showPercent val="0"/>
          <c:showBubbleSize val="0"/>
        </c:dLbls>
        <c:marker val="1"/>
        <c:smooth val="0"/>
        <c:axId val="172141184"/>
        <c:axId val="172147840"/>
      </c:lineChart>
      <c:lineChart>
        <c:grouping val="standard"/>
        <c:varyColors val="0"/>
        <c:ser>
          <c:idx val="1"/>
          <c:order val="1"/>
          <c:tx>
            <c:v>Hugh Smith Lake</c:v>
          </c:tx>
          <c:spPr>
            <a:ln w="38100">
              <a:solidFill>
                <a:schemeClr val="accent1">
                  <a:lumMod val="60000"/>
                  <a:lumOff val="40000"/>
                </a:schemeClr>
              </a:solidFill>
              <a:prstDash val="sysDash"/>
            </a:ln>
          </c:spPr>
          <c:marker>
            <c:symbol val="circle"/>
            <c:size val="7"/>
            <c:spPr>
              <a:solidFill>
                <a:schemeClr val="accent1">
                  <a:lumMod val="60000"/>
                  <a:lumOff val="40000"/>
                </a:schemeClr>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HughSmith!$M$6:$M$41</c:f>
              <c:numCache>
                <c:formatCode>#,##0</c:formatCode>
                <c:ptCount val="36"/>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numCache>
            </c:numRef>
          </c:val>
          <c:smooth val="0"/>
        </c:ser>
        <c:dLbls>
          <c:showLegendKey val="0"/>
          <c:showVal val="0"/>
          <c:showCatName val="0"/>
          <c:showSerName val="0"/>
          <c:showPercent val="0"/>
          <c:showBubbleSize val="0"/>
        </c:dLbls>
        <c:marker val="1"/>
        <c:smooth val="0"/>
        <c:axId val="172149760"/>
        <c:axId val="172159744"/>
      </c:lineChart>
      <c:catAx>
        <c:axId val="172141184"/>
        <c:scaling>
          <c:orientation val="minMax"/>
        </c:scaling>
        <c:delete val="0"/>
        <c:axPos val="b"/>
        <c:title>
          <c:tx>
            <c:rich>
              <a:bodyPr/>
              <a:lstStyle/>
              <a:p>
                <a:pPr>
                  <a:defRPr sz="1600" b="0" baseline="0"/>
                </a:pPr>
                <a:r>
                  <a:rPr lang="en-US" sz="1600" b="0" baseline="0"/>
                  <a:t>Year</a:t>
                </a:r>
              </a:p>
            </c:rich>
          </c:tx>
          <c:layout>
            <c:manualLayout>
              <c:xMode val="edge"/>
              <c:yMode val="edge"/>
              <c:x val="0.47481949624717962"/>
              <c:y val="0.93991817733352478"/>
            </c:manualLayout>
          </c:layout>
          <c:overlay val="0"/>
        </c:title>
        <c:numFmt formatCode="0" sourceLinked="1"/>
        <c:majorTickMark val="out"/>
        <c:minorTickMark val="none"/>
        <c:tickLblPos val="nextTo"/>
        <c:spPr>
          <a:ln w="15875">
            <a:solidFill>
              <a:schemeClr val="tx1"/>
            </a:solidFill>
          </a:ln>
        </c:spPr>
        <c:txPr>
          <a:bodyPr rot="-5400000" vert="horz"/>
          <a:lstStyle/>
          <a:p>
            <a:pPr>
              <a:defRPr sz="1200"/>
            </a:pPr>
            <a:endParaRPr lang="en-US"/>
          </a:p>
        </c:txPr>
        <c:crossAx val="172147840"/>
        <c:crosses val="autoZero"/>
        <c:auto val="1"/>
        <c:lblAlgn val="ctr"/>
        <c:lblOffset val="100"/>
        <c:noMultiLvlLbl val="0"/>
      </c:catAx>
      <c:valAx>
        <c:axId val="172147840"/>
        <c:scaling>
          <c:orientation val="minMax"/>
          <c:max val="78580.5"/>
          <c:min val="0"/>
        </c:scaling>
        <c:delete val="0"/>
        <c:axPos val="l"/>
        <c:title>
          <c:tx>
            <c:rich>
              <a:bodyPr rot="-5400000" vert="horz"/>
              <a:lstStyle/>
              <a:p>
                <a:pPr>
                  <a:defRPr sz="1600" b="0" baseline="0"/>
                </a:pPr>
                <a:r>
                  <a:rPr lang="en-US" sz="1600" b="0" baseline="0"/>
                  <a:t>Berners -Chilkat (Number of Fish)</a:t>
                </a:r>
              </a:p>
            </c:rich>
          </c:tx>
          <c:layout>
            <c:manualLayout>
              <c:xMode val="edge"/>
              <c:yMode val="edge"/>
              <c:x val="1.4393677763963717E-2"/>
              <c:y val="0.18332466141108236"/>
            </c:manualLayout>
          </c:layout>
          <c:overlay val="0"/>
        </c:title>
        <c:numFmt formatCode="General_)" sourceLinked="1"/>
        <c:majorTickMark val="out"/>
        <c:minorTickMark val="none"/>
        <c:tickLblPos val="nextTo"/>
        <c:spPr>
          <a:ln w="15875">
            <a:solidFill>
              <a:schemeClr val="tx1"/>
            </a:solidFill>
          </a:ln>
        </c:spPr>
        <c:txPr>
          <a:bodyPr/>
          <a:lstStyle/>
          <a:p>
            <a:pPr>
              <a:defRPr sz="1200"/>
            </a:pPr>
            <a:endParaRPr lang="en-US"/>
          </a:p>
        </c:txPr>
        <c:crossAx val="172141184"/>
        <c:crosses val="autoZero"/>
        <c:crossBetween val="between"/>
      </c:valAx>
      <c:catAx>
        <c:axId val="172149760"/>
        <c:scaling>
          <c:orientation val="minMax"/>
        </c:scaling>
        <c:delete val="1"/>
        <c:axPos val="b"/>
        <c:numFmt formatCode="0" sourceLinked="1"/>
        <c:majorTickMark val="out"/>
        <c:minorTickMark val="none"/>
        <c:tickLblPos val="none"/>
        <c:crossAx val="172159744"/>
        <c:crosses val="autoZero"/>
        <c:auto val="1"/>
        <c:lblAlgn val="ctr"/>
        <c:lblOffset val="100"/>
        <c:noMultiLvlLbl val="0"/>
      </c:catAx>
      <c:valAx>
        <c:axId val="172159744"/>
        <c:scaling>
          <c:orientation val="minMax"/>
          <c:max val="21618"/>
          <c:min val="0"/>
        </c:scaling>
        <c:delete val="0"/>
        <c:axPos val="r"/>
        <c:title>
          <c:tx>
            <c:rich>
              <a:bodyPr rot="-5400000" vert="horz"/>
              <a:lstStyle/>
              <a:p>
                <a:pPr>
                  <a:defRPr sz="1600" b="0" baseline="0"/>
                </a:pPr>
                <a:r>
                  <a:rPr lang="en-US" sz="1600" b="0" baseline="0"/>
                  <a:t>Hugh Smith Lake (Number of Fish)</a:t>
                </a:r>
              </a:p>
            </c:rich>
          </c:tx>
          <c:layout>
            <c:manualLayout>
              <c:xMode val="edge"/>
              <c:yMode val="edge"/>
              <c:x val="0.94990215038909609"/>
              <c:y val="0.18307775212298952"/>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172149760"/>
        <c:crosses val="max"/>
        <c:crossBetween val="between"/>
      </c:valAx>
    </c:plotArea>
    <c:legend>
      <c:legendPos val="r"/>
      <c:layout>
        <c:manualLayout>
          <c:xMode val="edge"/>
          <c:yMode val="edge"/>
          <c:x val="0.47604595478196798"/>
          <c:y val="7.0548211190306978E-2"/>
          <c:w val="0.29950395735416835"/>
          <c:h val="0.19054210241458178"/>
        </c:manualLayout>
      </c:layout>
      <c:overlay val="0"/>
      <c:txPr>
        <a:bodyPr/>
        <a:lstStyle/>
        <a:p>
          <a:pPr>
            <a:defRPr sz="16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30593544228025"/>
          <c:y val="5.2279455408908278E-2"/>
          <c:w val="0.74915492471335821"/>
          <c:h val="0.80841763212473794"/>
        </c:manualLayout>
      </c:layout>
      <c:lineChart>
        <c:grouping val="standard"/>
        <c:varyColors val="0"/>
        <c:ser>
          <c:idx val="0"/>
          <c:order val="0"/>
          <c:tx>
            <c:v>Berners River</c:v>
          </c:tx>
          <c:spPr>
            <a:ln w="38100">
              <a:solidFill>
                <a:schemeClr val="tx1"/>
              </a:solidFill>
            </a:ln>
          </c:spPr>
          <c:marker>
            <c:symbol val="none"/>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'Berners River'!$L$95:$L$131</c:f>
              <c:numCache>
                <c:formatCode>General</c:formatCode>
                <c:ptCount val="37"/>
                <c:pt idx="0" formatCode="General_)">
                  <c:v>2.5660609480920962</c:v>
                </c:pt>
                <c:pt idx="7" formatCode="#,##0">
                  <c:v>21567.31947621622</c:v>
                </c:pt>
                <c:pt idx="8" formatCode="#,##0">
                  <c:v>36625.630254994816</c:v>
                </c:pt>
                <c:pt idx="9" formatCode="#,##0">
                  <c:v>37767.804854161077</c:v>
                </c:pt>
                <c:pt idx="10" formatCode="#,##0">
                  <c:v>49685.775120772909</c:v>
                </c:pt>
                <c:pt idx="11" formatCode="#,##0">
                  <c:v>53385.621649948291</c:v>
                </c:pt>
                <c:pt idx="12" formatCode="#,##0">
                  <c:v>77208.888401009244</c:v>
                </c:pt>
                <c:pt idx="13" formatCode="#,##0">
                  <c:v>30008.150686949062</c:v>
                </c:pt>
                <c:pt idx="14" formatCode="#,##0">
                  <c:v>25112.698673798015</c:v>
                </c:pt>
                <c:pt idx="15" formatCode="#,##0">
                  <c:v>17708.193293887598</c:v>
                </c:pt>
                <c:pt idx="16" formatCode="#,##0">
                  <c:v>24778.138818002408</c:v>
                </c:pt>
                <c:pt idx="17" formatCode="#,##0">
                  <c:v>35538.161085633677</c:v>
                </c:pt>
                <c:pt idx="18" formatCode="#,##0">
                  <c:v>24033.712363482147</c:v>
                </c:pt>
                <c:pt idx="19" formatCode="#,##0">
                  <c:v>36805.75112682458</c:v>
                </c:pt>
                <c:pt idx="20" formatCode="#,##0">
                  <c:v>56500.421037951979</c:v>
                </c:pt>
                <c:pt idx="21" formatCode="#,##0">
                  <c:v>31550.021630484258</c:v>
                </c:pt>
                <c:pt idx="22" formatCode="#,##0">
                  <c:v>36660.003930812047</c:v>
                </c:pt>
                <c:pt idx="23" formatCode="#,##0">
                  <c:v>14016.874942477865</c:v>
                </c:pt>
                <c:pt idx="24" formatCode="#,##0">
                  <c:v>17141.204102688618</c:v>
                </c:pt>
                <c:pt idx="25" formatCode="#,##0">
                  <c:v>9665.5504169317664</c:v>
                </c:pt>
                <c:pt idx="26" formatCode="#,##0">
                  <c:v>16023.759212206873</c:v>
                </c:pt>
                <c:pt idx="27" formatCode="#,##0">
                  <c:v>10337.446114936709</c:v>
                </c:pt>
                <c:pt idx="28" formatCode="#,##0">
                  <c:v>23630.53139184419</c:v>
                </c:pt>
                <c:pt idx="29" formatCode="#,##0">
                  <c:v>13488.060059090903</c:v>
                </c:pt>
                <c:pt idx="30" formatCode="#,##0">
                  <c:v>9852.5066227316747</c:v>
                </c:pt>
                <c:pt idx="31" formatCode="#,##0">
                  <c:v>22582.581021634618</c:v>
                </c:pt>
                <c:pt idx="32" formatCode="#,##0">
                  <c:v>30382.29454920346</c:v>
                </c:pt>
                <c:pt idx="33" formatCode="#,##0">
                  <c:v>18047</c:v>
                </c:pt>
                <c:pt idx="34" formatCode="#,##0">
                  <c:v>11572.217004779872</c:v>
                </c:pt>
                <c:pt idx="35" formatCode="#,##0">
                  <c:v>15996</c:v>
                </c:pt>
                <c:pt idx="36" formatCode="#,##0">
                  <c:v>8636</c:v>
                </c:pt>
              </c:numCache>
            </c:numRef>
          </c:val>
          <c:smooth val="0"/>
        </c:ser>
        <c:ser>
          <c:idx val="2"/>
          <c:order val="2"/>
          <c:tx>
            <c:v>Chilkat x 0.17</c:v>
          </c:tx>
          <c:spPr>
            <a:ln>
              <a:solidFill>
                <a:schemeClr val="tx1"/>
              </a:solidFill>
              <a:prstDash val="sysDash"/>
            </a:ln>
          </c:spPr>
          <c:marker>
            <c:symbol val="none"/>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'Berners River'!$R$11:$R$47</c:f>
              <c:numCache>
                <c:formatCode>General</c:formatCode>
                <c:ptCount val="37"/>
                <c:pt idx="18">
                  <c:v>21657.296136000001</c:v>
                </c:pt>
                <c:pt idx="19">
                  <c:v>26966.515380000001</c:v>
                </c:pt>
                <c:pt idx="20">
                  <c:v>58821.311807999999</c:v>
                </c:pt>
                <c:pt idx="21">
                  <c:v>37909.351368000003</c:v>
                </c:pt>
                <c:pt idx="22">
                  <c:v>33780.419988000001</c:v>
                </c:pt>
                <c:pt idx="23">
                  <c:v>11280.3824</c:v>
                </c:pt>
                <c:pt idx="24">
                  <c:v>25135.875408</c:v>
                </c:pt>
                <c:pt idx="25">
                  <c:v>6621.1692400000002</c:v>
                </c:pt>
                <c:pt idx="26">
                  <c:v>18709.690692</c:v>
                </c:pt>
                <c:pt idx="27">
                  <c:v>13511.545152000001</c:v>
                </c:pt>
                <c:pt idx="28">
                  <c:v>26703.018103999999</c:v>
                </c:pt>
                <c:pt idx="29">
                  <c:v>16906.732639999998</c:v>
                </c:pt>
                <c:pt idx="30">
                  <c:v>11262.562164000001</c:v>
                </c:pt>
                <c:pt idx="31">
                  <c:v>21027.359444000002</c:v>
                </c:pt>
                <c:pt idx="32">
                  <c:v>27066.86234</c:v>
                </c:pt>
                <c:pt idx="33">
                  <c:v>12425.029791999999</c:v>
                </c:pt>
                <c:pt idx="34">
                  <c:v>7010.7922639999997</c:v>
                </c:pt>
                <c:pt idx="35">
                  <c:v>9091.2615640000004</c:v>
                </c:pt>
                <c:pt idx="36">
                  <c:v>14998.628776692029</c:v>
                </c:pt>
              </c:numCache>
            </c:numRef>
          </c:val>
          <c:smooth val="0"/>
        </c:ser>
        <c:dLbls>
          <c:showLegendKey val="0"/>
          <c:showVal val="0"/>
          <c:showCatName val="0"/>
          <c:showSerName val="0"/>
          <c:showPercent val="0"/>
          <c:showBubbleSize val="0"/>
        </c:dLbls>
        <c:marker val="1"/>
        <c:smooth val="0"/>
        <c:axId val="210717696"/>
        <c:axId val="210720256"/>
      </c:lineChart>
      <c:lineChart>
        <c:grouping val="standard"/>
        <c:varyColors val="0"/>
        <c:ser>
          <c:idx val="1"/>
          <c:order val="1"/>
          <c:tx>
            <c:v>Hugh Smith Lake</c:v>
          </c:tx>
          <c:spPr>
            <a:ln w="38100">
              <a:solidFill>
                <a:schemeClr val="accent1">
                  <a:lumMod val="60000"/>
                  <a:lumOff val="40000"/>
                </a:schemeClr>
              </a:solidFill>
              <a:prstDash val="sysDash"/>
            </a:ln>
          </c:spPr>
          <c:marker>
            <c:symbol val="circle"/>
            <c:size val="7"/>
            <c:spPr>
              <a:solidFill>
                <a:schemeClr val="accent1">
                  <a:lumMod val="60000"/>
                  <a:lumOff val="40000"/>
                </a:schemeClr>
              </a:solidFill>
              <a:ln w="12700">
                <a:solidFill>
                  <a:schemeClr val="tx1"/>
                </a:solidFill>
              </a:ln>
            </c:spPr>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HughSmith!$M$6:$M$42</c:f>
              <c:numCache>
                <c:formatCode>#,##0</c:formatCode>
                <c:ptCount val="37"/>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pt idx="36">
                  <c:v>1318</c:v>
                </c:pt>
              </c:numCache>
            </c:numRef>
          </c:val>
          <c:smooth val="0"/>
        </c:ser>
        <c:dLbls>
          <c:showLegendKey val="0"/>
          <c:showVal val="0"/>
          <c:showCatName val="0"/>
          <c:showSerName val="0"/>
          <c:showPercent val="0"/>
          <c:showBubbleSize val="0"/>
        </c:dLbls>
        <c:marker val="1"/>
        <c:smooth val="0"/>
        <c:axId val="210722176"/>
        <c:axId val="210740352"/>
      </c:lineChart>
      <c:catAx>
        <c:axId val="210717696"/>
        <c:scaling>
          <c:orientation val="minMax"/>
        </c:scaling>
        <c:delete val="0"/>
        <c:axPos val="b"/>
        <c:title>
          <c:tx>
            <c:rich>
              <a:bodyPr/>
              <a:lstStyle/>
              <a:p>
                <a:pPr>
                  <a:defRPr sz="1600" b="0" baseline="0"/>
                </a:pPr>
                <a:r>
                  <a:rPr lang="en-US" sz="1600" b="0" baseline="0"/>
                  <a:t>Year</a:t>
                </a:r>
              </a:p>
            </c:rich>
          </c:tx>
          <c:layout>
            <c:manualLayout>
              <c:xMode val="edge"/>
              <c:yMode val="edge"/>
              <c:x val="0.47481949624717962"/>
              <c:y val="0.93991817733352478"/>
            </c:manualLayout>
          </c:layout>
          <c:overlay val="0"/>
        </c:title>
        <c:numFmt formatCode="0" sourceLinked="1"/>
        <c:majorTickMark val="out"/>
        <c:minorTickMark val="none"/>
        <c:tickLblPos val="nextTo"/>
        <c:spPr>
          <a:ln w="15875">
            <a:solidFill>
              <a:schemeClr val="tx1"/>
            </a:solidFill>
          </a:ln>
        </c:spPr>
        <c:txPr>
          <a:bodyPr rot="-5400000" vert="horz"/>
          <a:lstStyle/>
          <a:p>
            <a:pPr>
              <a:defRPr sz="1200"/>
            </a:pPr>
            <a:endParaRPr lang="en-US"/>
          </a:p>
        </c:txPr>
        <c:crossAx val="210720256"/>
        <c:crosses val="autoZero"/>
        <c:auto val="1"/>
        <c:lblAlgn val="ctr"/>
        <c:lblOffset val="100"/>
        <c:noMultiLvlLbl val="0"/>
      </c:catAx>
      <c:valAx>
        <c:axId val="210720256"/>
        <c:scaling>
          <c:orientation val="minMax"/>
          <c:max val="78580.5"/>
          <c:min val="0"/>
        </c:scaling>
        <c:delete val="0"/>
        <c:axPos val="l"/>
        <c:title>
          <c:tx>
            <c:rich>
              <a:bodyPr rot="-5400000" vert="horz"/>
              <a:lstStyle/>
              <a:p>
                <a:pPr>
                  <a:defRPr sz="1600" b="0" baseline="0"/>
                </a:pPr>
                <a:r>
                  <a:rPr lang="en-US" sz="1600" b="0" baseline="0"/>
                  <a:t>Berners -Chilkat (Number of Fish)</a:t>
                </a:r>
              </a:p>
            </c:rich>
          </c:tx>
          <c:layout>
            <c:manualLayout>
              <c:xMode val="edge"/>
              <c:yMode val="edge"/>
              <c:x val="1.4393677763963717E-2"/>
              <c:y val="0.18332466141108236"/>
            </c:manualLayout>
          </c:layout>
          <c:overlay val="0"/>
        </c:title>
        <c:numFmt formatCode="General_)" sourceLinked="1"/>
        <c:majorTickMark val="out"/>
        <c:minorTickMark val="none"/>
        <c:tickLblPos val="nextTo"/>
        <c:spPr>
          <a:ln w="15875">
            <a:solidFill>
              <a:schemeClr val="tx1"/>
            </a:solidFill>
          </a:ln>
        </c:spPr>
        <c:txPr>
          <a:bodyPr/>
          <a:lstStyle/>
          <a:p>
            <a:pPr>
              <a:defRPr sz="1200"/>
            </a:pPr>
            <a:endParaRPr lang="en-US"/>
          </a:p>
        </c:txPr>
        <c:crossAx val="210717696"/>
        <c:crosses val="autoZero"/>
        <c:crossBetween val="between"/>
      </c:valAx>
      <c:catAx>
        <c:axId val="210722176"/>
        <c:scaling>
          <c:orientation val="minMax"/>
        </c:scaling>
        <c:delete val="1"/>
        <c:axPos val="b"/>
        <c:numFmt formatCode="0" sourceLinked="1"/>
        <c:majorTickMark val="out"/>
        <c:minorTickMark val="none"/>
        <c:tickLblPos val="none"/>
        <c:crossAx val="210740352"/>
        <c:crosses val="autoZero"/>
        <c:auto val="1"/>
        <c:lblAlgn val="ctr"/>
        <c:lblOffset val="100"/>
        <c:noMultiLvlLbl val="0"/>
      </c:catAx>
      <c:valAx>
        <c:axId val="210740352"/>
        <c:scaling>
          <c:orientation val="minMax"/>
          <c:max val="8990"/>
          <c:min val="0"/>
        </c:scaling>
        <c:delete val="0"/>
        <c:axPos val="r"/>
        <c:title>
          <c:tx>
            <c:rich>
              <a:bodyPr rot="-5400000" vert="horz"/>
              <a:lstStyle/>
              <a:p>
                <a:pPr>
                  <a:defRPr sz="1600" b="0" baseline="0"/>
                </a:pPr>
                <a:r>
                  <a:rPr lang="en-US" sz="1600" b="0" baseline="0"/>
                  <a:t>Hugh Smith Lake (Number of Fish)</a:t>
                </a:r>
              </a:p>
            </c:rich>
          </c:tx>
          <c:layout>
            <c:manualLayout>
              <c:xMode val="edge"/>
              <c:yMode val="edge"/>
              <c:x val="0.94990215038909609"/>
              <c:y val="0.18307775212298952"/>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210722176"/>
        <c:crosses val="max"/>
        <c:crossBetween val="between"/>
      </c:valAx>
    </c:plotArea>
    <c:legend>
      <c:legendPos val="r"/>
      <c:layout>
        <c:manualLayout>
          <c:xMode val="edge"/>
          <c:yMode val="edge"/>
          <c:x val="0.47604595478196798"/>
          <c:y val="7.0548211190306978E-2"/>
          <c:w val="0.29950395735416835"/>
          <c:h val="0.19054210241458178"/>
        </c:manualLayout>
      </c:layout>
      <c:overlay val="0"/>
      <c:txPr>
        <a:bodyPr/>
        <a:lstStyle/>
        <a:p>
          <a:pPr>
            <a:defRPr sz="16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numFmt formatCode="#,##0.000000" sourceLinked="0"/>
            </c:trendlineLbl>
          </c:trendline>
          <c:xVal>
            <c:numRef>
              <c:f>'Berners River'!$K$120:$K$127</c:f>
              <c:numCache>
                <c:formatCode>#,##0</c:formatCode>
                <c:ptCount val="8"/>
                <c:pt idx="0">
                  <c:v>9665.5504169317664</c:v>
                </c:pt>
                <c:pt idx="1">
                  <c:v>16023.759212206873</c:v>
                </c:pt>
                <c:pt idx="2">
                  <c:v>10337.446114936709</c:v>
                </c:pt>
                <c:pt idx="3">
                  <c:v>23630.53139184419</c:v>
                </c:pt>
                <c:pt idx="4">
                  <c:v>13488.060059090903</c:v>
                </c:pt>
                <c:pt idx="5">
                  <c:v>9852.5066227316747</c:v>
                </c:pt>
                <c:pt idx="6">
                  <c:v>22582.581021634618</c:v>
                </c:pt>
                <c:pt idx="7">
                  <c:v>30382.29454920346</c:v>
                </c:pt>
              </c:numCache>
            </c:numRef>
          </c:xVal>
          <c:yVal>
            <c:numRef>
              <c:f>HughSmith!$M$31:$M$38</c:f>
              <c:numCache>
                <c:formatCode>#,##0</c:formatCode>
                <c:ptCount val="8"/>
                <c:pt idx="0">
                  <c:v>3309.0560961507222</c:v>
                </c:pt>
                <c:pt idx="1">
                  <c:v>3776</c:v>
                </c:pt>
                <c:pt idx="2">
                  <c:v>4383</c:v>
                </c:pt>
                <c:pt idx="3">
                  <c:v>5417</c:v>
                </c:pt>
                <c:pt idx="4">
                  <c:v>3937</c:v>
                </c:pt>
                <c:pt idx="5">
                  <c:v>4163</c:v>
                </c:pt>
                <c:pt idx="6">
                  <c:v>6906</c:v>
                </c:pt>
                <c:pt idx="7">
                  <c:v>7707</c:v>
                </c:pt>
              </c:numCache>
            </c:numRef>
          </c:yVal>
          <c:smooth val="0"/>
        </c:ser>
        <c:dLbls>
          <c:showLegendKey val="0"/>
          <c:showVal val="0"/>
          <c:showCatName val="0"/>
          <c:showSerName val="0"/>
          <c:showPercent val="0"/>
          <c:showBubbleSize val="0"/>
        </c:dLbls>
        <c:axId val="210757504"/>
        <c:axId val="210759040"/>
      </c:scatterChart>
      <c:valAx>
        <c:axId val="210757504"/>
        <c:scaling>
          <c:orientation val="minMax"/>
        </c:scaling>
        <c:delete val="0"/>
        <c:axPos val="b"/>
        <c:numFmt formatCode="#,##0" sourceLinked="1"/>
        <c:majorTickMark val="out"/>
        <c:minorTickMark val="none"/>
        <c:tickLblPos val="nextTo"/>
        <c:crossAx val="210759040"/>
        <c:crosses val="autoZero"/>
        <c:crossBetween val="midCat"/>
      </c:valAx>
      <c:valAx>
        <c:axId val="210759040"/>
        <c:scaling>
          <c:orientation val="minMax"/>
        </c:scaling>
        <c:delete val="0"/>
        <c:axPos val="l"/>
        <c:majorGridlines/>
        <c:numFmt formatCode="#,##0" sourceLinked="1"/>
        <c:majorTickMark val="out"/>
        <c:minorTickMark val="none"/>
        <c:tickLblPos val="nextTo"/>
        <c:crossAx val="21075750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208550202411141E-2"/>
          <c:y val="3.8054908946150372E-2"/>
          <c:w val="0.8269053338671648"/>
          <c:h val="0.85551268816333692"/>
        </c:manualLayout>
      </c:layout>
      <c:scatterChart>
        <c:scatterStyle val="lineMarker"/>
        <c:varyColors val="0"/>
        <c:ser>
          <c:idx val="0"/>
          <c:order val="0"/>
          <c:spPr>
            <a:ln w="28575">
              <a:noFill/>
            </a:ln>
          </c:spPr>
          <c:trendline>
            <c:trendlineType val="linear"/>
            <c:intercept val="0"/>
            <c:dispRSqr val="1"/>
            <c:dispEq val="1"/>
            <c:trendlineLbl>
              <c:layout>
                <c:manualLayout>
                  <c:x val="-0.41021375506027846"/>
                  <c:y val="-0.22236544339412587"/>
                </c:manualLayout>
              </c:layout>
              <c:numFmt formatCode="General" sourceLinked="0"/>
            </c:trendlineLbl>
          </c:trendline>
          <c:xVal>
            <c:numRef>
              <c:f>'Berners River'!$C$152:$C$168</c:f>
              <c:numCache>
                <c:formatCode>#,##0.0</c:formatCode>
                <c:ptCount val="17"/>
                <c:pt idx="0">
                  <c:v>20.016481395126611</c:v>
                </c:pt>
                <c:pt idx="1">
                  <c:v>23.948283666291143</c:v>
                </c:pt>
                <c:pt idx="2">
                  <c:v>15.309264939390863</c:v>
                </c:pt>
                <c:pt idx="3">
                  <c:v>21.625278830241506</c:v>
                </c:pt>
                <c:pt idx="4">
                  <c:v>29.437747878529823</c:v>
                </c:pt>
                <c:pt idx="5">
                  <c:v>33.093579074911332</c:v>
                </c:pt>
                <c:pt idx="6">
                  <c:v>23.811142470206079</c:v>
                </c:pt>
                <c:pt idx="7">
                  <c:v>30.391082561192199</c:v>
                </c:pt>
                <c:pt idx="8">
                  <c:v>24.202775938723001</c:v>
                </c:pt>
                <c:pt idx="9">
                  <c:v>27.150700170950149</c:v>
                </c:pt>
                <c:pt idx="10">
                  <c:v>27.299564639638174</c:v>
                </c:pt>
                <c:pt idx="11">
                  <c:v>27.591910209105169</c:v>
                </c:pt>
                <c:pt idx="12">
                  <c:v>21.01865544622515</c:v>
                </c:pt>
                <c:pt idx="13">
                  <c:v>33.302798656759755</c:v>
                </c:pt>
                <c:pt idx="14">
                  <c:v>14.156679631530601</c:v>
                </c:pt>
                <c:pt idx="15">
                  <c:v>19.63207181248961</c:v>
                </c:pt>
                <c:pt idx="16">
                  <c:v>7.9449282338973735</c:v>
                </c:pt>
              </c:numCache>
            </c:numRef>
          </c:xVal>
          <c:yVal>
            <c:numRef>
              <c:f>'Berners River'!$M$150:$M$166</c:f>
              <c:numCache>
                <c:formatCode>0.0</c:formatCode>
                <c:ptCount val="17"/>
                <c:pt idx="0">
                  <c:v>15.9676620492419</c:v>
                </c:pt>
                <c:pt idx="1">
                  <c:v>19.545760754499085</c:v>
                </c:pt>
                <c:pt idx="2">
                  <c:v>18.154971998682289</c:v>
                </c:pt>
                <c:pt idx="3">
                  <c:v>23.562620371131011</c:v>
                </c:pt>
                <c:pt idx="5">
                  <c:v>26.700920245398773</c:v>
                </c:pt>
                <c:pt idx="6">
                  <c:v>25.520360122243329</c:v>
                </c:pt>
                <c:pt idx="7">
                  <c:v>24.319310164619807</c:v>
                </c:pt>
                <c:pt idx="8">
                  <c:v>19.418167022683349</c:v>
                </c:pt>
                <c:pt idx="9">
                  <c:v>15.277350952673633</c:v>
                </c:pt>
                <c:pt idx="10">
                  <c:v>18.807583159477005</c:v>
                </c:pt>
                <c:pt idx="11">
                  <c:v>19.779983626688498</c:v>
                </c:pt>
                <c:pt idx="12">
                  <c:v>17.544587308170883</c:v>
                </c:pt>
                <c:pt idx="13">
                  <c:v>20.914618593514732</c:v>
                </c:pt>
                <c:pt idx="14">
                  <c:v>6.89827095784461</c:v>
                </c:pt>
                <c:pt idx="15">
                  <c:v>14.701459284839032</c:v>
                </c:pt>
                <c:pt idx="16">
                  <c:v>6.0540649080093374</c:v>
                </c:pt>
              </c:numCache>
            </c:numRef>
          </c:yVal>
          <c:smooth val="0"/>
        </c:ser>
        <c:ser>
          <c:idx val="1"/>
          <c:order val="1"/>
          <c:tx>
            <c:v>2017</c:v>
          </c:tx>
          <c:spPr>
            <a:ln w="28575">
              <a:noFill/>
            </a:ln>
          </c:spPr>
          <c:xVal>
            <c:numRef>
              <c:f>'Berners River'!$C$169</c:f>
              <c:numCache>
                <c:formatCode>#,##0.0</c:formatCode>
                <c:ptCount val="1"/>
                <c:pt idx="0">
                  <c:v>27.850712678169543</c:v>
                </c:pt>
              </c:numCache>
            </c:numRef>
          </c:xVal>
          <c:yVal>
            <c:numRef>
              <c:f>'Berners River'!$N$167</c:f>
              <c:numCache>
                <c:formatCode>0.0</c:formatCode>
                <c:ptCount val="1"/>
                <c:pt idx="0">
                  <c:v>11.417622566172991</c:v>
                </c:pt>
              </c:numCache>
            </c:numRef>
          </c:yVal>
          <c:smooth val="0"/>
        </c:ser>
        <c:ser>
          <c:idx val="2"/>
          <c:order val="2"/>
          <c:tx>
            <c:v>2004</c:v>
          </c:tx>
          <c:spPr>
            <a:ln w="28575">
              <a:noFill/>
            </a:ln>
          </c:spPr>
          <c:xVal>
            <c:numRef>
              <c:f>'Berners River'!$C$156</c:f>
              <c:numCache>
                <c:formatCode>#,##0.0</c:formatCode>
                <c:ptCount val="1"/>
                <c:pt idx="0">
                  <c:v>29.437747878529823</c:v>
                </c:pt>
              </c:numCache>
            </c:numRef>
          </c:xVal>
          <c:yVal>
            <c:numRef>
              <c:f>'Berners River'!$N$154</c:f>
              <c:numCache>
                <c:formatCode>0.0</c:formatCode>
                <c:ptCount val="1"/>
                <c:pt idx="0">
                  <c:v>42.421215985741284</c:v>
                </c:pt>
              </c:numCache>
            </c:numRef>
          </c:yVal>
          <c:smooth val="0"/>
        </c:ser>
        <c:dLbls>
          <c:showLegendKey val="0"/>
          <c:showVal val="0"/>
          <c:showCatName val="0"/>
          <c:showSerName val="0"/>
          <c:showPercent val="0"/>
          <c:showBubbleSize val="0"/>
        </c:dLbls>
        <c:axId val="213624320"/>
        <c:axId val="213625856"/>
      </c:scatterChart>
      <c:valAx>
        <c:axId val="213624320"/>
        <c:scaling>
          <c:orientation val="minMax"/>
          <c:max val="45"/>
          <c:min val="0"/>
        </c:scaling>
        <c:delete val="0"/>
        <c:axPos val="b"/>
        <c:numFmt formatCode="#,##0" sourceLinked="0"/>
        <c:majorTickMark val="out"/>
        <c:minorTickMark val="none"/>
        <c:tickLblPos val="nextTo"/>
        <c:crossAx val="213625856"/>
        <c:crosses val="autoZero"/>
        <c:crossBetween val="midCat"/>
      </c:valAx>
      <c:valAx>
        <c:axId val="213625856"/>
        <c:scaling>
          <c:orientation val="minMax"/>
        </c:scaling>
        <c:delete val="0"/>
        <c:axPos val="l"/>
        <c:numFmt formatCode="0" sourceLinked="0"/>
        <c:majorTickMark val="out"/>
        <c:minorTickMark val="none"/>
        <c:tickLblPos val="nextTo"/>
        <c:crossAx val="213624320"/>
        <c:crosses val="autoZero"/>
        <c:crossBetween val="midCat"/>
      </c:valAx>
    </c:plotArea>
    <c:legend>
      <c:legendPos val="r"/>
      <c:legendEntry>
        <c:idx val="3"/>
        <c:delete val="1"/>
      </c:legendEntry>
      <c:layout>
        <c:manualLayout>
          <c:xMode val="edge"/>
          <c:yMode val="edge"/>
          <c:x val="0.12032986342808846"/>
          <c:y val="0.24829207403059195"/>
          <c:w val="0.13076182214511323"/>
          <c:h val="0.1859425540959051"/>
        </c:manualLayout>
      </c:layout>
      <c:overlay val="0"/>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0"/>
            </a:pPr>
            <a:r>
              <a:rPr lang="en-US" sz="1600" b="0"/>
              <a:t>Berners  &amp; Chilkat Rivers and Hugh Smith Lake</a:t>
            </a:r>
          </a:p>
          <a:p>
            <a:pPr>
              <a:defRPr sz="1600" b="0"/>
            </a:pPr>
            <a:r>
              <a:rPr lang="en-US" sz="1600" b="0"/>
              <a:t> Coho Salmon Total Run Size and Region-wide Wild Coho Abundance</a:t>
            </a:r>
          </a:p>
        </c:rich>
      </c:tx>
      <c:layout>
        <c:manualLayout>
          <c:xMode val="edge"/>
          <c:yMode val="edge"/>
          <c:x val="0.12952821177523538"/>
          <c:y val="1.815228480569591E-2"/>
        </c:manualLayout>
      </c:layout>
      <c:overlay val="1"/>
    </c:title>
    <c:autoTitleDeleted val="0"/>
    <c:plotArea>
      <c:layout>
        <c:manualLayout>
          <c:layoutTarget val="inner"/>
          <c:xMode val="edge"/>
          <c:yMode val="edge"/>
          <c:x val="7.7051273449868826E-2"/>
          <c:y val="9.0360580923933828E-2"/>
          <c:w val="0.84872415237639398"/>
          <c:h val="0.76971055443398539"/>
        </c:manualLayout>
      </c:layout>
      <c:lineChart>
        <c:grouping val="standard"/>
        <c:varyColors val="0"/>
        <c:ser>
          <c:idx val="0"/>
          <c:order val="0"/>
          <c:tx>
            <c:v>Berners River</c:v>
          </c:tx>
          <c:spPr>
            <a:ln w="38100">
              <a:solidFill>
                <a:srgbClr val="0033CC"/>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River'!$L$11:$L$46</c:f>
              <c:numCache>
                <c:formatCode>#,##0</c:formatCode>
                <c:ptCount val="36"/>
                <c:pt idx="0">
                  <c:v>32.609466443750001</c:v>
                </c:pt>
                <c:pt idx="1">
                  <c:v>34.414496114285733</c:v>
                </c:pt>
                <c:pt idx="3">
                  <c:v>24.336406934285712</c:v>
                </c:pt>
                <c:pt idx="4">
                  <c:v>24.687243790666638</c:v>
                </c:pt>
                <c:pt idx="5">
                  <c:v>13.954139353870971</c:v>
                </c:pt>
                <c:pt idx="6">
                  <c:v>15.148339939375004</c:v>
                </c:pt>
                <c:pt idx="7">
                  <c:v>19.75631947621622</c:v>
                </c:pt>
                <c:pt idx="8">
                  <c:v>33.960630254994818</c:v>
                </c:pt>
                <c:pt idx="9">
                  <c:v>34.986804854161079</c:v>
                </c:pt>
                <c:pt idx="10">
                  <c:v>45.994775120772907</c:v>
                </c:pt>
                <c:pt idx="11">
                  <c:v>49.60562164994829</c:v>
                </c:pt>
                <c:pt idx="12">
                  <c:v>73.368888401009244</c:v>
                </c:pt>
                <c:pt idx="13">
                  <c:v>28.815150686949064</c:v>
                </c:pt>
                <c:pt idx="14">
                  <c:v>23.653698673798015</c:v>
                </c:pt>
                <c:pt idx="15">
                  <c:v>15.284193293887599</c:v>
                </c:pt>
                <c:pt idx="16">
                  <c:v>23.137138818002409</c:v>
                </c:pt>
                <c:pt idx="17">
                  <c:v>33.145161085633674</c:v>
                </c:pt>
                <c:pt idx="18">
                  <c:v>21.464712363482146</c:v>
                </c:pt>
                <c:pt idx="19">
                  <c:v>32.152751126824583</c:v>
                </c:pt>
                <c:pt idx="20">
                  <c:v>49.818421037951978</c:v>
                </c:pt>
                <c:pt idx="21">
                  <c:v>29.11102163048426</c:v>
                </c:pt>
                <c:pt idx="22">
                  <c:v>33.174003930812049</c:v>
                </c:pt>
                <c:pt idx="23">
                  <c:v>12.757874942477866</c:v>
                </c:pt>
                <c:pt idx="24">
                  <c:v>15.822204102688618</c:v>
                </c:pt>
                <c:pt idx="25">
                  <c:v>8.7215504169317661</c:v>
                </c:pt>
                <c:pt idx="26">
                  <c:v>14.366759212206873</c:v>
                </c:pt>
                <c:pt idx="27">
                  <c:v>9.3174461149367094</c:v>
                </c:pt>
                <c:pt idx="28">
                  <c:v>21.81653139184419</c:v>
                </c:pt>
                <c:pt idx="29">
                  <c:v>12.029060059090904</c:v>
                </c:pt>
                <c:pt idx="30">
                  <c:v>8.530506622731675</c:v>
                </c:pt>
                <c:pt idx="31">
                  <c:v>21.067581021634616</c:v>
                </c:pt>
                <c:pt idx="32">
                  <c:v>26.64829454920346</c:v>
                </c:pt>
                <c:pt idx="33">
                  <c:v>15.648999999999999</c:v>
                </c:pt>
                <c:pt idx="34">
                  <c:v>9.9482170047798721</c:v>
                </c:pt>
                <c:pt idx="35">
                  <c:v>14.298</c:v>
                </c:pt>
              </c:numCache>
            </c:numRef>
          </c:val>
          <c:smooth val="0"/>
        </c:ser>
        <c:ser>
          <c:idx val="1"/>
          <c:order val="1"/>
          <c:tx>
            <c:v>Hugh Smith Lake x 7.5</c:v>
          </c:tx>
          <c:spPr>
            <a:ln w="28575">
              <a:solidFill>
                <a:srgbClr val="FF0000"/>
              </a:solidFill>
              <a:prstDash val="solid"/>
            </a:ln>
          </c:spPr>
          <c:marker>
            <c:symbol val="circle"/>
            <c:size val="7"/>
            <c:spPr>
              <a:solidFill>
                <a:srgbClr val="FF0000"/>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River'!$N$11:$N$46</c:f>
              <c:numCache>
                <c:formatCode>#,##0</c:formatCode>
                <c:ptCount val="36"/>
                <c:pt idx="0">
                  <c:v>45.992985754411762</c:v>
                </c:pt>
                <c:pt idx="1">
                  <c:v>29.059782041934586</c:v>
                </c:pt>
                <c:pt idx="2">
                  <c:v>30.177463524451206</c:v>
                </c:pt>
                <c:pt idx="3">
                  <c:v>18.300475516646774</c:v>
                </c:pt>
                <c:pt idx="4">
                  <c:v>32.739320963760633</c:v>
                </c:pt>
                <c:pt idx="5">
                  <c:v>16.827999938076925</c:v>
                </c:pt>
                <c:pt idx="6">
                  <c:v>11.046310704545455</c:v>
                </c:pt>
                <c:pt idx="7">
                  <c:v>18.031111647058825</c:v>
                </c:pt>
                <c:pt idx="8">
                  <c:v>35.951998588235298</c:v>
                </c:pt>
                <c:pt idx="9">
                  <c:v>43.250755497807617</c:v>
                </c:pt>
                <c:pt idx="10">
                  <c:v>36.710112273569983</c:v>
                </c:pt>
                <c:pt idx="11">
                  <c:v>31.813517021511618</c:v>
                </c:pt>
                <c:pt idx="12">
                  <c:v>70.978189990283795</c:v>
                </c:pt>
                <c:pt idx="13">
                  <c:v>50.311431592780743</c:v>
                </c:pt>
                <c:pt idx="14">
                  <c:v>29.610149238692749</c:v>
                </c:pt>
                <c:pt idx="15">
                  <c:v>20.217030070040074</c:v>
                </c:pt>
                <c:pt idx="16">
                  <c:v>32.784504630517581</c:v>
                </c:pt>
                <c:pt idx="17">
                  <c:v>31.658867132025556</c:v>
                </c:pt>
                <c:pt idx="18">
                  <c:v>10.098217566410609</c:v>
                </c:pt>
                <c:pt idx="19">
                  <c:v>23.395573779690586</c:v>
                </c:pt>
                <c:pt idx="20">
                  <c:v>40.54460962322235</c:v>
                </c:pt>
                <c:pt idx="21">
                  <c:v>27.573017015461019</c:v>
                </c:pt>
                <c:pt idx="22">
                  <c:v>18.686687641571343</c:v>
                </c:pt>
                <c:pt idx="23">
                  <c:v>27.391618703231995</c:v>
                </c:pt>
                <c:pt idx="24">
                  <c:v>14.44410928838542</c:v>
                </c:pt>
                <c:pt idx="25">
                  <c:v>24.817920721130417</c:v>
                </c:pt>
                <c:pt idx="26">
                  <c:v>28.32</c:v>
                </c:pt>
                <c:pt idx="27">
                  <c:v>32.872500000000002</c:v>
                </c:pt>
                <c:pt idx="28">
                  <c:v>40.627499999999998</c:v>
                </c:pt>
                <c:pt idx="29">
                  <c:v>29.5275</c:v>
                </c:pt>
                <c:pt idx="30">
                  <c:v>31.2225</c:v>
                </c:pt>
                <c:pt idx="31">
                  <c:v>51.795000000000002</c:v>
                </c:pt>
                <c:pt idx="32">
                  <c:v>57.802500000000002</c:v>
                </c:pt>
                <c:pt idx="33">
                  <c:v>14.654999999999999</c:v>
                </c:pt>
                <c:pt idx="34">
                  <c:v>18.495000000000001</c:v>
                </c:pt>
                <c:pt idx="35">
                  <c:v>18.1875</c:v>
                </c:pt>
              </c:numCache>
            </c:numRef>
          </c:val>
          <c:smooth val="0"/>
        </c:ser>
        <c:ser>
          <c:idx val="2"/>
          <c:order val="2"/>
          <c:tx>
            <c:v>Chilkat River x 0.16</c:v>
          </c:tx>
          <c:spPr>
            <a:ln w="22225">
              <a:solidFill>
                <a:srgbClr val="0033CC"/>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River'!$P$11:$P$46</c:f>
              <c:numCache>
                <c:formatCode>General</c:formatCode>
                <c:ptCount val="36"/>
                <c:pt idx="18" formatCode="#,##0">
                  <c:v>19.265109048067014</c:v>
                </c:pt>
                <c:pt idx="19" formatCode="#,##0">
                  <c:v>23.987891017406934</c:v>
                </c:pt>
                <c:pt idx="20" formatCode="#,##0">
                  <c:v>52.324121128297435</c:v>
                </c:pt>
                <c:pt idx="21" formatCode="#,##0">
                  <c:v>33.722020674225149</c:v>
                </c:pt>
                <c:pt idx="22" formatCode="#,##0">
                  <c:v>30.049156213759897</c:v>
                </c:pt>
                <c:pt idx="23" formatCode="#,##0">
                  <c:v>10.034391905398467</c:v>
                </c:pt>
                <c:pt idx="24" formatCode="#,##0">
                  <c:v>22.359456956808447</c:v>
                </c:pt>
                <c:pt idx="25" formatCode="#,##0">
                  <c:v>5.8898186843496836</c:v>
                </c:pt>
                <c:pt idx="26" formatCode="#,##0">
                  <c:v>16.643085506774476</c:v>
                </c:pt>
                <c:pt idx="27" formatCode="#,##0">
                  <c:v>12.019108439325134</c:v>
                </c:pt>
                <c:pt idx="28" formatCode="#,##0">
                  <c:v>23.753498703420401</c:v>
                </c:pt>
                <c:pt idx="29" formatCode="#,##0">
                  <c:v>15.039275720790464</c:v>
                </c:pt>
                <c:pt idx="30" formatCode="#,##0">
                  <c:v>10.018540028615398</c:v>
                </c:pt>
                <c:pt idx="31" formatCode="#,##0">
                  <c:v>18.704752898871369</c:v>
                </c:pt>
                <c:pt idx="32" formatCode="#,##0">
                  <c:v>24.077154012884407</c:v>
                </c:pt>
                <c:pt idx="33" formatCode="#,##0">
                  <c:v>11.052605660706998</c:v>
                </c:pt>
                <c:pt idx="34" formatCode="#,##0">
                  <c:v>6.2364053495484146</c:v>
                </c:pt>
                <c:pt idx="35" formatCode="#,##0">
                  <c:v>8.0870734885425346</c:v>
                </c:pt>
              </c:numCache>
            </c:numRef>
          </c:val>
          <c:smooth val="0"/>
        </c:ser>
        <c:dLbls>
          <c:showLegendKey val="0"/>
          <c:showVal val="0"/>
          <c:showCatName val="0"/>
          <c:showSerName val="0"/>
          <c:showPercent val="0"/>
          <c:showBubbleSize val="0"/>
        </c:dLbls>
        <c:marker val="1"/>
        <c:smooth val="0"/>
        <c:axId val="213678720"/>
        <c:axId val="213689088"/>
      </c:lineChart>
      <c:lineChart>
        <c:grouping val="standard"/>
        <c:varyColors val="0"/>
        <c:ser>
          <c:idx val="3"/>
          <c:order val="3"/>
          <c:tx>
            <c:v>Wild Abundance (Troll Fishery)</c:v>
          </c:tx>
          <c:spPr>
            <a:ln w="50800">
              <a:solidFill>
                <a:schemeClr val="tx1"/>
              </a:solidFill>
            </a:ln>
          </c:spPr>
          <c:marker>
            <c:symbol val="none"/>
          </c:marker>
          <c:val>
            <c:numRef>
              <c:f>'Berners River'!$M$11:$M$46</c:f>
              <c:numCache>
                <c:formatCode>General_)</c:formatCode>
                <c:ptCount val="36"/>
                <c:pt idx="0">
                  <c:v>3.7520835163986841</c:v>
                </c:pt>
                <c:pt idx="1">
                  <c:v>3.2797699836658984</c:v>
                </c:pt>
                <c:pt idx="2">
                  <c:v>2.8739339138215305</c:v>
                </c:pt>
                <c:pt idx="3">
                  <c:v>3.8775989640080808</c:v>
                </c:pt>
                <c:pt idx="4">
                  <c:v>4.1999609384774761</c:v>
                </c:pt>
                <c:pt idx="5">
                  <c:v>2.6708093694380484</c:v>
                </c:pt>
                <c:pt idx="6">
                  <c:v>1.5444060197490821</c:v>
                </c:pt>
                <c:pt idx="7">
                  <c:v>2.3994648814511308</c:v>
                </c:pt>
                <c:pt idx="8">
                  <c:v>3.6168321860428221</c:v>
                </c:pt>
                <c:pt idx="9">
                  <c:v>4.1722714114334973</c:v>
                </c:pt>
                <c:pt idx="10">
                  <c:v>3.8709355582596414</c:v>
                </c:pt>
                <c:pt idx="11">
                  <c:v>4.1726997823101817</c:v>
                </c:pt>
                <c:pt idx="12">
                  <c:v>6.6518893716874876</c:v>
                </c:pt>
                <c:pt idx="13">
                  <c:v>4.0549686086040255</c:v>
                </c:pt>
                <c:pt idx="14">
                  <c:v>3.4076793457873791</c:v>
                </c:pt>
                <c:pt idx="15">
                  <c:v>2.6918613044967539</c:v>
                </c:pt>
                <c:pt idx="16">
                  <c:v>3.2249503256252758</c:v>
                </c:pt>
                <c:pt idx="17">
                  <c:v>4.1652872370535938</c:v>
                </c:pt>
                <c:pt idx="18">
                  <c:v>2.5264586311745054</c:v>
                </c:pt>
                <c:pt idx="19">
                  <c:v>4.4321211948027184</c:v>
                </c:pt>
                <c:pt idx="20">
                  <c:v>4.696055820465828</c:v>
                </c:pt>
                <c:pt idx="21">
                  <c:v>3.7439226830430816</c:v>
                </c:pt>
                <c:pt idx="22">
                  <c:v>3.9830147394059674</c:v>
                </c:pt>
                <c:pt idx="23">
                  <c:v>4.7227029524352995</c:v>
                </c:pt>
                <c:pt idx="24">
                  <c:v>3.617441621196245</c:v>
                </c:pt>
                <c:pt idx="25">
                  <c:v>2.7118869599033641</c:v>
                </c:pt>
                <c:pt idx="26">
                  <c:v>3.8245198363132995</c:v>
                </c:pt>
                <c:pt idx="27">
                  <c:v>3.9579049170809988</c:v>
                </c:pt>
                <c:pt idx="28">
                  <c:v>3.6439518331485585</c:v>
                </c:pt>
                <c:pt idx="29">
                  <c:v>4.471506823573387</c:v>
                </c:pt>
                <c:pt idx="30">
                  <c:v>3.5228806749102057</c:v>
                </c:pt>
                <c:pt idx="31">
                  <c:v>5.0653238681982691</c:v>
                </c:pt>
                <c:pt idx="32">
                  <c:v>6.6261472069908107</c:v>
                </c:pt>
                <c:pt idx="33">
                  <c:v>3.2240158473155649</c:v>
                </c:pt>
                <c:pt idx="34">
                  <c:v>4.6528674353316211</c:v>
                </c:pt>
                <c:pt idx="35">
                  <c:v>5.1578733018510396</c:v>
                </c:pt>
              </c:numCache>
            </c:numRef>
          </c:val>
          <c:smooth val="0"/>
        </c:ser>
        <c:dLbls>
          <c:showLegendKey val="0"/>
          <c:showVal val="0"/>
          <c:showCatName val="0"/>
          <c:showSerName val="0"/>
          <c:showPercent val="0"/>
          <c:showBubbleSize val="0"/>
        </c:dLbls>
        <c:marker val="1"/>
        <c:smooth val="0"/>
        <c:axId val="213691008"/>
        <c:axId val="213696896"/>
      </c:lineChart>
      <c:catAx>
        <c:axId val="213678720"/>
        <c:scaling>
          <c:orientation val="minMax"/>
        </c:scaling>
        <c:delete val="0"/>
        <c:axPos val="b"/>
        <c:title>
          <c:tx>
            <c:rich>
              <a:bodyPr/>
              <a:lstStyle/>
              <a:p>
                <a:pPr>
                  <a:defRPr sz="1600" b="0" baseline="0"/>
                </a:pPr>
                <a:r>
                  <a:rPr lang="en-US" sz="1600" b="0" baseline="0"/>
                  <a:t>Year</a:t>
                </a:r>
              </a:p>
            </c:rich>
          </c:tx>
          <c:overlay val="0"/>
        </c:title>
        <c:numFmt formatCode="0" sourceLinked="1"/>
        <c:majorTickMark val="out"/>
        <c:minorTickMark val="none"/>
        <c:tickLblPos val="nextTo"/>
        <c:txPr>
          <a:bodyPr rot="-5400000" vert="horz"/>
          <a:lstStyle/>
          <a:p>
            <a:pPr>
              <a:defRPr sz="1100"/>
            </a:pPr>
            <a:endParaRPr lang="en-US"/>
          </a:p>
        </c:txPr>
        <c:crossAx val="213689088"/>
        <c:crosses val="autoZero"/>
        <c:auto val="1"/>
        <c:lblAlgn val="ctr"/>
        <c:lblOffset val="100"/>
        <c:noMultiLvlLbl val="0"/>
      </c:catAx>
      <c:valAx>
        <c:axId val="213689088"/>
        <c:scaling>
          <c:orientation val="minMax"/>
          <c:max val="75"/>
          <c:min val="0"/>
        </c:scaling>
        <c:delete val="0"/>
        <c:axPos val="l"/>
        <c:title>
          <c:tx>
            <c:rich>
              <a:bodyPr rot="-5400000" vert="horz"/>
              <a:lstStyle/>
              <a:p>
                <a:pPr>
                  <a:defRPr sz="1500" b="0" baseline="0"/>
                </a:pPr>
                <a:r>
                  <a:rPr lang="en-US" sz="1500" b="0" baseline="0"/>
                  <a:t>Indicator Stock Abundance (Thousands of Fish)</a:t>
                </a:r>
              </a:p>
            </c:rich>
          </c:tx>
          <c:layout>
            <c:manualLayout>
              <c:xMode val="edge"/>
              <c:yMode val="edge"/>
              <c:x val="8.5234418570979652E-3"/>
              <c:y val="0.1732399747932577"/>
            </c:manualLayout>
          </c:layout>
          <c:overlay val="0"/>
        </c:title>
        <c:numFmt formatCode="#,##0" sourceLinked="1"/>
        <c:majorTickMark val="out"/>
        <c:minorTickMark val="none"/>
        <c:tickLblPos val="nextTo"/>
        <c:txPr>
          <a:bodyPr/>
          <a:lstStyle/>
          <a:p>
            <a:pPr>
              <a:defRPr sz="1100"/>
            </a:pPr>
            <a:endParaRPr lang="en-US"/>
          </a:p>
        </c:txPr>
        <c:crossAx val="213678720"/>
        <c:crosses val="autoZero"/>
        <c:crossBetween val="between"/>
      </c:valAx>
      <c:catAx>
        <c:axId val="213691008"/>
        <c:scaling>
          <c:orientation val="minMax"/>
        </c:scaling>
        <c:delete val="1"/>
        <c:axPos val="b"/>
        <c:numFmt formatCode="0" sourceLinked="1"/>
        <c:majorTickMark val="out"/>
        <c:minorTickMark val="none"/>
        <c:tickLblPos val="none"/>
        <c:crossAx val="213696896"/>
        <c:crosses val="autoZero"/>
        <c:auto val="1"/>
        <c:lblAlgn val="ctr"/>
        <c:lblOffset val="100"/>
        <c:noMultiLvlLbl val="0"/>
      </c:catAx>
      <c:valAx>
        <c:axId val="213696896"/>
        <c:scaling>
          <c:orientation val="minMax"/>
          <c:max val="9"/>
          <c:min val="0"/>
        </c:scaling>
        <c:delete val="0"/>
        <c:axPos val="r"/>
        <c:title>
          <c:tx>
            <c:rich>
              <a:bodyPr rot="-5400000" vert="horz"/>
              <a:lstStyle/>
              <a:p>
                <a:pPr>
                  <a:defRPr sz="1400" b="0" baseline="0"/>
                </a:pPr>
                <a:r>
                  <a:rPr lang="en-US" sz="1400" b="0" baseline="0"/>
                  <a:t>Wild Abundance (Millions of Fish)</a:t>
                </a:r>
              </a:p>
            </c:rich>
          </c:tx>
          <c:layout>
            <c:manualLayout>
              <c:xMode val="edge"/>
              <c:yMode val="edge"/>
              <c:x val="0.95869025872926839"/>
              <c:y val="0.27144907640920812"/>
            </c:manualLayout>
          </c:layout>
          <c:overlay val="0"/>
        </c:title>
        <c:numFmt formatCode="0" sourceLinked="0"/>
        <c:majorTickMark val="out"/>
        <c:minorTickMark val="none"/>
        <c:tickLblPos val="nextTo"/>
        <c:txPr>
          <a:bodyPr/>
          <a:lstStyle/>
          <a:p>
            <a:pPr>
              <a:defRPr sz="1100"/>
            </a:pPr>
            <a:endParaRPr lang="en-US"/>
          </a:p>
        </c:txPr>
        <c:crossAx val="213691008"/>
        <c:crosses val="max"/>
        <c:crossBetween val="between"/>
      </c:valAx>
    </c:plotArea>
    <c:legend>
      <c:legendPos val="r"/>
      <c:layout>
        <c:manualLayout>
          <c:xMode val="edge"/>
          <c:yMode val="edge"/>
          <c:x val="0.46577354912204139"/>
          <c:y val="0.13548147545836503"/>
          <c:w val="0.33621144600521374"/>
          <c:h val="0.1733230338042234"/>
        </c:manualLayout>
      </c:layout>
      <c:overlay val="0"/>
      <c:txPr>
        <a:bodyPr/>
        <a:lstStyle/>
        <a:p>
          <a:pPr>
            <a:defRPr sz="14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cat>
            <c:numRef>
              <c:f>'Berners River'!$A$156:$A$170</c:f>
              <c:numCache>
                <c:formatCode>0</c:formatCode>
                <c:ptCount val="15"/>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numCache>
            </c:numRef>
          </c:cat>
          <c:val>
            <c:numRef>
              <c:f>'Berners River'!$C$156:$C$170</c:f>
              <c:numCache>
                <c:formatCode>#,##0.0</c:formatCode>
                <c:ptCount val="15"/>
                <c:pt idx="0">
                  <c:v>29.437747878529823</c:v>
                </c:pt>
                <c:pt idx="1">
                  <c:v>33.093579074911332</c:v>
                </c:pt>
                <c:pt idx="2">
                  <c:v>23.811142470206079</c:v>
                </c:pt>
                <c:pt idx="3">
                  <c:v>30.391082561192199</c:v>
                </c:pt>
                <c:pt idx="4">
                  <c:v>24.202775938723001</c:v>
                </c:pt>
                <c:pt idx="5">
                  <c:v>27.150700170950149</c:v>
                </c:pt>
                <c:pt idx="6">
                  <c:v>27.299564639638174</c:v>
                </c:pt>
                <c:pt idx="7">
                  <c:v>27.591910209105169</c:v>
                </c:pt>
                <c:pt idx="8">
                  <c:v>21.01865544622515</c:v>
                </c:pt>
                <c:pt idx="9">
                  <c:v>33.302798656759755</c:v>
                </c:pt>
                <c:pt idx="10">
                  <c:v>14.156679631530601</c:v>
                </c:pt>
                <c:pt idx="11">
                  <c:v>19.63207181248961</c:v>
                </c:pt>
                <c:pt idx="12">
                  <c:v>7.9449282338973735</c:v>
                </c:pt>
                <c:pt idx="13">
                  <c:v>27.850712678169543</c:v>
                </c:pt>
                <c:pt idx="14">
                  <c:v>12.586845761926819</c:v>
                </c:pt>
              </c:numCache>
            </c:numRef>
          </c:val>
        </c:ser>
        <c:dLbls>
          <c:showLegendKey val="0"/>
          <c:showVal val="0"/>
          <c:showCatName val="0"/>
          <c:showSerName val="0"/>
          <c:showPercent val="0"/>
          <c:showBubbleSize val="0"/>
        </c:dLbls>
        <c:gapWidth val="150"/>
        <c:overlap val="100"/>
        <c:axId val="213730048"/>
        <c:axId val="213731584"/>
      </c:barChart>
      <c:catAx>
        <c:axId val="213730048"/>
        <c:scaling>
          <c:orientation val="minMax"/>
        </c:scaling>
        <c:delete val="0"/>
        <c:axPos val="b"/>
        <c:numFmt formatCode="0" sourceLinked="1"/>
        <c:majorTickMark val="out"/>
        <c:minorTickMark val="none"/>
        <c:tickLblPos val="nextTo"/>
        <c:crossAx val="213731584"/>
        <c:crosses val="autoZero"/>
        <c:auto val="1"/>
        <c:lblAlgn val="ctr"/>
        <c:lblOffset val="100"/>
        <c:noMultiLvlLbl val="0"/>
      </c:catAx>
      <c:valAx>
        <c:axId val="213731584"/>
        <c:scaling>
          <c:orientation val="minMax"/>
        </c:scaling>
        <c:delete val="0"/>
        <c:axPos val="l"/>
        <c:majorGridlines/>
        <c:numFmt formatCode="#,##0.0" sourceLinked="1"/>
        <c:majorTickMark val="out"/>
        <c:minorTickMark val="none"/>
        <c:tickLblPos val="nextTo"/>
        <c:crossAx val="213730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0"/>
            </a:pPr>
            <a:r>
              <a:rPr lang="en-US" sz="1600" b="0"/>
              <a:t>Berners  &amp; Chilkat Rivers and Hugh Smith Lake</a:t>
            </a:r>
          </a:p>
          <a:p>
            <a:pPr>
              <a:defRPr sz="1600" b="0"/>
            </a:pPr>
            <a:r>
              <a:rPr lang="en-US" sz="1600" b="0"/>
              <a:t> Coho Salmon Total Run Size and Region-wide Wild Coho Abundance</a:t>
            </a:r>
          </a:p>
        </c:rich>
      </c:tx>
      <c:layout>
        <c:manualLayout>
          <c:xMode val="edge"/>
          <c:yMode val="edge"/>
          <c:x val="0.12952821177523538"/>
          <c:y val="1.815228480569591E-2"/>
        </c:manualLayout>
      </c:layout>
      <c:overlay val="1"/>
    </c:title>
    <c:autoTitleDeleted val="0"/>
    <c:plotArea>
      <c:layout>
        <c:manualLayout>
          <c:layoutTarget val="inner"/>
          <c:xMode val="edge"/>
          <c:yMode val="edge"/>
          <c:x val="7.7051273449868826E-2"/>
          <c:y val="9.0360580923933828E-2"/>
          <c:w val="0.84872415237639398"/>
          <c:h val="0.76971055443398539"/>
        </c:manualLayout>
      </c:layout>
      <c:lineChart>
        <c:grouping val="standard"/>
        <c:varyColors val="0"/>
        <c:ser>
          <c:idx val="0"/>
          <c:order val="0"/>
          <c:tx>
            <c:v>Berners River</c:v>
          </c:tx>
          <c:spPr>
            <a:ln w="38100">
              <a:solidFill>
                <a:srgbClr val="0033CC"/>
              </a:solidFill>
              <a:prstDash val="sysDash"/>
            </a:ln>
          </c:spPr>
          <c:marker>
            <c:symbol val="none"/>
          </c:marker>
          <c:cat>
            <c:numRef>
              <c:f>'Berners River'!$T$3:$T$47</c:f>
              <c:numCache>
                <c:formatCode>0</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'Berners River'!$U$3:$U$47</c:f>
              <c:numCache>
                <c:formatCode>General</c:formatCode>
                <c:ptCount val="45"/>
                <c:pt idx="0" formatCode="#,##0">
                  <c:v>18.271999999999998</c:v>
                </c:pt>
                <c:pt idx="4" formatCode="#,##0">
                  <c:v>14.470897244444451</c:v>
                </c:pt>
                <c:pt idx="5" formatCode="#,##0">
                  <c:v>10.632127556363637</c:v>
                </c:pt>
                <c:pt idx="8" formatCode="#,##0">
                  <c:v>32.609466443750001</c:v>
                </c:pt>
                <c:pt idx="9" formatCode="#,##0">
                  <c:v>34.414496114285733</c:v>
                </c:pt>
                <c:pt idx="11" formatCode="#,##0">
                  <c:v>24.336406934285712</c:v>
                </c:pt>
                <c:pt idx="12" formatCode="#,##0">
                  <c:v>24.687243790666638</c:v>
                </c:pt>
                <c:pt idx="13" formatCode="#,##0">
                  <c:v>13.954139353870971</c:v>
                </c:pt>
                <c:pt idx="14" formatCode="#,##0">
                  <c:v>15.148339939375004</c:v>
                </c:pt>
                <c:pt idx="15" formatCode="#,##0">
                  <c:v>19.75631947621622</c:v>
                </c:pt>
                <c:pt idx="16" formatCode="#,##0">
                  <c:v>33.960630254994818</c:v>
                </c:pt>
                <c:pt idx="17" formatCode="#,##0">
                  <c:v>34.986804854161079</c:v>
                </c:pt>
                <c:pt idx="18" formatCode="#,##0">
                  <c:v>45.994775120772907</c:v>
                </c:pt>
                <c:pt idx="19" formatCode="#,##0">
                  <c:v>49.60562164994829</c:v>
                </c:pt>
                <c:pt idx="20" formatCode="#,##0">
                  <c:v>73.368888401009244</c:v>
                </c:pt>
                <c:pt idx="21" formatCode="#,##0">
                  <c:v>28.815150686949064</c:v>
                </c:pt>
                <c:pt idx="22" formatCode="#,##0">
                  <c:v>23.653698673798015</c:v>
                </c:pt>
                <c:pt idx="23" formatCode="#,##0">
                  <c:v>15.284193293887599</c:v>
                </c:pt>
                <c:pt idx="24" formatCode="#,##0">
                  <c:v>23.137138818002409</c:v>
                </c:pt>
                <c:pt idx="25" formatCode="#,##0">
                  <c:v>33.145161085633674</c:v>
                </c:pt>
                <c:pt idx="26" formatCode="#,##0">
                  <c:v>21.464712363482146</c:v>
                </c:pt>
                <c:pt idx="27" formatCode="#,##0">
                  <c:v>32.152751126824583</c:v>
                </c:pt>
                <c:pt idx="28" formatCode="#,##0">
                  <c:v>49.818421037951978</c:v>
                </c:pt>
                <c:pt idx="29" formatCode="#,##0">
                  <c:v>29.11102163048426</c:v>
                </c:pt>
                <c:pt idx="30" formatCode="#,##0">
                  <c:v>33.174003930812049</c:v>
                </c:pt>
                <c:pt idx="31" formatCode="#,##0">
                  <c:v>12.757874942477866</c:v>
                </c:pt>
                <c:pt idx="32" formatCode="#,##0">
                  <c:v>15.822204102688618</c:v>
                </c:pt>
                <c:pt idx="33" formatCode="#,##0">
                  <c:v>8.7215504169317661</c:v>
                </c:pt>
                <c:pt idx="34" formatCode="#,##0">
                  <c:v>14.366759212206873</c:v>
                </c:pt>
                <c:pt idx="35" formatCode="#,##0">
                  <c:v>9.3174461149367094</c:v>
                </c:pt>
                <c:pt idx="36" formatCode="#,##0">
                  <c:v>21.81653139184419</c:v>
                </c:pt>
                <c:pt idx="37" formatCode="#,##0">
                  <c:v>12.029060059090904</c:v>
                </c:pt>
                <c:pt idx="38" formatCode="#,##0">
                  <c:v>8.530506622731675</c:v>
                </c:pt>
                <c:pt idx="39" formatCode="#,##0">
                  <c:v>21.067581021634616</c:v>
                </c:pt>
                <c:pt idx="40" formatCode="#,##0">
                  <c:v>26.64829454920346</c:v>
                </c:pt>
                <c:pt idx="41" formatCode="#,##0">
                  <c:v>15.648999999999999</c:v>
                </c:pt>
                <c:pt idx="42" formatCode="#,##0">
                  <c:v>9.9482170047798721</c:v>
                </c:pt>
                <c:pt idx="43" formatCode="#,##0">
                  <c:v>14.298</c:v>
                </c:pt>
                <c:pt idx="44" formatCode="#,##0">
                  <c:v>7.78</c:v>
                </c:pt>
              </c:numCache>
            </c:numRef>
          </c:val>
          <c:smooth val="0"/>
        </c:ser>
        <c:ser>
          <c:idx val="2"/>
          <c:order val="1"/>
          <c:tx>
            <c:v>Chilkat River x 0.16</c:v>
          </c:tx>
          <c:spPr>
            <a:ln w="22225">
              <a:solidFill>
                <a:srgbClr val="0033CC"/>
              </a:solidFill>
              <a:prstDash val="sysDash"/>
            </a:ln>
          </c:spPr>
          <c:marker>
            <c:symbol val="none"/>
          </c:marker>
          <c:cat>
            <c:numRef>
              <c:f>'Berners River'!$T$3:$T$47</c:f>
              <c:numCache>
                <c:formatCode>0</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'Berners River'!$P$3:$P$46</c:f>
              <c:numCache>
                <c:formatCode>General</c:formatCode>
                <c:ptCount val="44"/>
                <c:pt idx="26" formatCode="#,##0">
                  <c:v>19.265109048067014</c:v>
                </c:pt>
                <c:pt idx="27" formatCode="#,##0">
                  <c:v>23.987891017406934</c:v>
                </c:pt>
                <c:pt idx="28" formatCode="#,##0">
                  <c:v>52.324121128297435</c:v>
                </c:pt>
                <c:pt idx="29" formatCode="#,##0">
                  <c:v>33.722020674225149</c:v>
                </c:pt>
                <c:pt idx="30" formatCode="#,##0">
                  <c:v>30.049156213759897</c:v>
                </c:pt>
                <c:pt idx="31" formatCode="#,##0">
                  <c:v>10.034391905398467</c:v>
                </c:pt>
                <c:pt idx="32" formatCode="#,##0">
                  <c:v>22.359456956808447</c:v>
                </c:pt>
                <c:pt idx="33" formatCode="#,##0">
                  <c:v>5.8898186843496836</c:v>
                </c:pt>
                <c:pt idx="34" formatCode="#,##0">
                  <c:v>16.643085506774476</c:v>
                </c:pt>
                <c:pt idx="35" formatCode="#,##0">
                  <c:v>12.019108439325134</c:v>
                </c:pt>
                <c:pt idx="36" formatCode="#,##0">
                  <c:v>23.753498703420401</c:v>
                </c:pt>
                <c:pt idx="37" formatCode="#,##0">
                  <c:v>15.039275720790464</c:v>
                </c:pt>
                <c:pt idx="38" formatCode="#,##0">
                  <c:v>10.018540028615398</c:v>
                </c:pt>
                <c:pt idx="39" formatCode="#,##0">
                  <c:v>18.704752898871369</c:v>
                </c:pt>
                <c:pt idx="40" formatCode="#,##0">
                  <c:v>24.077154012884407</c:v>
                </c:pt>
                <c:pt idx="41" formatCode="#,##0">
                  <c:v>11.052605660706998</c:v>
                </c:pt>
                <c:pt idx="42" formatCode="#,##0">
                  <c:v>6.2364053495484146</c:v>
                </c:pt>
                <c:pt idx="43" formatCode="#,##0">
                  <c:v>8.0870734885425346</c:v>
                </c:pt>
              </c:numCache>
            </c:numRef>
          </c:val>
          <c:smooth val="0"/>
        </c:ser>
        <c:dLbls>
          <c:showLegendKey val="0"/>
          <c:showVal val="0"/>
          <c:showCatName val="0"/>
          <c:showSerName val="0"/>
          <c:showPercent val="0"/>
          <c:showBubbleSize val="0"/>
        </c:dLbls>
        <c:marker val="1"/>
        <c:smooth val="0"/>
        <c:axId val="213758336"/>
        <c:axId val="213760256"/>
      </c:lineChart>
      <c:catAx>
        <c:axId val="213758336"/>
        <c:scaling>
          <c:orientation val="minMax"/>
        </c:scaling>
        <c:delete val="0"/>
        <c:axPos val="b"/>
        <c:title>
          <c:tx>
            <c:rich>
              <a:bodyPr/>
              <a:lstStyle/>
              <a:p>
                <a:pPr>
                  <a:defRPr sz="1600" b="0" baseline="0"/>
                </a:pPr>
                <a:r>
                  <a:rPr lang="en-US" sz="1600" b="0" baseline="0"/>
                  <a:t>Year</a:t>
                </a:r>
              </a:p>
            </c:rich>
          </c:tx>
          <c:overlay val="0"/>
        </c:title>
        <c:numFmt formatCode="0" sourceLinked="1"/>
        <c:majorTickMark val="out"/>
        <c:minorTickMark val="none"/>
        <c:tickLblPos val="nextTo"/>
        <c:txPr>
          <a:bodyPr rot="-5400000" vert="horz"/>
          <a:lstStyle/>
          <a:p>
            <a:pPr>
              <a:defRPr sz="1100"/>
            </a:pPr>
            <a:endParaRPr lang="en-US"/>
          </a:p>
        </c:txPr>
        <c:crossAx val="213760256"/>
        <c:crosses val="autoZero"/>
        <c:auto val="1"/>
        <c:lblAlgn val="ctr"/>
        <c:lblOffset val="100"/>
        <c:noMultiLvlLbl val="0"/>
      </c:catAx>
      <c:valAx>
        <c:axId val="213760256"/>
        <c:scaling>
          <c:orientation val="minMax"/>
          <c:max val="75"/>
          <c:min val="0"/>
        </c:scaling>
        <c:delete val="0"/>
        <c:axPos val="l"/>
        <c:title>
          <c:tx>
            <c:rich>
              <a:bodyPr rot="-5400000" vert="horz"/>
              <a:lstStyle/>
              <a:p>
                <a:pPr>
                  <a:defRPr sz="1500" b="0" baseline="0"/>
                </a:pPr>
                <a:r>
                  <a:rPr lang="en-US" sz="1500" b="0" baseline="0"/>
                  <a:t>Indicator Stock Abundance (Thousands of Fish)</a:t>
                </a:r>
              </a:p>
            </c:rich>
          </c:tx>
          <c:layout>
            <c:manualLayout>
              <c:xMode val="edge"/>
              <c:yMode val="edge"/>
              <c:x val="8.5234418570979652E-3"/>
              <c:y val="0.1732399747932577"/>
            </c:manualLayout>
          </c:layout>
          <c:overlay val="0"/>
        </c:title>
        <c:numFmt formatCode="#,##0" sourceLinked="1"/>
        <c:majorTickMark val="out"/>
        <c:minorTickMark val="none"/>
        <c:tickLblPos val="nextTo"/>
        <c:txPr>
          <a:bodyPr/>
          <a:lstStyle/>
          <a:p>
            <a:pPr>
              <a:defRPr sz="1100"/>
            </a:pPr>
            <a:endParaRPr lang="en-US"/>
          </a:p>
        </c:txPr>
        <c:crossAx val="213758336"/>
        <c:crosses val="autoZero"/>
        <c:crossBetween val="between"/>
      </c:valAx>
    </c:plotArea>
    <c:legend>
      <c:legendPos val="r"/>
      <c:layout>
        <c:manualLayout>
          <c:xMode val="edge"/>
          <c:yMode val="edge"/>
          <c:x val="0.46577354912204139"/>
          <c:y val="0.13548147545836503"/>
          <c:w val="0.33621144600521374"/>
          <c:h val="0.1733230338042234"/>
        </c:manualLayout>
      </c:layout>
      <c:overlay val="0"/>
      <c:txPr>
        <a:bodyPr/>
        <a:lstStyle/>
        <a:p>
          <a:pPr>
            <a:defRPr sz="14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30593544228025"/>
          <c:y val="5.2279455408908278E-2"/>
          <c:w val="0.74915492471335821"/>
          <c:h val="0.80841763212473794"/>
        </c:manualLayout>
      </c:layout>
      <c:lineChart>
        <c:grouping val="standard"/>
        <c:varyColors val="0"/>
        <c:ser>
          <c:idx val="0"/>
          <c:order val="0"/>
          <c:tx>
            <c:v>Berners River</c:v>
          </c:tx>
          <c:spPr>
            <a:ln w="47625">
              <a:solidFill>
                <a:schemeClr val="tx1"/>
              </a:solidFill>
              <a:prstDash val="sysDash"/>
            </a:ln>
          </c:spPr>
          <c:marker>
            <c:symbol val="none"/>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'Berners River'!$K$11:$K$47</c:f>
              <c:numCache>
                <c:formatCode>#,##0</c:formatCode>
                <c:ptCount val="37"/>
                <c:pt idx="0">
                  <c:v>32609.466443750003</c:v>
                </c:pt>
                <c:pt idx="1">
                  <c:v>34414.496114285736</c:v>
                </c:pt>
                <c:pt idx="3">
                  <c:v>24336.406934285711</c:v>
                </c:pt>
                <c:pt idx="4">
                  <c:v>24687.243790666638</c:v>
                </c:pt>
                <c:pt idx="5">
                  <c:v>13954.139353870971</c:v>
                </c:pt>
                <c:pt idx="6">
                  <c:v>15148.339939375004</c:v>
                </c:pt>
                <c:pt idx="7">
                  <c:v>19756.31947621622</c:v>
                </c:pt>
                <c:pt idx="8">
                  <c:v>33960.630254994816</c:v>
                </c:pt>
                <c:pt idx="9">
                  <c:v>34986.804854161077</c:v>
                </c:pt>
                <c:pt idx="10">
                  <c:v>45994.775120772909</c:v>
                </c:pt>
                <c:pt idx="11">
                  <c:v>49605.621649948291</c:v>
                </c:pt>
                <c:pt idx="12">
                  <c:v>73368.888401009244</c:v>
                </c:pt>
                <c:pt idx="13">
                  <c:v>28815.150686949062</c:v>
                </c:pt>
                <c:pt idx="14">
                  <c:v>23653.698673798015</c:v>
                </c:pt>
                <c:pt idx="15">
                  <c:v>15284.193293887598</c:v>
                </c:pt>
                <c:pt idx="16">
                  <c:v>23137.138818002408</c:v>
                </c:pt>
                <c:pt idx="17">
                  <c:v>33145.161085633677</c:v>
                </c:pt>
                <c:pt idx="18">
                  <c:v>21464.712363482147</c:v>
                </c:pt>
                <c:pt idx="19">
                  <c:v>32152.75112682458</c:v>
                </c:pt>
                <c:pt idx="20">
                  <c:v>49818.421037951979</c:v>
                </c:pt>
                <c:pt idx="21">
                  <c:v>29111.021630484258</c:v>
                </c:pt>
                <c:pt idx="22">
                  <c:v>33174.003930812047</c:v>
                </c:pt>
                <c:pt idx="23">
                  <c:v>12757.874942477865</c:v>
                </c:pt>
                <c:pt idx="24">
                  <c:v>15822.204102688618</c:v>
                </c:pt>
                <c:pt idx="25">
                  <c:v>8721.5504169317664</c:v>
                </c:pt>
                <c:pt idx="26">
                  <c:v>14366.759212206873</c:v>
                </c:pt>
                <c:pt idx="27">
                  <c:v>9317.4461149367089</c:v>
                </c:pt>
                <c:pt idx="28">
                  <c:v>21816.53139184419</c:v>
                </c:pt>
                <c:pt idx="29">
                  <c:v>12029.060059090903</c:v>
                </c:pt>
                <c:pt idx="30">
                  <c:v>8530.5066227316747</c:v>
                </c:pt>
                <c:pt idx="31">
                  <c:v>21067.581021634618</c:v>
                </c:pt>
                <c:pt idx="32">
                  <c:v>26648.29454920346</c:v>
                </c:pt>
                <c:pt idx="33">
                  <c:v>15649</c:v>
                </c:pt>
                <c:pt idx="34">
                  <c:v>9948.2170047798718</c:v>
                </c:pt>
                <c:pt idx="35">
                  <c:v>14298</c:v>
                </c:pt>
                <c:pt idx="36">
                  <c:v>7780</c:v>
                </c:pt>
              </c:numCache>
            </c:numRef>
          </c:val>
          <c:smooth val="0"/>
        </c:ser>
        <c:dLbls>
          <c:showLegendKey val="0"/>
          <c:showVal val="0"/>
          <c:showCatName val="0"/>
          <c:showSerName val="0"/>
          <c:showPercent val="0"/>
          <c:showBubbleSize val="0"/>
        </c:dLbls>
        <c:marker val="1"/>
        <c:smooth val="0"/>
        <c:axId val="213886464"/>
        <c:axId val="213888384"/>
      </c:lineChart>
      <c:lineChart>
        <c:grouping val="standard"/>
        <c:varyColors val="0"/>
        <c:ser>
          <c:idx val="1"/>
          <c:order val="1"/>
          <c:tx>
            <c:v>Hugh Smith Lake</c:v>
          </c:tx>
          <c:spPr>
            <a:ln w="57150">
              <a:solidFill>
                <a:srgbClr val="03A5ED"/>
              </a:solidFill>
              <a:prstDash val="sysDash"/>
            </a:ln>
          </c:spPr>
          <c:marker>
            <c:symbol val="circle"/>
            <c:size val="7"/>
            <c:spPr>
              <a:solidFill>
                <a:schemeClr val="accent1">
                  <a:lumMod val="60000"/>
                  <a:lumOff val="40000"/>
                </a:schemeClr>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HughSmith!$M$6:$M$42</c:f>
              <c:numCache>
                <c:formatCode>#,##0</c:formatCode>
                <c:ptCount val="37"/>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pt idx="36">
                  <c:v>1318</c:v>
                </c:pt>
              </c:numCache>
            </c:numRef>
          </c:val>
          <c:smooth val="0"/>
        </c:ser>
        <c:ser>
          <c:idx val="2"/>
          <c:order val="2"/>
          <c:tx>
            <c:v>Babine River x 0.2</c:v>
          </c:tx>
          <c:spPr>
            <a:ln w="57150">
              <a:solidFill>
                <a:srgbClr val="FF0000"/>
              </a:solidFill>
            </a:ln>
          </c:spPr>
          <c:marker>
            <c:symbol val="none"/>
          </c:marker>
          <c:val>
            <c:numRef>
              <c:f>'Berners River'!$Z$11:$Z$47</c:f>
              <c:numCache>
                <c:formatCode>General</c:formatCode>
                <c:ptCount val="37"/>
                <c:pt idx="5" formatCode="#,##0">
                  <c:v>1379.3244919387334</c:v>
                </c:pt>
                <c:pt idx="6" formatCode="#,##0">
                  <c:v>1622.2486798268656</c:v>
                </c:pt>
                <c:pt idx="7" formatCode="#,##0">
                  <c:v>4204.5378411922857</c:v>
                </c:pt>
                <c:pt idx="8" formatCode="#,##0">
                  <c:v>5366.944688050382</c:v>
                </c:pt>
                <c:pt idx="9" formatCode="#,##0">
                  <c:v>3929.8879364858594</c:v>
                </c:pt>
                <c:pt idx="10" formatCode="#,##0">
                  <c:v>1487.1380505441748</c:v>
                </c:pt>
                <c:pt idx="11" formatCode="#,##0">
                  <c:v>1806.9115438605652</c:v>
                </c:pt>
                <c:pt idx="12" formatCode="#,##0">
                  <c:v>3048.9305427366025</c:v>
                </c:pt>
                <c:pt idx="13" formatCode="#,##0">
                  <c:v>1062.6332774702244</c:v>
                </c:pt>
                <c:pt idx="14" formatCode="#,##0">
                  <c:v>2464.8680457166429</c:v>
                </c:pt>
                <c:pt idx="15" formatCode="#,##0">
                  <c:v>263.64044612834203</c:v>
                </c:pt>
                <c:pt idx="16" formatCode="#,##0">
                  <c:v>1314.6390221687891</c:v>
                </c:pt>
                <c:pt idx="17" formatCode="#,##0">
                  <c:v>3903.8125286066115</c:v>
                </c:pt>
                <c:pt idx="18" formatCode="#,##0">
                  <c:v>692.31511053968723</c:v>
                </c:pt>
                <c:pt idx="19" formatCode="#,##0">
                  <c:v>5861.2551125187929</c:v>
                </c:pt>
                <c:pt idx="20" formatCode="#,##0">
                  <c:v>2855.2369318759761</c:v>
                </c:pt>
                <c:pt idx="21" formatCode="#,##0">
                  <c:v>2045.8096802949037</c:v>
                </c:pt>
                <c:pt idx="22" formatCode="#,##0">
                  <c:v>2686.2574879389167</c:v>
                </c:pt>
                <c:pt idx="23" formatCode="#,##0">
                  <c:v>6149.0347997739236</c:v>
                </c:pt>
                <c:pt idx="24" formatCode="#,##0">
                  <c:v>3787.4986598112432</c:v>
                </c:pt>
                <c:pt idx="25" formatCode="#,##0">
                  <c:v>2254.8117872562302</c:v>
                </c:pt>
                <c:pt idx="26" formatCode="#,##0">
                  <c:v>4223.115315911713</c:v>
                </c:pt>
                <c:pt idx="27" formatCode="#,##0">
                  <c:v>5269.8497811542093</c:v>
                </c:pt>
                <c:pt idx="28" formatCode="#,##0">
                  <c:v>2465.2126511650731</c:v>
                </c:pt>
                <c:pt idx="29" formatCode="#,##0">
                  <c:v>4048.8374961215131</c:v>
                </c:pt>
                <c:pt idx="30" formatCode="#,##0">
                  <c:v>3116.7744819837749</c:v>
                </c:pt>
                <c:pt idx="31" formatCode="#,##0">
                  <c:v>7131.6374595237858</c:v>
                </c:pt>
                <c:pt idx="32" formatCode="#,##0">
                  <c:v>5402.0008303025134</c:v>
                </c:pt>
                <c:pt idx="33" formatCode="#,##0">
                  <c:v>2478.8659564573863</c:v>
                </c:pt>
                <c:pt idx="34" formatCode="#,##0">
                  <c:v>2195.6741738017786</c:v>
                </c:pt>
                <c:pt idx="35" formatCode="#,##0">
                  <c:v>7544.3788234548338</c:v>
                </c:pt>
                <c:pt idx="36" formatCode="#,##0">
                  <c:v>2172.4424684362962</c:v>
                </c:pt>
              </c:numCache>
            </c:numRef>
          </c:val>
          <c:smooth val="0"/>
        </c:ser>
        <c:dLbls>
          <c:showLegendKey val="0"/>
          <c:showVal val="0"/>
          <c:showCatName val="0"/>
          <c:showSerName val="0"/>
          <c:showPercent val="0"/>
          <c:showBubbleSize val="0"/>
        </c:dLbls>
        <c:marker val="1"/>
        <c:smooth val="0"/>
        <c:axId val="213898752"/>
        <c:axId val="213900288"/>
      </c:lineChart>
      <c:catAx>
        <c:axId val="213886464"/>
        <c:scaling>
          <c:orientation val="minMax"/>
        </c:scaling>
        <c:delete val="0"/>
        <c:axPos val="b"/>
        <c:title>
          <c:tx>
            <c:rich>
              <a:bodyPr/>
              <a:lstStyle/>
              <a:p>
                <a:pPr>
                  <a:defRPr sz="1600" b="0" baseline="0"/>
                </a:pPr>
                <a:r>
                  <a:rPr lang="en-US" sz="1600" b="0" baseline="0"/>
                  <a:t>Year</a:t>
                </a:r>
              </a:p>
            </c:rich>
          </c:tx>
          <c:layout>
            <c:manualLayout>
              <c:xMode val="edge"/>
              <c:yMode val="edge"/>
              <c:x val="0.47481949624717962"/>
              <c:y val="0.93991817733352478"/>
            </c:manualLayout>
          </c:layout>
          <c:overlay val="0"/>
        </c:title>
        <c:numFmt formatCode="0" sourceLinked="1"/>
        <c:majorTickMark val="out"/>
        <c:minorTickMark val="none"/>
        <c:tickLblPos val="nextTo"/>
        <c:spPr>
          <a:ln w="15875">
            <a:solidFill>
              <a:schemeClr val="tx1"/>
            </a:solidFill>
          </a:ln>
        </c:spPr>
        <c:txPr>
          <a:bodyPr rot="-5400000" vert="horz"/>
          <a:lstStyle/>
          <a:p>
            <a:pPr>
              <a:defRPr sz="1200"/>
            </a:pPr>
            <a:endParaRPr lang="en-US"/>
          </a:p>
        </c:txPr>
        <c:crossAx val="213888384"/>
        <c:crosses val="autoZero"/>
        <c:auto val="1"/>
        <c:lblAlgn val="ctr"/>
        <c:lblOffset val="100"/>
        <c:noMultiLvlLbl val="0"/>
      </c:catAx>
      <c:valAx>
        <c:axId val="213888384"/>
        <c:scaling>
          <c:orientation val="minMax"/>
          <c:max val="78580.5"/>
          <c:min val="0"/>
        </c:scaling>
        <c:delete val="0"/>
        <c:axPos val="l"/>
        <c:title>
          <c:tx>
            <c:rich>
              <a:bodyPr rot="-5400000" vert="horz"/>
              <a:lstStyle/>
              <a:p>
                <a:pPr>
                  <a:defRPr sz="1800" b="0" baseline="0"/>
                </a:pPr>
                <a:r>
                  <a:rPr lang="en-US" sz="1800" b="0" baseline="0"/>
                  <a:t>Berners River (Number of Fish)</a:t>
                </a:r>
              </a:p>
            </c:rich>
          </c:tx>
          <c:layout>
            <c:manualLayout>
              <c:xMode val="edge"/>
              <c:yMode val="edge"/>
              <c:x val="1.4393677763963717E-2"/>
              <c:y val="0.18332466141108236"/>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213886464"/>
        <c:crosses val="autoZero"/>
        <c:crossBetween val="between"/>
      </c:valAx>
      <c:catAx>
        <c:axId val="213898752"/>
        <c:scaling>
          <c:orientation val="minMax"/>
        </c:scaling>
        <c:delete val="1"/>
        <c:axPos val="b"/>
        <c:numFmt formatCode="0" sourceLinked="1"/>
        <c:majorTickMark val="out"/>
        <c:minorTickMark val="none"/>
        <c:tickLblPos val="none"/>
        <c:crossAx val="213900288"/>
        <c:crosses val="autoZero"/>
        <c:auto val="1"/>
        <c:lblAlgn val="ctr"/>
        <c:lblOffset val="100"/>
        <c:noMultiLvlLbl val="0"/>
      </c:catAx>
      <c:valAx>
        <c:axId val="213900288"/>
        <c:scaling>
          <c:orientation val="minMax"/>
          <c:max val="10000"/>
          <c:min val="0"/>
        </c:scaling>
        <c:delete val="0"/>
        <c:axPos val="r"/>
        <c:title>
          <c:tx>
            <c:rich>
              <a:bodyPr rot="-5400000" vert="horz"/>
              <a:lstStyle/>
              <a:p>
                <a:pPr>
                  <a:defRPr sz="1800" b="0" baseline="0"/>
                </a:pPr>
                <a:r>
                  <a:rPr lang="en-US" sz="1800" b="0" baseline="0"/>
                  <a:t>Hugh Smith &amp; Babine (Number of Fish)</a:t>
                </a:r>
              </a:p>
            </c:rich>
          </c:tx>
          <c:layout>
            <c:manualLayout>
              <c:xMode val="edge"/>
              <c:yMode val="edge"/>
              <c:x val="0.9528261269972832"/>
              <c:y val="9.9486384800784033E-2"/>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213898752"/>
        <c:crosses val="max"/>
        <c:crossBetween val="between"/>
      </c:valAx>
    </c:plotArea>
    <c:legend>
      <c:legendPos val="r"/>
      <c:layout>
        <c:manualLayout>
          <c:xMode val="edge"/>
          <c:yMode val="edge"/>
          <c:x val="0.46727402495740661"/>
          <c:y val="0.12627578940511064"/>
          <c:w val="0.24597262513238477"/>
          <c:h val="0.15236918997382898"/>
        </c:manualLayout>
      </c:layout>
      <c:overlay val="0"/>
      <c:txPr>
        <a:bodyPr/>
        <a:lstStyle/>
        <a:p>
          <a:pPr>
            <a:defRPr sz="16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907328391652949E-2"/>
          <c:y val="5.6072931846508217E-2"/>
          <c:w val="0.84140408369916386"/>
          <c:h val="0.81206588564727589"/>
        </c:manualLayout>
      </c:layout>
      <c:lineChart>
        <c:grouping val="standard"/>
        <c:varyColors val="0"/>
        <c:ser>
          <c:idx val="0"/>
          <c:order val="0"/>
          <c:tx>
            <c:v>Berners River</c:v>
          </c:tx>
          <c:spPr>
            <a:ln w="38100">
              <a:solidFill>
                <a:schemeClr val="tx1"/>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River'!$L$11:$L$46</c:f>
              <c:numCache>
                <c:formatCode>#,##0</c:formatCode>
                <c:ptCount val="36"/>
                <c:pt idx="0">
                  <c:v>32.609466443750001</c:v>
                </c:pt>
                <c:pt idx="1">
                  <c:v>34.414496114285733</c:v>
                </c:pt>
                <c:pt idx="3">
                  <c:v>24.336406934285712</c:v>
                </c:pt>
                <c:pt idx="4">
                  <c:v>24.687243790666638</c:v>
                </c:pt>
                <c:pt idx="5">
                  <c:v>13.954139353870971</c:v>
                </c:pt>
                <c:pt idx="6">
                  <c:v>15.148339939375004</c:v>
                </c:pt>
                <c:pt idx="7">
                  <c:v>19.75631947621622</c:v>
                </c:pt>
                <c:pt idx="8">
                  <c:v>33.960630254994818</c:v>
                </c:pt>
                <c:pt idx="9">
                  <c:v>34.986804854161079</c:v>
                </c:pt>
                <c:pt idx="10">
                  <c:v>45.994775120772907</c:v>
                </c:pt>
                <c:pt idx="11">
                  <c:v>49.60562164994829</c:v>
                </c:pt>
                <c:pt idx="12">
                  <c:v>73.368888401009244</c:v>
                </c:pt>
                <c:pt idx="13">
                  <c:v>28.815150686949064</c:v>
                </c:pt>
                <c:pt idx="14">
                  <c:v>23.653698673798015</c:v>
                </c:pt>
                <c:pt idx="15">
                  <c:v>15.284193293887599</c:v>
                </c:pt>
                <c:pt idx="16">
                  <c:v>23.137138818002409</c:v>
                </c:pt>
                <c:pt idx="17">
                  <c:v>33.145161085633674</c:v>
                </c:pt>
                <c:pt idx="18">
                  <c:v>21.464712363482146</c:v>
                </c:pt>
                <c:pt idx="19">
                  <c:v>32.152751126824583</c:v>
                </c:pt>
                <c:pt idx="20">
                  <c:v>49.818421037951978</c:v>
                </c:pt>
                <c:pt idx="21">
                  <c:v>29.11102163048426</c:v>
                </c:pt>
                <c:pt idx="22">
                  <c:v>33.174003930812049</c:v>
                </c:pt>
                <c:pt idx="23">
                  <c:v>12.757874942477866</c:v>
                </c:pt>
                <c:pt idx="24">
                  <c:v>15.822204102688618</c:v>
                </c:pt>
                <c:pt idx="25">
                  <c:v>8.7215504169317661</c:v>
                </c:pt>
                <c:pt idx="26">
                  <c:v>14.366759212206873</c:v>
                </c:pt>
                <c:pt idx="27">
                  <c:v>9.3174461149367094</c:v>
                </c:pt>
                <c:pt idx="28">
                  <c:v>21.81653139184419</c:v>
                </c:pt>
                <c:pt idx="29">
                  <c:v>12.029060059090904</c:v>
                </c:pt>
                <c:pt idx="30">
                  <c:v>8.530506622731675</c:v>
                </c:pt>
                <c:pt idx="31">
                  <c:v>21.067581021634616</c:v>
                </c:pt>
                <c:pt idx="32">
                  <c:v>26.64829454920346</c:v>
                </c:pt>
                <c:pt idx="33">
                  <c:v>15.648999999999999</c:v>
                </c:pt>
                <c:pt idx="34">
                  <c:v>9.9482170047798721</c:v>
                </c:pt>
                <c:pt idx="35">
                  <c:v>14.298</c:v>
                </c:pt>
              </c:numCache>
            </c:numRef>
          </c:val>
          <c:smooth val="0"/>
        </c:ser>
        <c:ser>
          <c:idx val="2"/>
          <c:order val="1"/>
          <c:tx>
            <c:v>Chilkat River x 0.16</c:v>
          </c:tx>
          <c:spPr>
            <a:ln w="22225">
              <a:solidFill>
                <a:schemeClr val="tx1"/>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River'!$P$11:$P$46</c:f>
              <c:numCache>
                <c:formatCode>General</c:formatCode>
                <c:ptCount val="36"/>
                <c:pt idx="18" formatCode="#,##0">
                  <c:v>19.265109048067014</c:v>
                </c:pt>
                <c:pt idx="19" formatCode="#,##0">
                  <c:v>23.987891017406934</c:v>
                </c:pt>
                <c:pt idx="20" formatCode="#,##0">
                  <c:v>52.324121128297435</c:v>
                </c:pt>
                <c:pt idx="21" formatCode="#,##0">
                  <c:v>33.722020674225149</c:v>
                </c:pt>
                <c:pt idx="22" formatCode="#,##0">
                  <c:v>30.049156213759897</c:v>
                </c:pt>
                <c:pt idx="23" formatCode="#,##0">
                  <c:v>10.034391905398467</c:v>
                </c:pt>
                <c:pt idx="24" formatCode="#,##0">
                  <c:v>22.359456956808447</c:v>
                </c:pt>
                <c:pt idx="25" formatCode="#,##0">
                  <c:v>5.8898186843496836</c:v>
                </c:pt>
                <c:pt idx="26" formatCode="#,##0">
                  <c:v>16.643085506774476</c:v>
                </c:pt>
                <c:pt idx="27" formatCode="#,##0">
                  <c:v>12.019108439325134</c:v>
                </c:pt>
                <c:pt idx="28" formatCode="#,##0">
                  <c:v>23.753498703420401</c:v>
                </c:pt>
                <c:pt idx="29" formatCode="#,##0">
                  <c:v>15.039275720790464</c:v>
                </c:pt>
                <c:pt idx="30" formatCode="#,##0">
                  <c:v>10.018540028615398</c:v>
                </c:pt>
                <c:pt idx="31" formatCode="#,##0">
                  <c:v>18.704752898871369</c:v>
                </c:pt>
                <c:pt idx="32" formatCode="#,##0">
                  <c:v>24.077154012884407</c:v>
                </c:pt>
                <c:pt idx="33" formatCode="#,##0">
                  <c:v>11.052605660706998</c:v>
                </c:pt>
                <c:pt idx="34" formatCode="#,##0">
                  <c:v>6.2364053495484146</c:v>
                </c:pt>
                <c:pt idx="35" formatCode="#,##0">
                  <c:v>8.0870734885425346</c:v>
                </c:pt>
              </c:numCache>
            </c:numRef>
          </c:val>
          <c:smooth val="0"/>
        </c:ser>
        <c:ser>
          <c:idx val="1"/>
          <c:order val="2"/>
          <c:tx>
            <c:v>Hugh Smith Lake x 7.5</c:v>
          </c:tx>
          <c:spPr>
            <a:ln w="38100">
              <a:solidFill>
                <a:schemeClr val="accent1">
                  <a:lumMod val="60000"/>
                  <a:lumOff val="40000"/>
                </a:schemeClr>
              </a:solidFill>
              <a:prstDash val="sysDash"/>
            </a:ln>
          </c:spPr>
          <c:marker>
            <c:symbol val="circle"/>
            <c:size val="7"/>
            <c:spPr>
              <a:solidFill>
                <a:schemeClr val="accent1">
                  <a:lumMod val="60000"/>
                  <a:lumOff val="40000"/>
                </a:schemeClr>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River'!$N$11:$N$46</c:f>
              <c:numCache>
                <c:formatCode>#,##0</c:formatCode>
                <c:ptCount val="36"/>
                <c:pt idx="0">
                  <c:v>45.992985754411762</c:v>
                </c:pt>
                <c:pt idx="1">
                  <c:v>29.059782041934586</c:v>
                </c:pt>
                <c:pt idx="2">
                  <c:v>30.177463524451206</c:v>
                </c:pt>
                <c:pt idx="3">
                  <c:v>18.300475516646774</c:v>
                </c:pt>
                <c:pt idx="4">
                  <c:v>32.739320963760633</c:v>
                </c:pt>
                <c:pt idx="5">
                  <c:v>16.827999938076925</c:v>
                </c:pt>
                <c:pt idx="6">
                  <c:v>11.046310704545455</c:v>
                </c:pt>
                <c:pt idx="7">
                  <c:v>18.031111647058825</c:v>
                </c:pt>
                <c:pt idx="8">
                  <c:v>35.951998588235298</c:v>
                </c:pt>
                <c:pt idx="9">
                  <c:v>43.250755497807617</c:v>
                </c:pt>
                <c:pt idx="10">
                  <c:v>36.710112273569983</c:v>
                </c:pt>
                <c:pt idx="11">
                  <c:v>31.813517021511618</c:v>
                </c:pt>
                <c:pt idx="12">
                  <c:v>70.978189990283795</c:v>
                </c:pt>
                <c:pt idx="13">
                  <c:v>50.311431592780743</c:v>
                </c:pt>
                <c:pt idx="14">
                  <c:v>29.610149238692749</c:v>
                </c:pt>
                <c:pt idx="15">
                  <c:v>20.217030070040074</c:v>
                </c:pt>
                <c:pt idx="16">
                  <c:v>32.784504630517581</c:v>
                </c:pt>
                <c:pt idx="17">
                  <c:v>31.658867132025556</c:v>
                </c:pt>
                <c:pt idx="18">
                  <c:v>10.098217566410609</c:v>
                </c:pt>
                <c:pt idx="19">
                  <c:v>23.395573779690586</c:v>
                </c:pt>
                <c:pt idx="20">
                  <c:v>40.54460962322235</c:v>
                </c:pt>
                <c:pt idx="21">
                  <c:v>27.573017015461019</c:v>
                </c:pt>
                <c:pt idx="22">
                  <c:v>18.686687641571343</c:v>
                </c:pt>
                <c:pt idx="23">
                  <c:v>27.391618703231995</c:v>
                </c:pt>
                <c:pt idx="24">
                  <c:v>14.44410928838542</c:v>
                </c:pt>
                <c:pt idx="25">
                  <c:v>24.817920721130417</c:v>
                </c:pt>
                <c:pt idx="26">
                  <c:v>28.32</c:v>
                </c:pt>
                <c:pt idx="27">
                  <c:v>32.872500000000002</c:v>
                </c:pt>
                <c:pt idx="28">
                  <c:v>40.627499999999998</c:v>
                </c:pt>
                <c:pt idx="29">
                  <c:v>29.5275</c:v>
                </c:pt>
                <c:pt idx="30">
                  <c:v>31.2225</c:v>
                </c:pt>
                <c:pt idx="31">
                  <c:v>51.795000000000002</c:v>
                </c:pt>
                <c:pt idx="32">
                  <c:v>57.802500000000002</c:v>
                </c:pt>
                <c:pt idx="33">
                  <c:v>14.654999999999999</c:v>
                </c:pt>
                <c:pt idx="34">
                  <c:v>18.495000000000001</c:v>
                </c:pt>
                <c:pt idx="35">
                  <c:v>18.1875</c:v>
                </c:pt>
              </c:numCache>
            </c:numRef>
          </c:val>
          <c:smooth val="0"/>
        </c:ser>
        <c:dLbls>
          <c:showLegendKey val="0"/>
          <c:showVal val="0"/>
          <c:showCatName val="0"/>
          <c:showSerName val="0"/>
          <c:showPercent val="0"/>
          <c:showBubbleSize val="0"/>
        </c:dLbls>
        <c:marker val="1"/>
        <c:smooth val="0"/>
        <c:axId val="213936768"/>
        <c:axId val="213947136"/>
      </c:lineChart>
      <c:lineChart>
        <c:grouping val="standard"/>
        <c:varyColors val="0"/>
        <c:ser>
          <c:idx val="3"/>
          <c:order val="3"/>
          <c:tx>
            <c:v>Wild Abundance (Troll Fishery)</c:v>
          </c:tx>
          <c:spPr>
            <a:ln w="50800">
              <a:solidFill>
                <a:schemeClr val="tx1"/>
              </a:solidFill>
            </a:ln>
          </c:spPr>
          <c:marker>
            <c:symbol val="none"/>
          </c:marker>
          <c:val>
            <c:numRef>
              <c:f>'Berners River'!$M$11:$M$46</c:f>
              <c:numCache>
                <c:formatCode>General_)</c:formatCode>
                <c:ptCount val="36"/>
                <c:pt idx="0">
                  <c:v>3.7520835163986841</c:v>
                </c:pt>
                <c:pt idx="1">
                  <c:v>3.2797699836658984</c:v>
                </c:pt>
                <c:pt idx="2">
                  <c:v>2.8739339138215305</c:v>
                </c:pt>
                <c:pt idx="3">
                  <c:v>3.8775989640080808</c:v>
                </c:pt>
                <c:pt idx="4">
                  <c:v>4.1999609384774761</c:v>
                </c:pt>
                <c:pt idx="5">
                  <c:v>2.6708093694380484</c:v>
                </c:pt>
                <c:pt idx="6">
                  <c:v>1.5444060197490821</c:v>
                </c:pt>
                <c:pt idx="7">
                  <c:v>2.3994648814511308</c:v>
                </c:pt>
                <c:pt idx="8">
                  <c:v>3.6168321860428221</c:v>
                </c:pt>
                <c:pt idx="9">
                  <c:v>4.1722714114334973</c:v>
                </c:pt>
                <c:pt idx="10">
                  <c:v>3.8709355582596414</c:v>
                </c:pt>
                <c:pt idx="11">
                  <c:v>4.1726997823101817</c:v>
                </c:pt>
                <c:pt idx="12">
                  <c:v>6.6518893716874876</c:v>
                </c:pt>
                <c:pt idx="13">
                  <c:v>4.0549686086040255</c:v>
                </c:pt>
                <c:pt idx="14">
                  <c:v>3.4076793457873791</c:v>
                </c:pt>
                <c:pt idx="15">
                  <c:v>2.6918613044967539</c:v>
                </c:pt>
                <c:pt idx="16">
                  <c:v>3.2249503256252758</c:v>
                </c:pt>
                <c:pt idx="17">
                  <c:v>4.1652872370535938</c:v>
                </c:pt>
                <c:pt idx="18">
                  <c:v>2.5264586311745054</c:v>
                </c:pt>
                <c:pt idx="19">
                  <c:v>4.4321211948027184</c:v>
                </c:pt>
                <c:pt idx="20">
                  <c:v>4.696055820465828</c:v>
                </c:pt>
                <c:pt idx="21">
                  <c:v>3.7439226830430816</c:v>
                </c:pt>
                <c:pt idx="22">
                  <c:v>3.9830147394059674</c:v>
                </c:pt>
                <c:pt idx="23">
                  <c:v>4.7227029524352995</c:v>
                </c:pt>
                <c:pt idx="24">
                  <c:v>3.617441621196245</c:v>
                </c:pt>
                <c:pt idx="25">
                  <c:v>2.7118869599033641</c:v>
                </c:pt>
                <c:pt idx="26">
                  <c:v>3.8245198363132995</c:v>
                </c:pt>
                <c:pt idx="27">
                  <c:v>3.9579049170809988</c:v>
                </c:pt>
                <c:pt idx="28">
                  <c:v>3.6439518331485585</c:v>
                </c:pt>
                <c:pt idx="29">
                  <c:v>4.471506823573387</c:v>
                </c:pt>
                <c:pt idx="30">
                  <c:v>3.5228806749102057</c:v>
                </c:pt>
                <c:pt idx="31">
                  <c:v>5.0653238681982691</c:v>
                </c:pt>
                <c:pt idx="32">
                  <c:v>6.6261472069908107</c:v>
                </c:pt>
                <c:pt idx="33">
                  <c:v>3.2240158473155649</c:v>
                </c:pt>
                <c:pt idx="34">
                  <c:v>4.6528674353316211</c:v>
                </c:pt>
                <c:pt idx="35">
                  <c:v>5.1578733018510396</c:v>
                </c:pt>
              </c:numCache>
            </c:numRef>
          </c:val>
          <c:smooth val="0"/>
        </c:ser>
        <c:dLbls>
          <c:showLegendKey val="0"/>
          <c:showVal val="0"/>
          <c:showCatName val="0"/>
          <c:showSerName val="0"/>
          <c:showPercent val="0"/>
          <c:showBubbleSize val="0"/>
        </c:dLbls>
        <c:marker val="1"/>
        <c:smooth val="0"/>
        <c:axId val="213949056"/>
        <c:axId val="213959040"/>
      </c:lineChart>
      <c:catAx>
        <c:axId val="213936768"/>
        <c:scaling>
          <c:orientation val="minMax"/>
        </c:scaling>
        <c:delete val="0"/>
        <c:axPos val="b"/>
        <c:title>
          <c:tx>
            <c:rich>
              <a:bodyPr/>
              <a:lstStyle/>
              <a:p>
                <a:pPr>
                  <a:defRPr sz="1600" b="0" baseline="0"/>
                </a:pPr>
                <a:r>
                  <a:rPr lang="en-US" sz="1600" b="0" baseline="0"/>
                  <a:t>Year</a:t>
                </a:r>
              </a:p>
            </c:rich>
          </c:tx>
          <c:layout>
            <c:manualLayout>
              <c:xMode val="edge"/>
              <c:yMode val="edge"/>
              <c:x val="0.47555154700141172"/>
              <c:y val="0.94199844744762673"/>
            </c:manualLayout>
          </c:layout>
          <c:overlay val="0"/>
        </c:title>
        <c:numFmt formatCode="0" sourceLinked="1"/>
        <c:majorTickMark val="out"/>
        <c:minorTickMark val="none"/>
        <c:tickLblPos val="nextTo"/>
        <c:spPr>
          <a:ln w="15875">
            <a:solidFill>
              <a:schemeClr val="tx1"/>
            </a:solidFill>
          </a:ln>
        </c:spPr>
        <c:txPr>
          <a:bodyPr rot="-5400000" vert="horz"/>
          <a:lstStyle/>
          <a:p>
            <a:pPr>
              <a:defRPr sz="1100"/>
            </a:pPr>
            <a:endParaRPr lang="en-US"/>
          </a:p>
        </c:txPr>
        <c:crossAx val="213947136"/>
        <c:crosses val="autoZero"/>
        <c:auto val="1"/>
        <c:lblAlgn val="ctr"/>
        <c:lblOffset val="100"/>
        <c:noMultiLvlLbl val="0"/>
      </c:catAx>
      <c:valAx>
        <c:axId val="213947136"/>
        <c:scaling>
          <c:orientation val="minMax"/>
          <c:max val="75"/>
          <c:min val="0"/>
        </c:scaling>
        <c:delete val="0"/>
        <c:axPos val="l"/>
        <c:title>
          <c:tx>
            <c:rich>
              <a:bodyPr rot="-5400000" vert="horz"/>
              <a:lstStyle/>
              <a:p>
                <a:pPr>
                  <a:defRPr sz="1500" b="0" baseline="0"/>
                </a:pPr>
                <a:r>
                  <a:rPr lang="en-US" sz="1500" b="0" baseline="0"/>
                  <a:t>Indicator Stock Abundance (Thousands of Fish)</a:t>
                </a:r>
              </a:p>
            </c:rich>
          </c:tx>
          <c:layout>
            <c:manualLayout>
              <c:xMode val="edge"/>
              <c:yMode val="edge"/>
              <c:x val="1.4379496798882093E-2"/>
              <c:y val="0.13491848464789968"/>
            </c:manualLayout>
          </c:layout>
          <c:overlay val="0"/>
        </c:title>
        <c:numFmt formatCode="#,##0" sourceLinked="1"/>
        <c:majorTickMark val="out"/>
        <c:minorTickMark val="none"/>
        <c:tickLblPos val="nextTo"/>
        <c:spPr>
          <a:ln w="15875">
            <a:solidFill>
              <a:schemeClr val="tx1"/>
            </a:solidFill>
          </a:ln>
        </c:spPr>
        <c:txPr>
          <a:bodyPr/>
          <a:lstStyle/>
          <a:p>
            <a:pPr>
              <a:defRPr sz="1100"/>
            </a:pPr>
            <a:endParaRPr lang="en-US"/>
          </a:p>
        </c:txPr>
        <c:crossAx val="213936768"/>
        <c:crosses val="autoZero"/>
        <c:crossBetween val="between"/>
      </c:valAx>
      <c:catAx>
        <c:axId val="213949056"/>
        <c:scaling>
          <c:orientation val="minMax"/>
        </c:scaling>
        <c:delete val="1"/>
        <c:axPos val="b"/>
        <c:numFmt formatCode="0" sourceLinked="1"/>
        <c:majorTickMark val="out"/>
        <c:minorTickMark val="none"/>
        <c:tickLblPos val="none"/>
        <c:crossAx val="213959040"/>
        <c:crosses val="autoZero"/>
        <c:auto val="1"/>
        <c:lblAlgn val="ctr"/>
        <c:lblOffset val="100"/>
        <c:noMultiLvlLbl val="0"/>
      </c:catAx>
      <c:valAx>
        <c:axId val="213959040"/>
        <c:scaling>
          <c:orientation val="minMax"/>
          <c:max val="9"/>
          <c:min val="0"/>
        </c:scaling>
        <c:delete val="0"/>
        <c:axPos val="r"/>
        <c:title>
          <c:tx>
            <c:rich>
              <a:bodyPr rot="-5400000" vert="horz"/>
              <a:lstStyle/>
              <a:p>
                <a:pPr>
                  <a:defRPr sz="1400" b="0" baseline="0"/>
                </a:pPr>
                <a:r>
                  <a:rPr lang="en-US" sz="1400" b="0" baseline="0"/>
                  <a:t>Wild Abundance (Millions of Fish)</a:t>
                </a:r>
              </a:p>
            </c:rich>
          </c:tx>
          <c:layout>
            <c:manualLayout>
              <c:xMode val="edge"/>
              <c:yMode val="edge"/>
              <c:x val="0.95869025872926839"/>
              <c:y val="0.25531371213747844"/>
            </c:manualLayout>
          </c:layout>
          <c:overlay val="0"/>
        </c:title>
        <c:numFmt formatCode="0" sourceLinked="0"/>
        <c:majorTickMark val="out"/>
        <c:minorTickMark val="none"/>
        <c:tickLblPos val="nextTo"/>
        <c:spPr>
          <a:ln w="15875">
            <a:solidFill>
              <a:schemeClr val="tx1"/>
            </a:solidFill>
          </a:ln>
        </c:spPr>
        <c:txPr>
          <a:bodyPr/>
          <a:lstStyle/>
          <a:p>
            <a:pPr>
              <a:defRPr sz="1100"/>
            </a:pPr>
            <a:endParaRPr lang="en-US"/>
          </a:p>
        </c:txPr>
        <c:crossAx val="213949056"/>
        <c:crosses val="max"/>
        <c:crossBetween val="between"/>
      </c:valAx>
    </c:plotArea>
    <c:legend>
      <c:legendPos val="r"/>
      <c:layout>
        <c:manualLayout>
          <c:xMode val="edge"/>
          <c:yMode val="edge"/>
          <c:x val="0.44820538429668899"/>
          <c:y val="6.4889256769547612E-2"/>
          <c:w val="0.33621144600521374"/>
          <c:h val="0.18340763647405448"/>
        </c:manualLayout>
      </c:layout>
      <c:overlay val="0"/>
      <c:txPr>
        <a:bodyPr/>
        <a:lstStyle/>
        <a:p>
          <a:pPr>
            <a:defRPr sz="14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0"/>
            </a:pPr>
            <a:r>
              <a:rPr lang="en-US" sz="1600" b="0"/>
              <a:t>Berners  &amp; Chilkat Rivers and Hugh Smith Lake</a:t>
            </a:r>
          </a:p>
          <a:p>
            <a:pPr>
              <a:defRPr sz="1600" b="0"/>
            </a:pPr>
            <a:r>
              <a:rPr lang="en-US" sz="1600" b="0"/>
              <a:t> Coho Salmon Total Run Size and Region-wide Wild Coho Abundance</a:t>
            </a:r>
          </a:p>
        </c:rich>
      </c:tx>
      <c:layout>
        <c:manualLayout>
          <c:xMode val="edge"/>
          <c:yMode val="edge"/>
          <c:x val="0.12952821177523538"/>
          <c:y val="1.815228480569591E-2"/>
        </c:manualLayout>
      </c:layout>
      <c:overlay val="1"/>
    </c:title>
    <c:autoTitleDeleted val="0"/>
    <c:plotArea>
      <c:layout>
        <c:manualLayout>
          <c:layoutTarget val="inner"/>
          <c:xMode val="edge"/>
          <c:yMode val="edge"/>
          <c:x val="7.7051273449868826E-2"/>
          <c:y val="9.0360580923933828E-2"/>
          <c:w val="0.84872415237639398"/>
          <c:h val="0.76971055443398539"/>
        </c:manualLayout>
      </c:layout>
      <c:lineChart>
        <c:grouping val="standard"/>
        <c:varyColors val="0"/>
        <c:ser>
          <c:idx val="0"/>
          <c:order val="0"/>
          <c:tx>
            <c:v>Berners River</c:v>
          </c:tx>
          <c:spPr>
            <a:ln w="38100">
              <a:solidFill>
                <a:srgbClr val="0033CC"/>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River'!$L$11:$L$46</c:f>
              <c:numCache>
                <c:formatCode>#,##0</c:formatCode>
                <c:ptCount val="36"/>
                <c:pt idx="0">
                  <c:v>32.609466443750001</c:v>
                </c:pt>
                <c:pt idx="1">
                  <c:v>34.414496114285733</c:v>
                </c:pt>
                <c:pt idx="3">
                  <c:v>24.336406934285712</c:v>
                </c:pt>
                <c:pt idx="4">
                  <c:v>24.687243790666638</c:v>
                </c:pt>
                <c:pt idx="5">
                  <c:v>13.954139353870971</c:v>
                </c:pt>
                <c:pt idx="6">
                  <c:v>15.148339939375004</c:v>
                </c:pt>
                <c:pt idx="7">
                  <c:v>19.75631947621622</c:v>
                </c:pt>
                <c:pt idx="8">
                  <c:v>33.960630254994818</c:v>
                </c:pt>
                <c:pt idx="9">
                  <c:v>34.986804854161079</c:v>
                </c:pt>
                <c:pt idx="10">
                  <c:v>45.994775120772907</c:v>
                </c:pt>
                <c:pt idx="11">
                  <c:v>49.60562164994829</c:v>
                </c:pt>
                <c:pt idx="12">
                  <c:v>73.368888401009244</c:v>
                </c:pt>
                <c:pt idx="13">
                  <c:v>28.815150686949064</c:v>
                </c:pt>
                <c:pt idx="14">
                  <c:v>23.653698673798015</c:v>
                </c:pt>
                <c:pt idx="15">
                  <c:v>15.284193293887599</c:v>
                </c:pt>
                <c:pt idx="16">
                  <c:v>23.137138818002409</c:v>
                </c:pt>
                <c:pt idx="17">
                  <c:v>33.145161085633674</c:v>
                </c:pt>
                <c:pt idx="18">
                  <c:v>21.464712363482146</c:v>
                </c:pt>
                <c:pt idx="19">
                  <c:v>32.152751126824583</c:v>
                </c:pt>
                <c:pt idx="20">
                  <c:v>49.818421037951978</c:v>
                </c:pt>
                <c:pt idx="21">
                  <c:v>29.11102163048426</c:v>
                </c:pt>
                <c:pt idx="22">
                  <c:v>33.174003930812049</c:v>
                </c:pt>
                <c:pt idx="23">
                  <c:v>12.757874942477866</c:v>
                </c:pt>
                <c:pt idx="24">
                  <c:v>15.822204102688618</c:v>
                </c:pt>
                <c:pt idx="25">
                  <c:v>8.7215504169317661</c:v>
                </c:pt>
                <c:pt idx="26">
                  <c:v>14.366759212206873</c:v>
                </c:pt>
                <c:pt idx="27">
                  <c:v>9.3174461149367094</c:v>
                </c:pt>
                <c:pt idx="28">
                  <c:v>21.81653139184419</c:v>
                </c:pt>
                <c:pt idx="29">
                  <c:v>12.029060059090904</c:v>
                </c:pt>
                <c:pt idx="30">
                  <c:v>8.530506622731675</c:v>
                </c:pt>
                <c:pt idx="31">
                  <c:v>21.067581021634616</c:v>
                </c:pt>
                <c:pt idx="32">
                  <c:v>26.64829454920346</c:v>
                </c:pt>
                <c:pt idx="33">
                  <c:v>15.648999999999999</c:v>
                </c:pt>
                <c:pt idx="34">
                  <c:v>9.9482170047798721</c:v>
                </c:pt>
                <c:pt idx="35">
                  <c:v>14.298</c:v>
                </c:pt>
              </c:numCache>
            </c:numRef>
          </c:val>
          <c:smooth val="0"/>
        </c:ser>
        <c:ser>
          <c:idx val="1"/>
          <c:order val="1"/>
          <c:tx>
            <c:v>Hugh Smith Lake x 7.5</c:v>
          </c:tx>
          <c:spPr>
            <a:ln w="28575">
              <a:solidFill>
                <a:srgbClr val="FF0000"/>
              </a:solidFill>
              <a:prstDash val="solid"/>
            </a:ln>
          </c:spPr>
          <c:marker>
            <c:symbol val="circle"/>
            <c:size val="7"/>
            <c:spPr>
              <a:solidFill>
                <a:srgbClr val="FF0000"/>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River'!$N$11:$N$46</c:f>
              <c:numCache>
                <c:formatCode>#,##0</c:formatCode>
                <c:ptCount val="36"/>
                <c:pt idx="0">
                  <c:v>45.992985754411762</c:v>
                </c:pt>
                <c:pt idx="1">
                  <c:v>29.059782041934586</c:v>
                </c:pt>
                <c:pt idx="2">
                  <c:v>30.177463524451206</c:v>
                </c:pt>
                <c:pt idx="3">
                  <c:v>18.300475516646774</c:v>
                </c:pt>
                <c:pt idx="4">
                  <c:v>32.739320963760633</c:v>
                </c:pt>
                <c:pt idx="5">
                  <c:v>16.827999938076925</c:v>
                </c:pt>
                <c:pt idx="6">
                  <c:v>11.046310704545455</c:v>
                </c:pt>
                <c:pt idx="7">
                  <c:v>18.031111647058825</c:v>
                </c:pt>
                <c:pt idx="8">
                  <c:v>35.951998588235298</c:v>
                </c:pt>
                <c:pt idx="9">
                  <c:v>43.250755497807617</c:v>
                </c:pt>
                <c:pt idx="10">
                  <c:v>36.710112273569983</c:v>
                </c:pt>
                <c:pt idx="11">
                  <c:v>31.813517021511618</c:v>
                </c:pt>
                <c:pt idx="12">
                  <c:v>70.978189990283795</c:v>
                </c:pt>
                <c:pt idx="13">
                  <c:v>50.311431592780743</c:v>
                </c:pt>
                <c:pt idx="14">
                  <c:v>29.610149238692749</c:v>
                </c:pt>
                <c:pt idx="15">
                  <c:v>20.217030070040074</c:v>
                </c:pt>
                <c:pt idx="16">
                  <c:v>32.784504630517581</c:v>
                </c:pt>
                <c:pt idx="17">
                  <c:v>31.658867132025556</c:v>
                </c:pt>
                <c:pt idx="18">
                  <c:v>10.098217566410609</c:v>
                </c:pt>
                <c:pt idx="19">
                  <c:v>23.395573779690586</c:v>
                </c:pt>
                <c:pt idx="20">
                  <c:v>40.54460962322235</c:v>
                </c:pt>
                <c:pt idx="21">
                  <c:v>27.573017015461019</c:v>
                </c:pt>
                <c:pt idx="22">
                  <c:v>18.686687641571343</c:v>
                </c:pt>
                <c:pt idx="23">
                  <c:v>27.391618703231995</c:v>
                </c:pt>
                <c:pt idx="24">
                  <c:v>14.44410928838542</c:v>
                </c:pt>
                <c:pt idx="25">
                  <c:v>24.817920721130417</c:v>
                </c:pt>
                <c:pt idx="26">
                  <c:v>28.32</c:v>
                </c:pt>
                <c:pt idx="27">
                  <c:v>32.872500000000002</c:v>
                </c:pt>
                <c:pt idx="28">
                  <c:v>40.627499999999998</c:v>
                </c:pt>
                <c:pt idx="29">
                  <c:v>29.5275</c:v>
                </c:pt>
                <c:pt idx="30">
                  <c:v>31.2225</c:v>
                </c:pt>
                <c:pt idx="31">
                  <c:v>51.795000000000002</c:v>
                </c:pt>
                <c:pt idx="32">
                  <c:v>57.802500000000002</c:v>
                </c:pt>
                <c:pt idx="33">
                  <c:v>14.654999999999999</c:v>
                </c:pt>
                <c:pt idx="34">
                  <c:v>18.495000000000001</c:v>
                </c:pt>
                <c:pt idx="35">
                  <c:v>18.1875</c:v>
                </c:pt>
              </c:numCache>
            </c:numRef>
          </c:val>
          <c:smooth val="0"/>
        </c:ser>
        <c:ser>
          <c:idx val="2"/>
          <c:order val="2"/>
          <c:tx>
            <c:v>Chilkat River x 0.16</c:v>
          </c:tx>
          <c:spPr>
            <a:ln w="22225">
              <a:solidFill>
                <a:srgbClr val="0033CC"/>
              </a:solidFill>
              <a:prstDash val="sysDash"/>
            </a:ln>
          </c:spPr>
          <c:marker>
            <c:symbol val="none"/>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River'!$P$11:$P$46</c:f>
              <c:numCache>
                <c:formatCode>General</c:formatCode>
                <c:ptCount val="36"/>
                <c:pt idx="18" formatCode="#,##0">
                  <c:v>19.265109048067014</c:v>
                </c:pt>
                <c:pt idx="19" formatCode="#,##0">
                  <c:v>23.987891017406934</c:v>
                </c:pt>
                <c:pt idx="20" formatCode="#,##0">
                  <c:v>52.324121128297435</c:v>
                </c:pt>
                <c:pt idx="21" formatCode="#,##0">
                  <c:v>33.722020674225149</c:v>
                </c:pt>
                <c:pt idx="22" formatCode="#,##0">
                  <c:v>30.049156213759897</c:v>
                </c:pt>
                <c:pt idx="23" formatCode="#,##0">
                  <c:v>10.034391905398467</c:v>
                </c:pt>
                <c:pt idx="24" formatCode="#,##0">
                  <c:v>22.359456956808447</c:v>
                </c:pt>
                <c:pt idx="25" formatCode="#,##0">
                  <c:v>5.8898186843496836</c:v>
                </c:pt>
                <c:pt idx="26" formatCode="#,##0">
                  <c:v>16.643085506774476</c:v>
                </c:pt>
                <c:pt idx="27" formatCode="#,##0">
                  <c:v>12.019108439325134</c:v>
                </c:pt>
                <c:pt idx="28" formatCode="#,##0">
                  <c:v>23.753498703420401</c:v>
                </c:pt>
                <c:pt idx="29" formatCode="#,##0">
                  <c:v>15.039275720790464</c:v>
                </c:pt>
                <c:pt idx="30" formatCode="#,##0">
                  <c:v>10.018540028615398</c:v>
                </c:pt>
                <c:pt idx="31" formatCode="#,##0">
                  <c:v>18.704752898871369</c:v>
                </c:pt>
                <c:pt idx="32" formatCode="#,##0">
                  <c:v>24.077154012884407</c:v>
                </c:pt>
                <c:pt idx="33" formatCode="#,##0">
                  <c:v>11.052605660706998</c:v>
                </c:pt>
                <c:pt idx="34" formatCode="#,##0">
                  <c:v>6.2364053495484146</c:v>
                </c:pt>
                <c:pt idx="35" formatCode="#,##0">
                  <c:v>8.0870734885425346</c:v>
                </c:pt>
              </c:numCache>
            </c:numRef>
          </c:val>
          <c:smooth val="0"/>
        </c:ser>
        <c:ser>
          <c:idx val="3"/>
          <c:order val="3"/>
          <c:tx>
            <c:v>Babine x 1.1</c:v>
          </c:tx>
          <c:spPr>
            <a:ln w="38100">
              <a:solidFill>
                <a:srgbClr val="13DEE3"/>
              </a:solidFill>
              <a:prstDash val="sysDash"/>
            </a:ln>
          </c:spPr>
          <c:marker>
            <c:symbol val="none"/>
          </c:marker>
          <c:val>
            <c:numRef>
              <c:f>'Berners River'!$Z$11:$Z$47</c:f>
              <c:numCache>
                <c:formatCode>General</c:formatCode>
                <c:ptCount val="37"/>
                <c:pt idx="5" formatCode="#,##0">
                  <c:v>1379.3244919387334</c:v>
                </c:pt>
                <c:pt idx="6" formatCode="#,##0">
                  <c:v>1622.2486798268656</c:v>
                </c:pt>
                <c:pt idx="7" formatCode="#,##0">
                  <c:v>4204.5378411922857</c:v>
                </c:pt>
                <c:pt idx="8" formatCode="#,##0">
                  <c:v>5366.944688050382</c:v>
                </c:pt>
                <c:pt idx="9" formatCode="#,##0">
                  <c:v>3929.8879364858594</c:v>
                </c:pt>
                <c:pt idx="10" formatCode="#,##0">
                  <c:v>1487.1380505441748</c:v>
                </c:pt>
                <c:pt idx="11" formatCode="#,##0">
                  <c:v>1806.9115438605652</c:v>
                </c:pt>
                <c:pt idx="12" formatCode="#,##0">
                  <c:v>3048.9305427366025</c:v>
                </c:pt>
                <c:pt idx="13" formatCode="#,##0">
                  <c:v>1062.6332774702244</c:v>
                </c:pt>
                <c:pt idx="14" formatCode="#,##0">
                  <c:v>2464.8680457166429</c:v>
                </c:pt>
                <c:pt idx="15" formatCode="#,##0">
                  <c:v>263.64044612834203</c:v>
                </c:pt>
                <c:pt idx="16" formatCode="#,##0">
                  <c:v>1314.6390221687891</c:v>
                </c:pt>
                <c:pt idx="17" formatCode="#,##0">
                  <c:v>3903.8125286066115</c:v>
                </c:pt>
                <c:pt idx="18" formatCode="#,##0">
                  <c:v>692.31511053968723</c:v>
                </c:pt>
                <c:pt idx="19" formatCode="#,##0">
                  <c:v>5861.2551125187929</c:v>
                </c:pt>
                <c:pt idx="20" formatCode="#,##0">
                  <c:v>2855.2369318759761</c:v>
                </c:pt>
                <c:pt idx="21" formatCode="#,##0">
                  <c:v>2045.8096802949037</c:v>
                </c:pt>
                <c:pt idx="22" formatCode="#,##0">
                  <c:v>2686.2574879389167</c:v>
                </c:pt>
                <c:pt idx="23" formatCode="#,##0">
                  <c:v>6149.0347997739236</c:v>
                </c:pt>
                <c:pt idx="24" formatCode="#,##0">
                  <c:v>3787.4986598112432</c:v>
                </c:pt>
                <c:pt idx="25" formatCode="#,##0">
                  <c:v>2254.8117872562302</c:v>
                </c:pt>
                <c:pt idx="26" formatCode="#,##0">
                  <c:v>4223.115315911713</c:v>
                </c:pt>
                <c:pt idx="27" formatCode="#,##0">
                  <c:v>5269.8497811542093</c:v>
                </c:pt>
                <c:pt idx="28" formatCode="#,##0">
                  <c:v>2465.2126511650731</c:v>
                </c:pt>
                <c:pt idx="29" formatCode="#,##0">
                  <c:v>4048.8374961215131</c:v>
                </c:pt>
                <c:pt idx="30" formatCode="#,##0">
                  <c:v>3116.7744819837749</c:v>
                </c:pt>
                <c:pt idx="31" formatCode="#,##0">
                  <c:v>7131.6374595237858</c:v>
                </c:pt>
                <c:pt idx="32" formatCode="#,##0">
                  <c:v>5402.0008303025134</c:v>
                </c:pt>
                <c:pt idx="33" formatCode="#,##0">
                  <c:v>2478.8659564573863</c:v>
                </c:pt>
                <c:pt idx="34" formatCode="#,##0">
                  <c:v>2195.6741738017786</c:v>
                </c:pt>
                <c:pt idx="35" formatCode="#,##0">
                  <c:v>7544.3788234548338</c:v>
                </c:pt>
                <c:pt idx="36" formatCode="#,##0">
                  <c:v>2172.4424684362962</c:v>
                </c:pt>
              </c:numCache>
            </c:numRef>
          </c:val>
          <c:smooth val="0"/>
        </c:ser>
        <c:dLbls>
          <c:showLegendKey val="0"/>
          <c:showVal val="0"/>
          <c:showCatName val="0"/>
          <c:showSerName val="0"/>
          <c:showPercent val="0"/>
          <c:showBubbleSize val="0"/>
        </c:dLbls>
        <c:marker val="1"/>
        <c:smooth val="0"/>
        <c:axId val="214051840"/>
        <c:axId val="214058112"/>
      </c:lineChart>
      <c:catAx>
        <c:axId val="214051840"/>
        <c:scaling>
          <c:orientation val="minMax"/>
        </c:scaling>
        <c:delete val="0"/>
        <c:axPos val="b"/>
        <c:title>
          <c:tx>
            <c:rich>
              <a:bodyPr/>
              <a:lstStyle/>
              <a:p>
                <a:pPr>
                  <a:defRPr sz="1600" b="0" baseline="0"/>
                </a:pPr>
                <a:r>
                  <a:rPr lang="en-US" sz="1600" b="0" baseline="0"/>
                  <a:t>Year</a:t>
                </a:r>
              </a:p>
            </c:rich>
          </c:tx>
          <c:overlay val="0"/>
        </c:title>
        <c:numFmt formatCode="0" sourceLinked="1"/>
        <c:majorTickMark val="out"/>
        <c:minorTickMark val="none"/>
        <c:tickLblPos val="nextTo"/>
        <c:txPr>
          <a:bodyPr rot="-5400000" vert="horz"/>
          <a:lstStyle/>
          <a:p>
            <a:pPr>
              <a:defRPr sz="1100"/>
            </a:pPr>
            <a:endParaRPr lang="en-US"/>
          </a:p>
        </c:txPr>
        <c:crossAx val="214058112"/>
        <c:crosses val="autoZero"/>
        <c:auto val="1"/>
        <c:lblAlgn val="ctr"/>
        <c:lblOffset val="100"/>
        <c:noMultiLvlLbl val="0"/>
      </c:catAx>
      <c:valAx>
        <c:axId val="214058112"/>
        <c:scaling>
          <c:orientation val="minMax"/>
          <c:max val="75"/>
          <c:min val="0"/>
        </c:scaling>
        <c:delete val="0"/>
        <c:axPos val="l"/>
        <c:title>
          <c:tx>
            <c:rich>
              <a:bodyPr rot="-5400000" vert="horz"/>
              <a:lstStyle/>
              <a:p>
                <a:pPr>
                  <a:defRPr sz="1500" b="0" baseline="0"/>
                </a:pPr>
                <a:r>
                  <a:rPr lang="en-US" sz="1500" b="0" baseline="0"/>
                  <a:t>Indicator Stock Abundance (Thousands of Fish)</a:t>
                </a:r>
              </a:p>
            </c:rich>
          </c:tx>
          <c:layout>
            <c:manualLayout>
              <c:xMode val="edge"/>
              <c:yMode val="edge"/>
              <c:x val="8.5234418570979652E-3"/>
              <c:y val="0.1732399747932577"/>
            </c:manualLayout>
          </c:layout>
          <c:overlay val="0"/>
        </c:title>
        <c:numFmt formatCode="#,##0" sourceLinked="1"/>
        <c:majorTickMark val="out"/>
        <c:minorTickMark val="none"/>
        <c:tickLblPos val="nextTo"/>
        <c:txPr>
          <a:bodyPr/>
          <a:lstStyle/>
          <a:p>
            <a:pPr>
              <a:defRPr sz="1100"/>
            </a:pPr>
            <a:endParaRPr lang="en-US"/>
          </a:p>
        </c:txPr>
        <c:crossAx val="214051840"/>
        <c:crosses val="autoZero"/>
        <c:crossBetween val="between"/>
      </c:valAx>
    </c:plotArea>
    <c:legend>
      <c:legendPos val="r"/>
      <c:layout>
        <c:manualLayout>
          <c:xMode val="edge"/>
          <c:yMode val="edge"/>
          <c:x val="0.46577354912204139"/>
          <c:y val="0.13548147545836503"/>
          <c:w val="0.26224197910679486"/>
          <c:h val="0.1733230338042234"/>
        </c:manualLayout>
      </c:layout>
      <c:overlay val="0"/>
      <c:txPr>
        <a:bodyPr/>
        <a:lstStyle/>
        <a:p>
          <a:pPr>
            <a:defRPr sz="1400"/>
          </a:pPr>
          <a:endParaRPr lang="en-US"/>
        </a:p>
      </c:txPr>
    </c:legend>
    <c:plotVisOnly val="1"/>
    <c:dispBlanksAs val="gap"/>
    <c:showDLblsOverMax val="0"/>
  </c:chart>
  <c:spPr>
    <a:ln>
      <a:solidFill>
        <a:schemeClr val="tx1"/>
      </a:solid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30593544228025"/>
          <c:y val="5.2279455408908278E-2"/>
          <c:w val="0.74915492471335821"/>
          <c:h val="0.80841763212473794"/>
        </c:manualLayout>
      </c:layout>
      <c:lineChart>
        <c:grouping val="standard"/>
        <c:varyColors val="0"/>
        <c:ser>
          <c:idx val="0"/>
          <c:order val="0"/>
          <c:tx>
            <c:v>Berners River</c:v>
          </c:tx>
          <c:spPr>
            <a:ln w="53975">
              <a:solidFill>
                <a:schemeClr val="tx1"/>
              </a:solidFill>
              <a:prstDash val="sysDash"/>
            </a:ln>
          </c:spPr>
          <c:marker>
            <c:symbol val="none"/>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'Berners River'!$K$11:$K$47</c:f>
              <c:numCache>
                <c:formatCode>#,##0</c:formatCode>
                <c:ptCount val="37"/>
                <c:pt idx="0">
                  <c:v>32609.466443750003</c:v>
                </c:pt>
                <c:pt idx="1">
                  <c:v>34414.496114285736</c:v>
                </c:pt>
                <c:pt idx="3">
                  <c:v>24336.406934285711</c:v>
                </c:pt>
                <c:pt idx="4">
                  <c:v>24687.243790666638</c:v>
                </c:pt>
                <c:pt idx="5">
                  <c:v>13954.139353870971</c:v>
                </c:pt>
                <c:pt idx="6">
                  <c:v>15148.339939375004</c:v>
                </c:pt>
                <c:pt idx="7">
                  <c:v>19756.31947621622</c:v>
                </c:pt>
                <c:pt idx="8">
                  <c:v>33960.630254994816</c:v>
                </c:pt>
                <c:pt idx="9">
                  <c:v>34986.804854161077</c:v>
                </c:pt>
                <c:pt idx="10">
                  <c:v>45994.775120772909</c:v>
                </c:pt>
                <c:pt idx="11">
                  <c:v>49605.621649948291</c:v>
                </c:pt>
                <c:pt idx="12">
                  <c:v>73368.888401009244</c:v>
                </c:pt>
                <c:pt idx="13">
                  <c:v>28815.150686949062</c:v>
                </c:pt>
                <c:pt idx="14">
                  <c:v>23653.698673798015</c:v>
                </c:pt>
                <c:pt idx="15">
                  <c:v>15284.193293887598</c:v>
                </c:pt>
                <c:pt idx="16">
                  <c:v>23137.138818002408</c:v>
                </c:pt>
                <c:pt idx="17">
                  <c:v>33145.161085633677</c:v>
                </c:pt>
                <c:pt idx="18">
                  <c:v>21464.712363482147</c:v>
                </c:pt>
                <c:pt idx="19">
                  <c:v>32152.75112682458</c:v>
                </c:pt>
                <c:pt idx="20">
                  <c:v>49818.421037951979</c:v>
                </c:pt>
                <c:pt idx="21">
                  <c:v>29111.021630484258</c:v>
                </c:pt>
                <c:pt idx="22">
                  <c:v>33174.003930812047</c:v>
                </c:pt>
                <c:pt idx="23">
                  <c:v>12757.874942477865</c:v>
                </c:pt>
                <c:pt idx="24">
                  <c:v>15822.204102688618</c:v>
                </c:pt>
                <c:pt idx="25">
                  <c:v>8721.5504169317664</c:v>
                </c:pt>
                <c:pt idx="26">
                  <c:v>14366.759212206873</c:v>
                </c:pt>
                <c:pt idx="27">
                  <c:v>9317.4461149367089</c:v>
                </c:pt>
                <c:pt idx="28">
                  <c:v>21816.53139184419</c:v>
                </c:pt>
                <c:pt idx="29">
                  <c:v>12029.060059090903</c:v>
                </c:pt>
                <c:pt idx="30">
                  <c:v>8530.5066227316747</c:v>
                </c:pt>
                <c:pt idx="31">
                  <c:v>21067.581021634618</c:v>
                </c:pt>
                <c:pt idx="32">
                  <c:v>26648.29454920346</c:v>
                </c:pt>
                <c:pt idx="33">
                  <c:v>15649</c:v>
                </c:pt>
                <c:pt idx="34">
                  <c:v>9948.2170047798718</c:v>
                </c:pt>
                <c:pt idx="35">
                  <c:v>14298</c:v>
                </c:pt>
                <c:pt idx="36">
                  <c:v>7780</c:v>
                </c:pt>
              </c:numCache>
            </c:numRef>
          </c:val>
          <c:smooth val="0"/>
        </c:ser>
        <c:dLbls>
          <c:showLegendKey val="0"/>
          <c:showVal val="0"/>
          <c:showCatName val="0"/>
          <c:showSerName val="0"/>
          <c:showPercent val="0"/>
          <c:showBubbleSize val="0"/>
        </c:dLbls>
        <c:marker val="1"/>
        <c:smooth val="0"/>
        <c:axId val="214287488"/>
        <c:axId val="214289408"/>
      </c:lineChart>
      <c:lineChart>
        <c:grouping val="standard"/>
        <c:varyColors val="0"/>
        <c:ser>
          <c:idx val="1"/>
          <c:order val="1"/>
          <c:tx>
            <c:v>Hugh Smith Lake</c:v>
          </c:tx>
          <c:spPr>
            <a:ln w="53975">
              <a:solidFill>
                <a:srgbClr val="03A5ED"/>
              </a:solidFill>
              <a:prstDash val="sysDash"/>
            </a:ln>
          </c:spPr>
          <c:marker>
            <c:symbol val="circle"/>
            <c:size val="7"/>
            <c:spPr>
              <a:solidFill>
                <a:srgbClr val="7272FA"/>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HughSmith!$M$6:$M$42</c:f>
              <c:numCache>
                <c:formatCode>#,##0</c:formatCode>
                <c:ptCount val="37"/>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pt idx="36">
                  <c:v>1318</c:v>
                </c:pt>
              </c:numCache>
            </c:numRef>
          </c:val>
          <c:smooth val="0"/>
        </c:ser>
        <c:ser>
          <c:idx val="2"/>
          <c:order val="2"/>
          <c:tx>
            <c:v>Babine River x 0.2</c:v>
          </c:tx>
          <c:spPr>
            <a:ln w="57150">
              <a:solidFill>
                <a:srgbClr val="FF0000"/>
              </a:solidFill>
            </a:ln>
          </c:spPr>
          <c:marker>
            <c:symbol val="none"/>
          </c:marker>
          <c:dPt>
            <c:idx val="35"/>
            <c:bubble3D val="0"/>
            <c:spPr>
              <a:ln w="57150">
                <a:solidFill>
                  <a:srgbClr val="FF0000"/>
                </a:solidFill>
                <a:prstDash val="sysDash"/>
              </a:ln>
            </c:spPr>
          </c:dPt>
          <c:dPt>
            <c:idx val="36"/>
            <c:bubble3D val="0"/>
            <c:spPr>
              <a:ln w="57150">
                <a:solidFill>
                  <a:srgbClr val="FF0000"/>
                </a:solidFill>
                <a:prstDash val="sysDash"/>
              </a:ln>
            </c:spPr>
          </c:dPt>
          <c:val>
            <c:numRef>
              <c:f>'Berners River'!$Z$11:$Z$47</c:f>
              <c:numCache>
                <c:formatCode>General</c:formatCode>
                <c:ptCount val="37"/>
                <c:pt idx="5" formatCode="#,##0">
                  <c:v>1379.3244919387334</c:v>
                </c:pt>
                <c:pt idx="6" formatCode="#,##0">
                  <c:v>1622.2486798268656</c:v>
                </c:pt>
                <c:pt idx="7" formatCode="#,##0">
                  <c:v>4204.5378411922857</c:v>
                </c:pt>
                <c:pt idx="8" formatCode="#,##0">
                  <c:v>5366.944688050382</c:v>
                </c:pt>
                <c:pt idx="9" formatCode="#,##0">
                  <c:v>3929.8879364858594</c:v>
                </c:pt>
                <c:pt idx="10" formatCode="#,##0">
                  <c:v>1487.1380505441748</c:v>
                </c:pt>
                <c:pt idx="11" formatCode="#,##0">
                  <c:v>1806.9115438605652</c:v>
                </c:pt>
                <c:pt idx="12" formatCode="#,##0">
                  <c:v>3048.9305427366025</c:v>
                </c:pt>
                <c:pt idx="13" formatCode="#,##0">
                  <c:v>1062.6332774702244</c:v>
                </c:pt>
                <c:pt idx="14" formatCode="#,##0">
                  <c:v>2464.8680457166429</c:v>
                </c:pt>
                <c:pt idx="15" formatCode="#,##0">
                  <c:v>263.64044612834203</c:v>
                </c:pt>
                <c:pt idx="16" formatCode="#,##0">
                  <c:v>1314.6390221687891</c:v>
                </c:pt>
                <c:pt idx="17" formatCode="#,##0">
                  <c:v>3903.8125286066115</c:v>
                </c:pt>
                <c:pt idx="18" formatCode="#,##0">
                  <c:v>692.31511053968723</c:v>
                </c:pt>
                <c:pt idx="19" formatCode="#,##0">
                  <c:v>5861.2551125187929</c:v>
                </c:pt>
                <c:pt idx="20" formatCode="#,##0">
                  <c:v>2855.2369318759761</c:v>
                </c:pt>
                <c:pt idx="21" formatCode="#,##0">
                  <c:v>2045.8096802949037</c:v>
                </c:pt>
                <c:pt idx="22" formatCode="#,##0">
                  <c:v>2686.2574879389167</c:v>
                </c:pt>
                <c:pt idx="23" formatCode="#,##0">
                  <c:v>6149.0347997739236</c:v>
                </c:pt>
                <c:pt idx="24" formatCode="#,##0">
                  <c:v>3787.4986598112432</c:v>
                </c:pt>
                <c:pt idx="25" formatCode="#,##0">
                  <c:v>2254.8117872562302</c:v>
                </c:pt>
                <c:pt idx="26" formatCode="#,##0">
                  <c:v>4223.115315911713</c:v>
                </c:pt>
                <c:pt idx="27" formatCode="#,##0">
                  <c:v>5269.8497811542093</c:v>
                </c:pt>
                <c:pt idx="28" formatCode="#,##0">
                  <c:v>2465.2126511650731</c:v>
                </c:pt>
                <c:pt idx="29" formatCode="#,##0">
                  <c:v>4048.8374961215131</c:v>
                </c:pt>
                <c:pt idx="30" formatCode="#,##0">
                  <c:v>3116.7744819837749</c:v>
                </c:pt>
                <c:pt idx="31" formatCode="#,##0">
                  <c:v>7131.6374595237858</c:v>
                </c:pt>
                <c:pt idx="32" formatCode="#,##0">
                  <c:v>5402.0008303025134</c:v>
                </c:pt>
                <c:pt idx="33" formatCode="#,##0">
                  <c:v>2478.8659564573863</c:v>
                </c:pt>
                <c:pt idx="34" formatCode="#,##0">
                  <c:v>2195.6741738017786</c:v>
                </c:pt>
                <c:pt idx="35" formatCode="#,##0">
                  <c:v>7544.3788234548338</c:v>
                </c:pt>
                <c:pt idx="36" formatCode="#,##0">
                  <c:v>2172.4424684362962</c:v>
                </c:pt>
              </c:numCache>
            </c:numRef>
          </c:val>
          <c:smooth val="0"/>
        </c:ser>
        <c:dLbls>
          <c:showLegendKey val="0"/>
          <c:showVal val="0"/>
          <c:showCatName val="0"/>
          <c:showSerName val="0"/>
          <c:showPercent val="0"/>
          <c:showBubbleSize val="0"/>
        </c:dLbls>
        <c:marker val="1"/>
        <c:smooth val="0"/>
        <c:axId val="214299776"/>
        <c:axId val="214301312"/>
      </c:lineChart>
      <c:catAx>
        <c:axId val="214287488"/>
        <c:scaling>
          <c:orientation val="minMax"/>
        </c:scaling>
        <c:delete val="0"/>
        <c:axPos val="b"/>
        <c:title>
          <c:tx>
            <c:rich>
              <a:bodyPr/>
              <a:lstStyle/>
              <a:p>
                <a:pPr>
                  <a:defRPr sz="1800" b="0" baseline="0"/>
                </a:pPr>
                <a:r>
                  <a:rPr lang="en-US" sz="1800" b="0" baseline="0"/>
                  <a:t>Year</a:t>
                </a:r>
              </a:p>
            </c:rich>
          </c:tx>
          <c:layout>
            <c:manualLayout>
              <c:xMode val="edge"/>
              <c:yMode val="edge"/>
              <c:x val="0.47481949624717962"/>
              <c:y val="0.93991817733352478"/>
            </c:manualLayout>
          </c:layout>
          <c:overlay val="0"/>
        </c:title>
        <c:numFmt formatCode="0" sourceLinked="1"/>
        <c:majorTickMark val="out"/>
        <c:minorTickMark val="none"/>
        <c:tickLblPos val="nextTo"/>
        <c:spPr>
          <a:ln w="15875">
            <a:solidFill>
              <a:schemeClr val="tx1"/>
            </a:solidFill>
          </a:ln>
        </c:spPr>
        <c:txPr>
          <a:bodyPr rot="-5400000" vert="horz"/>
          <a:lstStyle/>
          <a:p>
            <a:pPr>
              <a:defRPr sz="1200"/>
            </a:pPr>
            <a:endParaRPr lang="en-US"/>
          </a:p>
        </c:txPr>
        <c:crossAx val="214289408"/>
        <c:crosses val="autoZero"/>
        <c:auto val="1"/>
        <c:lblAlgn val="ctr"/>
        <c:lblOffset val="100"/>
        <c:noMultiLvlLbl val="0"/>
      </c:catAx>
      <c:valAx>
        <c:axId val="214289408"/>
        <c:scaling>
          <c:orientation val="minMax"/>
          <c:max val="78580.5"/>
          <c:min val="0"/>
        </c:scaling>
        <c:delete val="0"/>
        <c:axPos val="l"/>
        <c:title>
          <c:tx>
            <c:rich>
              <a:bodyPr rot="-5400000" vert="horz"/>
              <a:lstStyle/>
              <a:p>
                <a:pPr>
                  <a:defRPr sz="1800" b="0" baseline="0"/>
                </a:pPr>
                <a:r>
                  <a:rPr lang="en-US" sz="1800" b="0" baseline="0"/>
                  <a:t>Berners River (Number of Fish)</a:t>
                </a:r>
              </a:p>
            </c:rich>
          </c:tx>
          <c:layout>
            <c:manualLayout>
              <c:xMode val="edge"/>
              <c:yMode val="edge"/>
              <c:x val="1.4393677763963717E-2"/>
              <c:y val="0.18332466141108236"/>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214287488"/>
        <c:crosses val="autoZero"/>
        <c:crossBetween val="between"/>
      </c:valAx>
      <c:catAx>
        <c:axId val="214299776"/>
        <c:scaling>
          <c:orientation val="minMax"/>
        </c:scaling>
        <c:delete val="1"/>
        <c:axPos val="b"/>
        <c:numFmt formatCode="0" sourceLinked="1"/>
        <c:majorTickMark val="out"/>
        <c:minorTickMark val="none"/>
        <c:tickLblPos val="none"/>
        <c:crossAx val="214301312"/>
        <c:crosses val="autoZero"/>
        <c:auto val="1"/>
        <c:lblAlgn val="ctr"/>
        <c:lblOffset val="100"/>
        <c:noMultiLvlLbl val="0"/>
      </c:catAx>
      <c:valAx>
        <c:axId val="214301312"/>
        <c:scaling>
          <c:orientation val="minMax"/>
          <c:max val="10000"/>
          <c:min val="0"/>
        </c:scaling>
        <c:delete val="0"/>
        <c:axPos val="r"/>
        <c:title>
          <c:tx>
            <c:rich>
              <a:bodyPr rot="-5400000" vert="horz"/>
              <a:lstStyle/>
              <a:p>
                <a:pPr>
                  <a:defRPr sz="1800" b="0" baseline="0"/>
                </a:pPr>
                <a:r>
                  <a:rPr lang="en-US" sz="1800" b="0" baseline="0"/>
                  <a:t>Hugh Smith &amp; Babine (Number of Fish)</a:t>
                </a:r>
              </a:p>
            </c:rich>
          </c:tx>
          <c:layout>
            <c:manualLayout>
              <c:xMode val="edge"/>
              <c:yMode val="edge"/>
              <c:x val="0.94844016208500248"/>
              <c:y val="9.9486384800784033E-2"/>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214299776"/>
        <c:crosses val="max"/>
        <c:crossBetween val="between"/>
      </c:valAx>
      <c:spPr>
        <a:noFill/>
        <a:ln>
          <a:noFill/>
        </a:ln>
      </c:spPr>
    </c:plotArea>
    <c:legend>
      <c:legendPos val="r"/>
      <c:layout>
        <c:manualLayout>
          <c:xMode val="edge"/>
          <c:yMode val="edge"/>
          <c:x val="0.48652561812126427"/>
          <c:y val="5.5336268304152635E-2"/>
          <c:w val="0.27228841460606895"/>
          <c:h val="0.16522940033109138"/>
        </c:manualLayout>
      </c:layout>
      <c:overlay val="0"/>
      <c:txPr>
        <a:bodyPr/>
        <a:lstStyle/>
        <a:p>
          <a:pPr>
            <a:defRPr sz="1800"/>
          </a:pPr>
          <a:endParaRPr lang="en-US"/>
        </a:p>
      </c:txPr>
    </c:legend>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30593544228025"/>
          <c:y val="5.2279455408908278E-2"/>
          <c:w val="0.74915492471335821"/>
          <c:h val="0.80841763212473794"/>
        </c:manualLayout>
      </c:layout>
      <c:lineChart>
        <c:grouping val="standard"/>
        <c:varyColors val="0"/>
        <c:ser>
          <c:idx val="0"/>
          <c:order val="0"/>
          <c:tx>
            <c:v>Berners River</c:v>
          </c:tx>
          <c:spPr>
            <a:ln w="53975">
              <a:solidFill>
                <a:schemeClr val="tx1"/>
              </a:solidFill>
              <a:prstDash val="sysDash"/>
            </a:ln>
          </c:spPr>
          <c:marker>
            <c:symbol val="none"/>
          </c:marker>
          <c:cat>
            <c:numRef>
              <c:f>'Berners River'!$A$11:$A$47</c:f>
              <c:numCache>
                <c:formatCode>0</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'Berners River'!$K$11:$K$47</c:f>
              <c:numCache>
                <c:formatCode>#,##0</c:formatCode>
                <c:ptCount val="37"/>
                <c:pt idx="0">
                  <c:v>32609.466443750003</c:v>
                </c:pt>
                <c:pt idx="1">
                  <c:v>34414.496114285736</c:v>
                </c:pt>
                <c:pt idx="3">
                  <c:v>24336.406934285711</c:v>
                </c:pt>
                <c:pt idx="4">
                  <c:v>24687.243790666638</c:v>
                </c:pt>
                <c:pt idx="5">
                  <c:v>13954.139353870971</c:v>
                </c:pt>
                <c:pt idx="6">
                  <c:v>15148.339939375004</c:v>
                </c:pt>
                <c:pt idx="7">
                  <c:v>19756.31947621622</c:v>
                </c:pt>
                <c:pt idx="8">
                  <c:v>33960.630254994816</c:v>
                </c:pt>
                <c:pt idx="9">
                  <c:v>34986.804854161077</c:v>
                </c:pt>
                <c:pt idx="10">
                  <c:v>45994.775120772909</c:v>
                </c:pt>
                <c:pt idx="11">
                  <c:v>49605.621649948291</c:v>
                </c:pt>
                <c:pt idx="12">
                  <c:v>73368.888401009244</c:v>
                </c:pt>
                <c:pt idx="13">
                  <c:v>28815.150686949062</c:v>
                </c:pt>
                <c:pt idx="14">
                  <c:v>23653.698673798015</c:v>
                </c:pt>
                <c:pt idx="15">
                  <c:v>15284.193293887598</c:v>
                </c:pt>
                <c:pt idx="16">
                  <c:v>23137.138818002408</c:v>
                </c:pt>
                <c:pt idx="17">
                  <c:v>33145.161085633677</c:v>
                </c:pt>
                <c:pt idx="18">
                  <c:v>21464.712363482147</c:v>
                </c:pt>
                <c:pt idx="19">
                  <c:v>32152.75112682458</c:v>
                </c:pt>
                <c:pt idx="20">
                  <c:v>49818.421037951979</c:v>
                </c:pt>
                <c:pt idx="21">
                  <c:v>29111.021630484258</c:v>
                </c:pt>
                <c:pt idx="22">
                  <c:v>33174.003930812047</c:v>
                </c:pt>
                <c:pt idx="23">
                  <c:v>12757.874942477865</c:v>
                </c:pt>
                <c:pt idx="24">
                  <c:v>15822.204102688618</c:v>
                </c:pt>
                <c:pt idx="25">
                  <c:v>8721.5504169317664</c:v>
                </c:pt>
                <c:pt idx="26">
                  <c:v>14366.759212206873</c:v>
                </c:pt>
                <c:pt idx="27">
                  <c:v>9317.4461149367089</c:v>
                </c:pt>
                <c:pt idx="28">
                  <c:v>21816.53139184419</c:v>
                </c:pt>
                <c:pt idx="29">
                  <c:v>12029.060059090903</c:v>
                </c:pt>
                <c:pt idx="30">
                  <c:v>8530.5066227316747</c:v>
                </c:pt>
                <c:pt idx="31">
                  <c:v>21067.581021634618</c:v>
                </c:pt>
                <c:pt idx="32">
                  <c:v>26648.29454920346</c:v>
                </c:pt>
                <c:pt idx="33">
                  <c:v>15649</c:v>
                </c:pt>
                <c:pt idx="34">
                  <c:v>9948.2170047798718</c:v>
                </c:pt>
                <c:pt idx="35">
                  <c:v>14298</c:v>
                </c:pt>
                <c:pt idx="36">
                  <c:v>7780</c:v>
                </c:pt>
              </c:numCache>
            </c:numRef>
          </c:val>
          <c:smooth val="0"/>
        </c:ser>
        <c:dLbls>
          <c:showLegendKey val="0"/>
          <c:showVal val="0"/>
          <c:showCatName val="0"/>
          <c:showSerName val="0"/>
          <c:showPercent val="0"/>
          <c:showBubbleSize val="0"/>
        </c:dLbls>
        <c:marker val="1"/>
        <c:smooth val="0"/>
        <c:axId val="214131072"/>
        <c:axId val="214133376"/>
      </c:lineChart>
      <c:lineChart>
        <c:grouping val="standard"/>
        <c:varyColors val="0"/>
        <c:ser>
          <c:idx val="1"/>
          <c:order val="1"/>
          <c:tx>
            <c:v>Hugh Smith Lake</c:v>
          </c:tx>
          <c:spPr>
            <a:ln w="53975">
              <a:solidFill>
                <a:srgbClr val="03A5ED"/>
              </a:solidFill>
              <a:prstDash val="sysDash"/>
            </a:ln>
          </c:spPr>
          <c:marker>
            <c:symbol val="circle"/>
            <c:size val="7"/>
            <c:spPr>
              <a:solidFill>
                <a:srgbClr val="7272FA"/>
              </a:solidFill>
              <a:ln w="12700">
                <a:solidFill>
                  <a:schemeClr val="tx1"/>
                </a:solidFill>
              </a:ln>
            </c:spPr>
          </c:marker>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HughSmith!$M$6:$M$42</c:f>
              <c:numCache>
                <c:formatCode>#,##0</c:formatCode>
                <c:ptCount val="37"/>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pt idx="36">
                  <c:v>1318</c:v>
                </c:pt>
              </c:numCache>
            </c:numRef>
          </c:val>
          <c:smooth val="0"/>
        </c:ser>
        <c:dLbls>
          <c:showLegendKey val="0"/>
          <c:showVal val="0"/>
          <c:showCatName val="0"/>
          <c:showSerName val="0"/>
          <c:showPercent val="0"/>
          <c:showBubbleSize val="0"/>
        </c:dLbls>
        <c:marker val="1"/>
        <c:smooth val="0"/>
        <c:axId val="214143744"/>
        <c:axId val="214145280"/>
      </c:lineChart>
      <c:catAx>
        <c:axId val="214131072"/>
        <c:scaling>
          <c:orientation val="minMax"/>
        </c:scaling>
        <c:delete val="0"/>
        <c:axPos val="b"/>
        <c:title>
          <c:tx>
            <c:rich>
              <a:bodyPr/>
              <a:lstStyle/>
              <a:p>
                <a:pPr>
                  <a:defRPr sz="1800" b="0" baseline="0"/>
                </a:pPr>
                <a:r>
                  <a:rPr lang="en-US" sz="1800" b="0" baseline="0"/>
                  <a:t>Year</a:t>
                </a:r>
              </a:p>
            </c:rich>
          </c:tx>
          <c:layout>
            <c:manualLayout>
              <c:xMode val="edge"/>
              <c:yMode val="edge"/>
              <c:x val="0.47481949624717962"/>
              <c:y val="0.93991817733352478"/>
            </c:manualLayout>
          </c:layout>
          <c:overlay val="0"/>
        </c:title>
        <c:numFmt formatCode="0" sourceLinked="1"/>
        <c:majorTickMark val="out"/>
        <c:minorTickMark val="none"/>
        <c:tickLblPos val="nextTo"/>
        <c:spPr>
          <a:ln w="15875">
            <a:solidFill>
              <a:schemeClr val="tx1"/>
            </a:solidFill>
          </a:ln>
        </c:spPr>
        <c:txPr>
          <a:bodyPr rot="-5400000" vert="horz"/>
          <a:lstStyle/>
          <a:p>
            <a:pPr>
              <a:defRPr sz="1200"/>
            </a:pPr>
            <a:endParaRPr lang="en-US"/>
          </a:p>
        </c:txPr>
        <c:crossAx val="214133376"/>
        <c:crosses val="autoZero"/>
        <c:auto val="1"/>
        <c:lblAlgn val="ctr"/>
        <c:lblOffset val="100"/>
        <c:noMultiLvlLbl val="0"/>
      </c:catAx>
      <c:valAx>
        <c:axId val="214133376"/>
        <c:scaling>
          <c:orientation val="minMax"/>
          <c:max val="78580.5"/>
          <c:min val="0"/>
        </c:scaling>
        <c:delete val="0"/>
        <c:axPos val="l"/>
        <c:title>
          <c:tx>
            <c:rich>
              <a:bodyPr rot="-5400000" vert="horz"/>
              <a:lstStyle/>
              <a:p>
                <a:pPr>
                  <a:defRPr sz="1800" b="0" baseline="0"/>
                </a:pPr>
                <a:r>
                  <a:rPr lang="en-US" sz="1800" b="0" baseline="0"/>
                  <a:t>Berners River (Number of Fish)</a:t>
                </a:r>
              </a:p>
            </c:rich>
          </c:tx>
          <c:layout>
            <c:manualLayout>
              <c:xMode val="edge"/>
              <c:yMode val="edge"/>
              <c:x val="1.4393677763963717E-2"/>
              <c:y val="0.18332466141108236"/>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214131072"/>
        <c:crosses val="autoZero"/>
        <c:crossBetween val="between"/>
      </c:valAx>
      <c:catAx>
        <c:axId val="214143744"/>
        <c:scaling>
          <c:orientation val="minMax"/>
        </c:scaling>
        <c:delete val="1"/>
        <c:axPos val="b"/>
        <c:numFmt formatCode="0" sourceLinked="1"/>
        <c:majorTickMark val="out"/>
        <c:minorTickMark val="none"/>
        <c:tickLblPos val="none"/>
        <c:crossAx val="214145280"/>
        <c:crosses val="autoZero"/>
        <c:auto val="1"/>
        <c:lblAlgn val="ctr"/>
        <c:lblOffset val="100"/>
        <c:noMultiLvlLbl val="0"/>
      </c:catAx>
      <c:valAx>
        <c:axId val="214145280"/>
        <c:scaling>
          <c:orientation val="minMax"/>
          <c:max val="10000"/>
          <c:min val="0"/>
        </c:scaling>
        <c:delete val="0"/>
        <c:axPos val="r"/>
        <c:title>
          <c:tx>
            <c:rich>
              <a:bodyPr rot="-5400000" vert="horz"/>
              <a:lstStyle/>
              <a:p>
                <a:pPr>
                  <a:defRPr sz="1800" b="0" baseline="0"/>
                </a:pPr>
                <a:r>
                  <a:rPr lang="en-US" sz="1800" b="0" baseline="0"/>
                  <a:t>Hugh Smith Lake (Number of Fish)</a:t>
                </a:r>
              </a:p>
            </c:rich>
          </c:tx>
          <c:layout>
            <c:manualLayout>
              <c:xMode val="edge"/>
              <c:yMode val="edge"/>
              <c:x val="0.94844016208500248"/>
              <c:y val="9.9486384800784033E-2"/>
            </c:manualLayout>
          </c:layout>
          <c:overlay val="0"/>
        </c:title>
        <c:numFmt formatCode="#,##0" sourceLinked="1"/>
        <c:majorTickMark val="out"/>
        <c:minorTickMark val="none"/>
        <c:tickLblPos val="nextTo"/>
        <c:spPr>
          <a:ln w="15875">
            <a:solidFill>
              <a:schemeClr val="tx1"/>
            </a:solidFill>
          </a:ln>
        </c:spPr>
        <c:txPr>
          <a:bodyPr/>
          <a:lstStyle/>
          <a:p>
            <a:pPr>
              <a:defRPr sz="1200"/>
            </a:pPr>
            <a:endParaRPr lang="en-US"/>
          </a:p>
        </c:txPr>
        <c:crossAx val="214143744"/>
        <c:crosses val="max"/>
        <c:crossBetween val="between"/>
      </c:valAx>
      <c:spPr>
        <a:noFill/>
        <a:ln>
          <a:noFill/>
        </a:ln>
      </c:spPr>
    </c:plotArea>
    <c:legend>
      <c:legendPos val="r"/>
      <c:layout>
        <c:manualLayout>
          <c:xMode val="edge"/>
          <c:yMode val="edge"/>
          <c:x val="0.48652561812126427"/>
          <c:y val="7.2622153018190347E-2"/>
          <c:w val="0.27228841460606895"/>
          <c:h val="0.12849690385305093"/>
        </c:manualLayout>
      </c:layout>
      <c:overlay val="0"/>
      <c:txPr>
        <a:bodyPr/>
        <a:lstStyle/>
        <a:p>
          <a:pPr>
            <a:defRPr sz="1800"/>
          </a:pPr>
          <a:endParaRPr lang="en-US"/>
        </a:p>
      </c:txPr>
    </c:legend>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c:pageMargins b="0.75" l="0.7" r="0.7" t="0.75" header="0.3" footer="0.3"/>
    <c:pageSetup orientation="landscape"/>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dLbls>
          <c:showLegendKey val="0"/>
          <c:showVal val="0"/>
          <c:showCatName val="0"/>
          <c:showSerName val="0"/>
          <c:showPercent val="0"/>
          <c:showBubbleSize val="0"/>
        </c:dLbls>
        <c:marker val="1"/>
        <c:smooth val="0"/>
        <c:axId val="214169088"/>
        <c:axId val="214170624"/>
      </c:lineChart>
      <c:catAx>
        <c:axId val="214169088"/>
        <c:scaling>
          <c:orientation val="minMax"/>
        </c:scaling>
        <c:delete val="0"/>
        <c:axPos val="b"/>
        <c:majorTickMark val="out"/>
        <c:minorTickMark val="none"/>
        <c:tickLblPos val="nextTo"/>
        <c:crossAx val="214170624"/>
        <c:crosses val="autoZero"/>
        <c:auto val="1"/>
        <c:lblAlgn val="ctr"/>
        <c:lblOffset val="100"/>
        <c:noMultiLvlLbl val="0"/>
      </c:catAx>
      <c:valAx>
        <c:axId val="214170624"/>
        <c:scaling>
          <c:orientation val="minMax"/>
        </c:scaling>
        <c:delete val="0"/>
        <c:axPos val="l"/>
        <c:majorGridlines/>
        <c:numFmt formatCode="General" sourceLinked="1"/>
        <c:majorTickMark val="out"/>
        <c:minorTickMark val="none"/>
        <c:tickLblPos val="nextTo"/>
        <c:crossAx val="2141690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cat>
            <c:numRef>
              <c:f>'Berners River'!$A$156:$A$170</c:f>
              <c:numCache>
                <c:formatCode>0</c:formatCode>
                <c:ptCount val="15"/>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numCache>
            </c:numRef>
          </c:cat>
          <c:val>
            <c:numRef>
              <c:f>'Berners River'!$R$117:$R$131</c:f>
              <c:numCache>
                <c:formatCode>0.000</c:formatCode>
                <c:ptCount val="15"/>
                <c:pt idx="0">
                  <c:v>0.68122898319582204</c:v>
                </c:pt>
                <c:pt idx="1">
                  <c:v>0.54888536360483309</c:v>
                </c:pt>
                <c:pt idx="2">
                  <c:v>1.5094261403588209</c:v>
                </c:pt>
                <c:pt idx="3">
                  <c:v>0.56791867540882934</c:v>
                </c:pt>
                <c:pt idx="4">
                  <c:v>0.89458079765786347</c:v>
                </c:pt>
                <c:pt idx="5">
                  <c:v>0.72583359343755072</c:v>
                </c:pt>
                <c:pt idx="6">
                  <c:v>1.1250617371009957</c:v>
                </c:pt>
                <c:pt idx="7">
                  <c:v>0.51055581279064166</c:v>
                </c:pt>
                <c:pt idx="8">
                  <c:v>0.44847893632026459</c:v>
                </c:pt>
                <c:pt idx="9">
                  <c:v>0.83623332168743403</c:v>
                </c:pt>
                <c:pt idx="10">
                  <c:v>1.4510692456939589</c:v>
                </c:pt>
                <c:pt idx="11">
                  <c:v>0.5275190516511431</c:v>
                </c:pt>
                <c:pt idx="12">
                  <c:v>2.3903544761487172</c:v>
                </c:pt>
                <c:pt idx="13">
                  <c:v>0.38294051627384962</c:v>
                </c:pt>
                <c:pt idx="14">
                  <c:v>2.7773689052437902</c:v>
                </c:pt>
              </c:numCache>
            </c:numRef>
          </c:val>
        </c:ser>
        <c:dLbls>
          <c:showLegendKey val="0"/>
          <c:showVal val="0"/>
          <c:showCatName val="0"/>
          <c:showSerName val="0"/>
          <c:showPercent val="0"/>
          <c:showBubbleSize val="0"/>
        </c:dLbls>
        <c:gapWidth val="150"/>
        <c:overlap val="100"/>
        <c:axId val="214182528"/>
        <c:axId val="214208896"/>
      </c:barChart>
      <c:catAx>
        <c:axId val="214182528"/>
        <c:scaling>
          <c:orientation val="minMax"/>
        </c:scaling>
        <c:delete val="0"/>
        <c:axPos val="b"/>
        <c:numFmt formatCode="0" sourceLinked="1"/>
        <c:majorTickMark val="out"/>
        <c:minorTickMark val="none"/>
        <c:tickLblPos val="nextTo"/>
        <c:crossAx val="214208896"/>
        <c:crosses val="autoZero"/>
        <c:auto val="1"/>
        <c:lblAlgn val="ctr"/>
        <c:lblOffset val="100"/>
        <c:noMultiLvlLbl val="0"/>
      </c:catAx>
      <c:valAx>
        <c:axId val="214208896"/>
        <c:scaling>
          <c:orientation val="minMax"/>
        </c:scaling>
        <c:delete val="0"/>
        <c:axPos val="l"/>
        <c:majorGridlines/>
        <c:numFmt formatCode="0.000" sourceLinked="1"/>
        <c:majorTickMark val="out"/>
        <c:minorTickMark val="none"/>
        <c:tickLblPos val="nextTo"/>
        <c:crossAx val="2141825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9002405949256338E-2"/>
          <c:y val="5.0870651477843622E-2"/>
          <c:w val="0.83685958005249339"/>
          <c:h val="0.79418351056633385"/>
        </c:manualLayout>
      </c:layout>
      <c:barChart>
        <c:barDir val="col"/>
        <c:grouping val="stacked"/>
        <c:varyColors val="0"/>
        <c:ser>
          <c:idx val="0"/>
          <c:order val="0"/>
          <c:tx>
            <c:v>Troll-to-Gllnet Ratio</c:v>
          </c:tx>
          <c:invertIfNegative val="0"/>
          <c:cat>
            <c:numRef>
              <c:f>'Berners River'!$A$156:$A$170</c:f>
              <c:numCache>
                <c:formatCode>0</c:formatCode>
                <c:ptCount val="15"/>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numCache>
            </c:numRef>
          </c:cat>
          <c:val>
            <c:numRef>
              <c:f>'Berners River'!$Q$117:$Q$131</c:f>
              <c:numCache>
                <c:formatCode>General</c:formatCode>
                <c:ptCount val="15"/>
                <c:pt idx="0">
                  <c:v>1.4679351945783932</c:v>
                </c:pt>
                <c:pt idx="1">
                  <c:v>1.8218740493141377</c:v>
                </c:pt>
                <c:pt idx="2">
                  <c:v>0.66250343310092663</c:v>
                </c:pt>
                <c:pt idx="3">
                  <c:v>1.7608154887319509</c:v>
                </c:pt>
                <c:pt idx="4">
                  <c:v>1.1178420133968208</c:v>
                </c:pt>
                <c:pt idx="5">
                  <c:v>1.3777262571493778</c:v>
                </c:pt>
                <c:pt idx="6">
                  <c:v>0.888840111634008</c:v>
                </c:pt>
                <c:pt idx="7">
                  <c:v>1.9586497204568301</c:v>
                </c:pt>
                <c:pt idx="8">
                  <c:v>2.2297591235943512</c:v>
                </c:pt>
                <c:pt idx="9">
                  <c:v>1.1958384987363353</c:v>
                </c:pt>
                <c:pt idx="10">
                  <c:v>0.68914698796593976</c:v>
                </c:pt>
                <c:pt idx="11">
                  <c:v>1.8956661316211878</c:v>
                </c:pt>
                <c:pt idx="12">
                  <c:v>0.41834799398086614</c:v>
                </c:pt>
                <c:pt idx="13">
                  <c:v>2.61137162954279</c:v>
                </c:pt>
                <c:pt idx="14">
                  <c:v>0.36005299768135146</c:v>
                </c:pt>
              </c:numCache>
            </c:numRef>
          </c:val>
        </c:ser>
        <c:dLbls>
          <c:showLegendKey val="0"/>
          <c:showVal val="0"/>
          <c:showCatName val="0"/>
          <c:showSerName val="0"/>
          <c:showPercent val="0"/>
          <c:showBubbleSize val="0"/>
        </c:dLbls>
        <c:gapWidth val="150"/>
        <c:overlap val="100"/>
        <c:axId val="214435712"/>
        <c:axId val="214437248"/>
      </c:barChart>
      <c:lineChart>
        <c:grouping val="standard"/>
        <c:varyColors val="0"/>
        <c:ser>
          <c:idx val="1"/>
          <c:order val="1"/>
          <c:marker>
            <c:symbol val="none"/>
          </c:marker>
          <c:val>
            <c:numRef>
              <c:f>'Berners River'!$W$214:$W$228</c:f>
              <c:numCache>
                <c:formatCode>0</c:formatCode>
                <c:ptCount val="15"/>
                <c:pt idx="0">
                  <c:v>646.64301921190258</c:v>
                </c:pt>
                <c:pt idx="1">
                  <c:v>610.588456891997</c:v>
                </c:pt>
                <c:pt idx="2">
                  <c:v>644.59503017691941</c:v>
                </c:pt>
                <c:pt idx="3">
                  <c:v>597.31918568901938</c:v>
                </c:pt>
                <c:pt idx="4">
                  <c:v>647.28192324010456</c:v>
                </c:pt>
                <c:pt idx="5">
                  <c:v>604.62836538900001</c:v>
                </c:pt>
                <c:pt idx="6">
                  <c:v>623.78375620030931</c:v>
                </c:pt>
                <c:pt idx="7">
                  <c:v>589.16803382934904</c:v>
                </c:pt>
                <c:pt idx="8">
                  <c:v>600.37051688852978</c:v>
                </c:pt>
                <c:pt idx="9">
                  <c:v>607.0879173234805</c:v>
                </c:pt>
                <c:pt idx="10">
                  <c:v>622.94987463648783</c:v>
                </c:pt>
                <c:pt idx="11">
                  <c:v>617.55399884912299</c:v>
                </c:pt>
                <c:pt idx="12">
                  <c:v>646.2210831813893</c:v>
                </c:pt>
                <c:pt idx="13">
                  <c:v>592.11657837994994</c:v>
                </c:pt>
                <c:pt idx="14">
                  <c:v>646.2210831813893</c:v>
                </c:pt>
              </c:numCache>
            </c:numRef>
          </c:val>
          <c:smooth val="0"/>
        </c:ser>
        <c:dLbls>
          <c:showLegendKey val="0"/>
          <c:showVal val="0"/>
          <c:showCatName val="0"/>
          <c:showSerName val="0"/>
          <c:showPercent val="0"/>
          <c:showBubbleSize val="0"/>
        </c:dLbls>
        <c:marker val="1"/>
        <c:smooth val="0"/>
        <c:axId val="214440576"/>
        <c:axId val="214439040"/>
      </c:lineChart>
      <c:catAx>
        <c:axId val="214435712"/>
        <c:scaling>
          <c:orientation val="minMax"/>
        </c:scaling>
        <c:delete val="0"/>
        <c:axPos val="b"/>
        <c:numFmt formatCode="0" sourceLinked="1"/>
        <c:majorTickMark val="out"/>
        <c:minorTickMark val="none"/>
        <c:tickLblPos val="nextTo"/>
        <c:txPr>
          <a:bodyPr rot="-5400000" vert="horz"/>
          <a:lstStyle/>
          <a:p>
            <a:pPr>
              <a:defRPr/>
            </a:pPr>
            <a:endParaRPr lang="en-US"/>
          </a:p>
        </c:txPr>
        <c:crossAx val="214437248"/>
        <c:crosses val="autoZero"/>
        <c:auto val="1"/>
        <c:lblAlgn val="ctr"/>
        <c:lblOffset val="100"/>
        <c:noMultiLvlLbl val="0"/>
      </c:catAx>
      <c:valAx>
        <c:axId val="214437248"/>
        <c:scaling>
          <c:orientation val="minMax"/>
        </c:scaling>
        <c:delete val="0"/>
        <c:axPos val="l"/>
        <c:numFmt formatCode="General" sourceLinked="1"/>
        <c:majorTickMark val="out"/>
        <c:minorTickMark val="none"/>
        <c:tickLblPos val="nextTo"/>
        <c:crossAx val="214435712"/>
        <c:crosses val="autoZero"/>
        <c:crossBetween val="between"/>
      </c:valAx>
      <c:valAx>
        <c:axId val="214439040"/>
        <c:scaling>
          <c:orientation val="minMax"/>
          <c:max val="660"/>
          <c:min val="590"/>
        </c:scaling>
        <c:delete val="0"/>
        <c:axPos val="r"/>
        <c:numFmt formatCode="0" sourceLinked="1"/>
        <c:majorTickMark val="out"/>
        <c:minorTickMark val="none"/>
        <c:tickLblPos val="nextTo"/>
        <c:crossAx val="214440576"/>
        <c:crosses val="max"/>
        <c:crossBetween val="between"/>
      </c:valAx>
      <c:catAx>
        <c:axId val="214440576"/>
        <c:scaling>
          <c:orientation val="minMax"/>
        </c:scaling>
        <c:delete val="1"/>
        <c:axPos val="b"/>
        <c:majorTickMark val="out"/>
        <c:minorTickMark val="none"/>
        <c:tickLblPos val="nextTo"/>
        <c:crossAx val="214439040"/>
        <c:crosses val="autoZero"/>
        <c:auto val="1"/>
        <c:lblAlgn val="ctr"/>
        <c:lblOffset val="100"/>
        <c:noMultiLvlLbl val="0"/>
      </c:catAx>
    </c:plotArea>
    <c:legend>
      <c:legendPos val="r"/>
      <c:layout>
        <c:manualLayout>
          <c:xMode val="edge"/>
          <c:yMode val="edge"/>
          <c:x val="0.10517464577708067"/>
          <c:y val="0.12513992479172295"/>
          <c:w val="0.26785752396966805"/>
          <c:h val="0.15156697761064827"/>
        </c:manualLayout>
      </c:layout>
      <c:overlay val="0"/>
    </c:legend>
    <c:plotVisOnly val="1"/>
    <c:dispBlanksAs val="gap"/>
    <c:showDLblsOverMax val="0"/>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35359776902887141"/>
                  <c:y val="-1.1771653543307087E-2"/>
                </c:manualLayout>
              </c:layout>
              <c:numFmt formatCode="General" sourceLinked="0"/>
            </c:trendlineLbl>
          </c:trendline>
          <c:xVal>
            <c:numRef>
              <c:f>FordArm!$A$48:$A$81</c:f>
              <c:numCache>
                <c:formatCode>0</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xVal>
          <c:yVal>
            <c:numRef>
              <c:f>FordArm!$H$48:$H$81</c:f>
              <c:numCache>
                <c:formatCode>0.0</c:formatCode>
                <c:ptCount val="34"/>
                <c:pt idx="0">
                  <c:v>43.366040955631405</c:v>
                </c:pt>
                <c:pt idx="1">
                  <c:v>68.789397122999844</c:v>
                </c:pt>
                <c:pt idx="3">
                  <c:v>51.643778610070747</c:v>
                </c:pt>
                <c:pt idx="4">
                  <c:v>62.127867252318204</c:v>
                </c:pt>
                <c:pt idx="5">
                  <c:v>47.602845654191157</c:v>
                </c:pt>
                <c:pt idx="6">
                  <c:v>48.120425815036597</c:v>
                </c:pt>
                <c:pt idx="7">
                  <c:v>64.675324675324674</c:v>
                </c:pt>
                <c:pt idx="8">
                  <c:v>58.437618505877886</c:v>
                </c:pt>
                <c:pt idx="9">
                  <c:v>54.120970422067124</c:v>
                </c:pt>
                <c:pt idx="10">
                  <c:v>58.656828146722276</c:v>
                </c:pt>
                <c:pt idx="11">
                  <c:v>66.547249422816662</c:v>
                </c:pt>
                <c:pt idx="12">
                  <c:v>71.907373552711761</c:v>
                </c:pt>
                <c:pt idx="13">
                  <c:v>63.96051274495359</c:v>
                </c:pt>
                <c:pt idx="14">
                  <c:v>57.366984993178718</c:v>
                </c:pt>
                <c:pt idx="15">
                  <c:v>51.714256473237128</c:v>
                </c:pt>
                <c:pt idx="16">
                  <c:v>56.282560158769535</c:v>
                </c:pt>
                <c:pt idx="17">
                  <c:v>62.726826875919571</c:v>
                </c:pt>
                <c:pt idx="18">
                  <c:v>71.375326127469251</c:v>
                </c:pt>
                <c:pt idx="19">
                  <c:v>74.388405797101456</c:v>
                </c:pt>
                <c:pt idx="20">
                  <c:v>52.976584204259822</c:v>
                </c:pt>
                <c:pt idx="21">
                  <c:v>48.634334569115531</c:v>
                </c:pt>
                <c:pt idx="22">
                  <c:v>70.761731658955711</c:v>
                </c:pt>
                <c:pt idx="23">
                  <c:v>57.947248839276902</c:v>
                </c:pt>
                <c:pt idx="24">
                  <c:v>51.732219278581617</c:v>
                </c:pt>
                <c:pt idx="25">
                  <c:v>70.378490653127173</c:v>
                </c:pt>
                <c:pt idx="26">
                  <c:v>53.22784810126582</c:v>
                </c:pt>
                <c:pt idx="27">
                  <c:v>69.393769295537467</c:v>
                </c:pt>
                <c:pt idx="28">
                  <c:v>63.925610575845852</c:v>
                </c:pt>
                <c:pt idx="29">
                  <c:v>82.395275881158881</c:v>
                </c:pt>
                <c:pt idx="30">
                  <c:v>63.068457679236126</c:v>
                </c:pt>
                <c:pt idx="31">
                  <c:v>78.064426160925947</c:v>
                </c:pt>
                <c:pt idx="32">
                  <c:v>71.673377657083989</c:v>
                </c:pt>
                <c:pt idx="33">
                  <c:v>52.15108648096836</c:v>
                </c:pt>
              </c:numCache>
            </c:numRef>
          </c:yVal>
          <c:smooth val="0"/>
        </c:ser>
        <c:dLbls>
          <c:showLegendKey val="0"/>
          <c:showVal val="0"/>
          <c:showCatName val="0"/>
          <c:showSerName val="0"/>
          <c:showPercent val="0"/>
          <c:showBubbleSize val="0"/>
        </c:dLbls>
        <c:axId val="214520960"/>
        <c:axId val="214522496"/>
      </c:scatterChart>
      <c:valAx>
        <c:axId val="214520960"/>
        <c:scaling>
          <c:orientation val="minMax"/>
        </c:scaling>
        <c:delete val="0"/>
        <c:axPos val="b"/>
        <c:numFmt formatCode="0" sourceLinked="1"/>
        <c:majorTickMark val="out"/>
        <c:minorTickMark val="none"/>
        <c:tickLblPos val="nextTo"/>
        <c:crossAx val="214522496"/>
        <c:crosses val="autoZero"/>
        <c:crossBetween val="midCat"/>
      </c:valAx>
      <c:valAx>
        <c:axId val="214522496"/>
        <c:scaling>
          <c:orientation val="minMax"/>
        </c:scaling>
        <c:delete val="0"/>
        <c:axPos val="l"/>
        <c:majorGridlines/>
        <c:numFmt formatCode="0.0" sourceLinked="1"/>
        <c:majorTickMark val="out"/>
        <c:minorTickMark val="none"/>
        <c:tickLblPos val="nextTo"/>
        <c:crossAx val="21452096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35359776902887141"/>
                  <c:y val="-1.1771653543307087E-2"/>
                </c:manualLayout>
              </c:layout>
              <c:numFmt formatCode="General" sourceLinked="0"/>
            </c:trendlineLbl>
          </c:trendline>
          <c:xVal>
            <c:numRef>
              <c:f>FordArm!$A$48:$A$81</c:f>
              <c:numCache>
                <c:formatCode>0</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xVal>
          <c:yVal>
            <c:numRef>
              <c:f>FordArm!$C$48:$C$81</c:f>
              <c:numCache>
                <c:formatCode>0.0</c:formatCode>
                <c:ptCount val="34"/>
                <c:pt idx="0">
                  <c:v>41.104948805460751</c:v>
                </c:pt>
                <c:pt idx="1">
                  <c:v>54.048812025214154</c:v>
                </c:pt>
                <c:pt idx="3">
                  <c:v>51.643778610070747</c:v>
                </c:pt>
                <c:pt idx="4">
                  <c:v>60.590531966813074</c:v>
                </c:pt>
                <c:pt idx="5">
                  <c:v>45.097432725023204</c:v>
                </c:pt>
                <c:pt idx="6">
                  <c:v>46.839654025282769</c:v>
                </c:pt>
                <c:pt idx="7">
                  <c:v>61.672077922077918</c:v>
                </c:pt>
                <c:pt idx="8">
                  <c:v>56.5415244596132</c:v>
                </c:pt>
                <c:pt idx="9">
                  <c:v>53.223662346294454</c:v>
                </c:pt>
                <c:pt idx="10">
                  <c:v>56.165116030371088</c:v>
                </c:pt>
                <c:pt idx="11">
                  <c:v>61.690948172916173</c:v>
                </c:pt>
                <c:pt idx="12">
                  <c:v>59.684861147383991</c:v>
                </c:pt>
                <c:pt idx="13">
                  <c:v>52.777368498600261</c:v>
                </c:pt>
                <c:pt idx="14">
                  <c:v>52.575034106412012</c:v>
                </c:pt>
                <c:pt idx="15">
                  <c:v>48.12199365469246</c:v>
                </c:pt>
                <c:pt idx="16">
                  <c:v>48.592160754155294</c:v>
                </c:pt>
                <c:pt idx="17">
                  <c:v>57.802844531633156</c:v>
                </c:pt>
                <c:pt idx="18">
                  <c:v>57.199652130699462</c:v>
                </c:pt>
                <c:pt idx="19">
                  <c:v>67.489855072463769</c:v>
                </c:pt>
                <c:pt idx="20">
                  <c:v>38.040746130440532</c:v>
                </c:pt>
                <c:pt idx="21">
                  <c:v>31.4292199440115</c:v>
                </c:pt>
                <c:pt idx="22">
                  <c:v>63.797091870456043</c:v>
                </c:pt>
                <c:pt idx="23">
                  <c:v>50.716190852514075</c:v>
                </c:pt>
                <c:pt idx="24">
                  <c:v>39.39270429997962</c:v>
                </c:pt>
                <c:pt idx="25">
                  <c:v>65.462727902146327</c:v>
                </c:pt>
                <c:pt idx="26">
                  <c:v>41.256781193490056</c:v>
                </c:pt>
                <c:pt idx="27">
                  <c:v>64.60847600336794</c:v>
                </c:pt>
                <c:pt idx="28">
                  <c:v>48.196280528792293</c:v>
                </c:pt>
                <c:pt idx="29">
                  <c:v>24.109614319985237</c:v>
                </c:pt>
                <c:pt idx="30">
                  <c:v>46.674219129308945</c:v>
                </c:pt>
                <c:pt idx="31">
                  <c:v>47.775763491842142</c:v>
                </c:pt>
                <c:pt idx="32">
                  <c:v>46.13727877142054</c:v>
                </c:pt>
                <c:pt idx="33">
                  <c:v>44.88843517573283</c:v>
                </c:pt>
              </c:numCache>
            </c:numRef>
          </c:yVal>
          <c:smooth val="0"/>
        </c:ser>
        <c:dLbls>
          <c:showLegendKey val="0"/>
          <c:showVal val="0"/>
          <c:showCatName val="0"/>
          <c:showSerName val="0"/>
          <c:showPercent val="0"/>
          <c:showBubbleSize val="0"/>
        </c:dLbls>
        <c:axId val="213060608"/>
        <c:axId val="213070592"/>
      </c:scatterChart>
      <c:valAx>
        <c:axId val="213060608"/>
        <c:scaling>
          <c:orientation val="minMax"/>
        </c:scaling>
        <c:delete val="0"/>
        <c:axPos val="b"/>
        <c:numFmt formatCode="0" sourceLinked="1"/>
        <c:majorTickMark val="out"/>
        <c:minorTickMark val="none"/>
        <c:tickLblPos val="nextTo"/>
        <c:crossAx val="213070592"/>
        <c:crosses val="autoZero"/>
        <c:crossBetween val="midCat"/>
      </c:valAx>
      <c:valAx>
        <c:axId val="213070592"/>
        <c:scaling>
          <c:orientation val="minMax"/>
        </c:scaling>
        <c:delete val="0"/>
        <c:axPos val="l"/>
        <c:majorGridlines/>
        <c:numFmt formatCode="0.0" sourceLinked="1"/>
        <c:majorTickMark val="out"/>
        <c:minorTickMark val="none"/>
        <c:tickLblPos val="nextTo"/>
        <c:crossAx val="2130606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35359776902887141"/>
                  <c:y val="-1.1771653543307087E-2"/>
                </c:manualLayout>
              </c:layout>
              <c:numFmt formatCode="General" sourceLinked="0"/>
            </c:trendlineLbl>
          </c:trendline>
          <c:xVal>
            <c:numRef>
              <c:f>FordArm!$A$48:$A$81</c:f>
              <c:numCache>
                <c:formatCode>0</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xVal>
          <c:yVal>
            <c:numRef>
              <c:f>FordArm!$D$48:$D$81</c:f>
              <c:numCache>
                <c:formatCode>0.0</c:formatCode>
                <c:ptCount val="34"/>
                <c:pt idx="0">
                  <c:v>2.2610921501706485</c:v>
                </c:pt>
                <c:pt idx="1">
                  <c:v>14.740585097785679</c:v>
                </c:pt>
                <c:pt idx="3">
                  <c:v>0</c:v>
                </c:pt>
                <c:pt idx="4">
                  <c:v>1.5373352855051245</c:v>
                </c:pt>
                <c:pt idx="5">
                  <c:v>2.5054129291679552</c:v>
                </c:pt>
                <c:pt idx="6">
                  <c:v>0.76513639387890886</c:v>
                </c:pt>
                <c:pt idx="7">
                  <c:v>3.0032467532467533</c:v>
                </c:pt>
                <c:pt idx="8">
                  <c:v>1.8960940462646947</c:v>
                </c:pt>
                <c:pt idx="9">
                  <c:v>0.7311399135925557</c:v>
                </c:pt>
                <c:pt idx="10">
                  <c:v>2.4917121163511924</c:v>
                </c:pt>
                <c:pt idx="11">
                  <c:v>3.4551389220603452</c:v>
                </c:pt>
                <c:pt idx="12">
                  <c:v>8.8796030295116228</c:v>
                </c:pt>
                <c:pt idx="13">
                  <c:v>11.183144246353322</c:v>
                </c:pt>
                <c:pt idx="14">
                  <c:v>0</c:v>
                </c:pt>
                <c:pt idx="15">
                  <c:v>0</c:v>
                </c:pt>
                <c:pt idx="16">
                  <c:v>2.6978417266187051</c:v>
                </c:pt>
                <c:pt idx="17">
                  <c:v>0.64737616478666016</c:v>
                </c:pt>
                <c:pt idx="18">
                  <c:v>11.380295688905454</c:v>
                </c:pt>
                <c:pt idx="19">
                  <c:v>1.3333333333333335</c:v>
                </c:pt>
                <c:pt idx="20">
                  <c:v>8.3344357719275042</c:v>
                </c:pt>
                <c:pt idx="21">
                  <c:v>3.813270787622002</c:v>
                </c:pt>
                <c:pt idx="22">
                  <c:v>4.3291473892927961</c:v>
                </c:pt>
                <c:pt idx="23">
                  <c:v>0.59270967104613259</c:v>
                </c:pt>
                <c:pt idx="24">
                  <c:v>3.7395557367026697</c:v>
                </c:pt>
                <c:pt idx="25">
                  <c:v>2.5040387722132471</c:v>
                </c:pt>
                <c:pt idx="26">
                  <c:v>9.4665461121157328</c:v>
                </c:pt>
                <c:pt idx="27">
                  <c:v>3.4802133033960145</c:v>
                </c:pt>
                <c:pt idx="28">
                  <c:v>12.771678243334081</c:v>
                </c:pt>
                <c:pt idx="29">
                  <c:v>57.556744786861046</c:v>
                </c:pt>
                <c:pt idx="30">
                  <c:v>13.950477423531316</c:v>
                </c:pt>
                <c:pt idx="31">
                  <c:v>28.852321851903501</c:v>
                </c:pt>
                <c:pt idx="32">
                  <c:v>22.445921902799888</c:v>
                </c:pt>
                <c:pt idx="33">
                  <c:v>5.5417821204608426</c:v>
                </c:pt>
              </c:numCache>
            </c:numRef>
          </c:yVal>
          <c:smooth val="0"/>
        </c:ser>
        <c:dLbls>
          <c:showLegendKey val="0"/>
          <c:showVal val="0"/>
          <c:showCatName val="0"/>
          <c:showSerName val="0"/>
          <c:showPercent val="0"/>
          <c:showBubbleSize val="0"/>
        </c:dLbls>
        <c:axId val="171840640"/>
        <c:axId val="171842176"/>
      </c:scatterChart>
      <c:valAx>
        <c:axId val="171840640"/>
        <c:scaling>
          <c:orientation val="minMax"/>
        </c:scaling>
        <c:delete val="0"/>
        <c:axPos val="b"/>
        <c:numFmt formatCode="0" sourceLinked="1"/>
        <c:majorTickMark val="out"/>
        <c:minorTickMark val="none"/>
        <c:tickLblPos val="nextTo"/>
        <c:crossAx val="171842176"/>
        <c:crosses val="autoZero"/>
        <c:crossBetween val="midCat"/>
      </c:valAx>
      <c:valAx>
        <c:axId val="171842176"/>
        <c:scaling>
          <c:orientation val="minMax"/>
        </c:scaling>
        <c:delete val="0"/>
        <c:axPos val="l"/>
        <c:majorGridlines/>
        <c:numFmt formatCode="0.0" sourceLinked="1"/>
        <c:majorTickMark val="out"/>
        <c:minorTickMark val="none"/>
        <c:tickLblPos val="nextTo"/>
        <c:crossAx val="1718406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42900467876298071"/>
                  <c:y val="0.25780628920022597"/>
                </c:manualLayout>
              </c:layout>
              <c:numFmt formatCode="#,##0.000000" sourceLinked="0"/>
            </c:trendlineLbl>
          </c:trendline>
          <c:xVal>
            <c:numRef>
              <c:f>FordArm!$I$92:$I$125</c:f>
              <c:numCache>
                <c:formatCode>#,##0_);\(#,##0\)</c:formatCode>
                <c:ptCount val="34"/>
                <c:pt idx="0">
                  <c:v>4688</c:v>
                </c:pt>
                <c:pt idx="1">
                  <c:v>6187</c:v>
                </c:pt>
                <c:pt idx="3">
                  <c:v>4806</c:v>
                </c:pt>
                <c:pt idx="4">
                  <c:v>4098</c:v>
                </c:pt>
                <c:pt idx="5">
                  <c:v>3233</c:v>
                </c:pt>
                <c:pt idx="6">
                  <c:v>6012</c:v>
                </c:pt>
                <c:pt idx="7">
                  <c:v>6160</c:v>
                </c:pt>
                <c:pt idx="8">
                  <c:v>5274</c:v>
                </c:pt>
                <c:pt idx="9">
                  <c:v>6018</c:v>
                </c:pt>
                <c:pt idx="10">
                  <c:v>9351</c:v>
                </c:pt>
                <c:pt idx="11">
                  <c:v>12561</c:v>
                </c:pt>
                <c:pt idx="12">
                  <c:v>11487</c:v>
                </c:pt>
                <c:pt idx="13">
                  <c:v>6787</c:v>
                </c:pt>
                <c:pt idx="14">
                  <c:v>5864</c:v>
                </c:pt>
                <c:pt idx="15">
                  <c:v>9771</c:v>
                </c:pt>
                <c:pt idx="16">
                  <c:v>16124</c:v>
                </c:pt>
                <c:pt idx="17">
                  <c:v>10195</c:v>
                </c:pt>
                <c:pt idx="18">
                  <c:v>8049</c:v>
                </c:pt>
                <c:pt idx="19">
                  <c:v>8625</c:v>
                </c:pt>
                <c:pt idx="20">
                  <c:v>15118</c:v>
                </c:pt>
                <c:pt idx="21">
                  <c:v>13217</c:v>
                </c:pt>
                <c:pt idx="22">
                  <c:v>12104</c:v>
                </c:pt>
                <c:pt idx="23">
                  <c:v>10123</c:v>
                </c:pt>
                <c:pt idx="24">
                  <c:v>9814</c:v>
                </c:pt>
                <c:pt idx="25">
                  <c:v>8666</c:v>
                </c:pt>
                <c:pt idx="26">
                  <c:v>11060</c:v>
                </c:pt>
                <c:pt idx="27">
                  <c:v>7126</c:v>
                </c:pt>
                <c:pt idx="28">
                  <c:v>4463</c:v>
                </c:pt>
                <c:pt idx="29">
                  <c:v>10838</c:v>
                </c:pt>
                <c:pt idx="30">
                  <c:v>6179</c:v>
                </c:pt>
                <c:pt idx="31">
                  <c:v>7171</c:v>
                </c:pt>
                <c:pt idx="32">
                  <c:v>10679</c:v>
                </c:pt>
                <c:pt idx="33">
                  <c:v>6857</c:v>
                </c:pt>
              </c:numCache>
            </c:numRef>
          </c:xVal>
          <c:yVal>
            <c:numRef>
              <c:f>FordArm!$K$92:$K$125</c:f>
              <c:numCache>
                <c:formatCode>#,##0</c:formatCode>
                <c:ptCount val="34"/>
                <c:pt idx="0">
                  <c:v>32609.466443750003</c:v>
                </c:pt>
                <c:pt idx="1">
                  <c:v>34414.496114285736</c:v>
                </c:pt>
                <c:pt idx="3">
                  <c:v>24336.406934285711</c:v>
                </c:pt>
                <c:pt idx="4">
                  <c:v>24687.243790666638</c:v>
                </c:pt>
                <c:pt idx="5">
                  <c:v>13954.139353870971</c:v>
                </c:pt>
                <c:pt idx="6">
                  <c:v>15148.339939375004</c:v>
                </c:pt>
                <c:pt idx="7">
                  <c:v>19756.31947621622</c:v>
                </c:pt>
                <c:pt idx="8">
                  <c:v>33960.630254994816</c:v>
                </c:pt>
                <c:pt idx="9">
                  <c:v>34986.804854161077</c:v>
                </c:pt>
                <c:pt idx="10">
                  <c:v>45994.775120772909</c:v>
                </c:pt>
                <c:pt idx="11">
                  <c:v>49605.621649948291</c:v>
                </c:pt>
                <c:pt idx="12">
                  <c:v>73368.888401009244</c:v>
                </c:pt>
                <c:pt idx="13">
                  <c:v>28815.150686949062</c:v>
                </c:pt>
                <c:pt idx="14">
                  <c:v>23653.698673798015</c:v>
                </c:pt>
                <c:pt idx="15">
                  <c:v>15284.193293887598</c:v>
                </c:pt>
                <c:pt idx="16">
                  <c:v>23137.138818002408</c:v>
                </c:pt>
                <c:pt idx="17">
                  <c:v>33145.161085633677</c:v>
                </c:pt>
                <c:pt idx="18">
                  <c:v>21464.712363482147</c:v>
                </c:pt>
                <c:pt idx="19">
                  <c:v>32152.75112682458</c:v>
                </c:pt>
                <c:pt idx="20">
                  <c:v>49818.421037951979</c:v>
                </c:pt>
                <c:pt idx="21">
                  <c:v>29111.021630484258</c:v>
                </c:pt>
                <c:pt idx="22">
                  <c:v>33174.003930812047</c:v>
                </c:pt>
                <c:pt idx="23">
                  <c:v>12757.874942477865</c:v>
                </c:pt>
                <c:pt idx="24">
                  <c:v>15822.204102688618</c:v>
                </c:pt>
                <c:pt idx="25">
                  <c:v>8721.5504169317664</c:v>
                </c:pt>
                <c:pt idx="26">
                  <c:v>14366.759212206873</c:v>
                </c:pt>
                <c:pt idx="27">
                  <c:v>9317.4461149367089</c:v>
                </c:pt>
                <c:pt idx="28">
                  <c:v>21816.53139184419</c:v>
                </c:pt>
                <c:pt idx="29">
                  <c:v>12029.060059090903</c:v>
                </c:pt>
                <c:pt idx="30">
                  <c:v>8530.5066227316747</c:v>
                </c:pt>
                <c:pt idx="31">
                  <c:v>21067.581021634618</c:v>
                </c:pt>
                <c:pt idx="32">
                  <c:v>26648.29454920346</c:v>
                </c:pt>
                <c:pt idx="33">
                  <c:v>15649</c:v>
                </c:pt>
              </c:numCache>
            </c:numRef>
          </c:yVal>
          <c:smooth val="0"/>
        </c:ser>
        <c:dLbls>
          <c:showLegendKey val="0"/>
          <c:showVal val="0"/>
          <c:showCatName val="0"/>
          <c:showSerName val="0"/>
          <c:showPercent val="0"/>
          <c:showBubbleSize val="0"/>
        </c:dLbls>
        <c:axId val="213105664"/>
        <c:axId val="213107456"/>
      </c:scatterChart>
      <c:valAx>
        <c:axId val="213105664"/>
        <c:scaling>
          <c:orientation val="minMax"/>
        </c:scaling>
        <c:delete val="0"/>
        <c:axPos val="b"/>
        <c:numFmt formatCode="#,##0_);\(#,##0\)" sourceLinked="1"/>
        <c:majorTickMark val="out"/>
        <c:minorTickMark val="none"/>
        <c:tickLblPos val="nextTo"/>
        <c:crossAx val="213107456"/>
        <c:crosses val="autoZero"/>
        <c:crossBetween val="midCat"/>
      </c:valAx>
      <c:valAx>
        <c:axId val="213107456"/>
        <c:scaling>
          <c:orientation val="minMax"/>
        </c:scaling>
        <c:delete val="0"/>
        <c:axPos val="l"/>
        <c:majorGridlines/>
        <c:numFmt formatCode="#,##0" sourceLinked="1"/>
        <c:majorTickMark val="out"/>
        <c:minorTickMark val="none"/>
        <c:tickLblPos val="nextTo"/>
        <c:crossAx val="2131056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numFmt formatCode="#,##0.000000" sourceLinked="0"/>
            </c:trendlineLbl>
          </c:trendline>
          <c:xVal>
            <c:numRef>
              <c:f>FordArm!$I$92:$I$125</c:f>
              <c:numCache>
                <c:formatCode>#,##0_);\(#,##0\)</c:formatCode>
                <c:ptCount val="34"/>
                <c:pt idx="0">
                  <c:v>4688</c:v>
                </c:pt>
                <c:pt idx="1">
                  <c:v>6187</c:v>
                </c:pt>
                <c:pt idx="3">
                  <c:v>4806</c:v>
                </c:pt>
                <c:pt idx="4">
                  <c:v>4098</c:v>
                </c:pt>
                <c:pt idx="5">
                  <c:v>3233</c:v>
                </c:pt>
                <c:pt idx="6">
                  <c:v>6012</c:v>
                </c:pt>
                <c:pt idx="7">
                  <c:v>6160</c:v>
                </c:pt>
                <c:pt idx="8">
                  <c:v>5274</c:v>
                </c:pt>
                <c:pt idx="9">
                  <c:v>6018</c:v>
                </c:pt>
                <c:pt idx="10">
                  <c:v>9351</c:v>
                </c:pt>
                <c:pt idx="11">
                  <c:v>12561</c:v>
                </c:pt>
                <c:pt idx="12">
                  <c:v>11487</c:v>
                </c:pt>
                <c:pt idx="13">
                  <c:v>6787</c:v>
                </c:pt>
                <c:pt idx="14">
                  <c:v>5864</c:v>
                </c:pt>
                <c:pt idx="15">
                  <c:v>9771</c:v>
                </c:pt>
                <c:pt idx="16">
                  <c:v>16124</c:v>
                </c:pt>
                <c:pt idx="17">
                  <c:v>10195</c:v>
                </c:pt>
                <c:pt idx="18">
                  <c:v>8049</c:v>
                </c:pt>
                <c:pt idx="19">
                  <c:v>8625</c:v>
                </c:pt>
                <c:pt idx="20">
                  <c:v>15118</c:v>
                </c:pt>
                <c:pt idx="21">
                  <c:v>13217</c:v>
                </c:pt>
                <c:pt idx="22">
                  <c:v>12104</c:v>
                </c:pt>
                <c:pt idx="23">
                  <c:v>10123</c:v>
                </c:pt>
                <c:pt idx="24">
                  <c:v>9814</c:v>
                </c:pt>
                <c:pt idx="25">
                  <c:v>8666</c:v>
                </c:pt>
                <c:pt idx="26">
                  <c:v>11060</c:v>
                </c:pt>
                <c:pt idx="27">
                  <c:v>7126</c:v>
                </c:pt>
                <c:pt idx="28">
                  <c:v>4463</c:v>
                </c:pt>
                <c:pt idx="29">
                  <c:v>10838</c:v>
                </c:pt>
                <c:pt idx="30">
                  <c:v>6179</c:v>
                </c:pt>
                <c:pt idx="31">
                  <c:v>7171</c:v>
                </c:pt>
                <c:pt idx="32">
                  <c:v>10679</c:v>
                </c:pt>
                <c:pt idx="33">
                  <c:v>6857</c:v>
                </c:pt>
              </c:numCache>
            </c:numRef>
          </c:xVal>
          <c:yVal>
            <c:numRef>
              <c:f>FordArm!$L$92:$L$125</c:f>
              <c:numCache>
                <c:formatCode>#,##0</c:formatCode>
                <c:ptCount val="34"/>
                <c:pt idx="0">
                  <c:v>37297.466443750003</c:v>
                </c:pt>
                <c:pt idx="1">
                  <c:v>40601.496114285736</c:v>
                </c:pt>
                <c:pt idx="3">
                  <c:v>29142.406934285711</c:v>
                </c:pt>
                <c:pt idx="4">
                  <c:v>28785.243790666638</c:v>
                </c:pt>
                <c:pt idx="5">
                  <c:v>17187.139353870971</c:v>
                </c:pt>
                <c:pt idx="6">
                  <c:v>21160.339939375004</c:v>
                </c:pt>
                <c:pt idx="7">
                  <c:v>47483.63895243244</c:v>
                </c:pt>
                <c:pt idx="8">
                  <c:v>75860.260509989632</c:v>
                </c:pt>
                <c:pt idx="9">
                  <c:v>78772.609708322154</c:v>
                </c:pt>
                <c:pt idx="10">
                  <c:v>105031.55024154582</c:v>
                </c:pt>
                <c:pt idx="11">
                  <c:v>115552.2432998966</c:v>
                </c:pt>
                <c:pt idx="12">
                  <c:v>162064.77680201849</c:v>
                </c:pt>
                <c:pt idx="13">
                  <c:v>65610.301373898124</c:v>
                </c:pt>
                <c:pt idx="14">
                  <c:v>54630.39734759603</c:v>
                </c:pt>
                <c:pt idx="15">
                  <c:v>42763.386587775196</c:v>
                </c:pt>
                <c:pt idx="16">
                  <c:v>64039.277636004816</c:v>
                </c:pt>
                <c:pt idx="17">
                  <c:v>78878.322171267355</c:v>
                </c:pt>
                <c:pt idx="18">
                  <c:v>53547.424726964295</c:v>
                </c:pt>
                <c:pt idx="19">
                  <c:v>77583.50225364916</c:v>
                </c:pt>
                <c:pt idx="20">
                  <c:v>121436.84207590396</c:v>
                </c:pt>
                <c:pt idx="21">
                  <c:v>73878.043260968523</c:v>
                </c:pt>
                <c:pt idx="22">
                  <c:v>81938.007861624093</c:v>
                </c:pt>
                <c:pt idx="23">
                  <c:v>36897.749884955731</c:v>
                </c:pt>
                <c:pt idx="24">
                  <c:v>42777.408205377236</c:v>
                </c:pt>
                <c:pt idx="25">
                  <c:v>27053.100833863529</c:v>
                </c:pt>
                <c:pt idx="26">
                  <c:v>41450.518424413749</c:v>
                </c:pt>
                <c:pt idx="27">
                  <c:v>26780.892229873418</c:v>
                </c:pt>
                <c:pt idx="28">
                  <c:v>49910.06278368838</c:v>
                </c:pt>
                <c:pt idx="29">
                  <c:v>36355.120118181803</c:v>
                </c:pt>
                <c:pt idx="30">
                  <c:v>24562.013245463349</c:v>
                </c:pt>
                <c:pt idx="31">
                  <c:v>50821.162043269236</c:v>
                </c:pt>
                <c:pt idx="32">
                  <c:v>67709.589098406926</c:v>
                </c:pt>
                <c:pt idx="33">
                  <c:v>40553</c:v>
                </c:pt>
              </c:numCache>
            </c:numRef>
          </c:yVal>
          <c:smooth val="0"/>
        </c:ser>
        <c:dLbls>
          <c:showLegendKey val="0"/>
          <c:showVal val="0"/>
          <c:showCatName val="0"/>
          <c:showSerName val="0"/>
          <c:showPercent val="0"/>
          <c:showBubbleSize val="0"/>
        </c:dLbls>
        <c:axId val="213386368"/>
        <c:axId val="213387904"/>
      </c:scatterChart>
      <c:valAx>
        <c:axId val="213386368"/>
        <c:scaling>
          <c:orientation val="minMax"/>
        </c:scaling>
        <c:delete val="0"/>
        <c:axPos val="b"/>
        <c:numFmt formatCode="#,##0_);\(#,##0\)" sourceLinked="1"/>
        <c:majorTickMark val="out"/>
        <c:minorTickMark val="none"/>
        <c:tickLblPos val="nextTo"/>
        <c:crossAx val="213387904"/>
        <c:crosses val="autoZero"/>
        <c:crossBetween val="midCat"/>
      </c:valAx>
      <c:valAx>
        <c:axId val="213387904"/>
        <c:scaling>
          <c:orientation val="minMax"/>
        </c:scaling>
        <c:delete val="0"/>
        <c:axPos val="l"/>
        <c:majorGridlines/>
        <c:numFmt formatCode="#,##0" sourceLinked="1"/>
        <c:majorTickMark val="out"/>
        <c:minorTickMark val="none"/>
        <c:tickLblPos val="nextTo"/>
        <c:crossAx val="2133863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44329453383544448"/>
                  <c:y val="-0.26087036123209395"/>
                </c:manualLayout>
              </c:layout>
              <c:numFmt formatCode="#,##0.000000" sourceLinked="0"/>
            </c:trendlineLbl>
          </c:trendline>
          <c:xVal>
            <c:numRef>
              <c:f>FordArm!$I$92:$I$125</c:f>
              <c:numCache>
                <c:formatCode>#,##0_);\(#,##0\)</c:formatCode>
                <c:ptCount val="34"/>
                <c:pt idx="0">
                  <c:v>4688</c:v>
                </c:pt>
                <c:pt idx="1">
                  <c:v>6187</c:v>
                </c:pt>
                <c:pt idx="3">
                  <c:v>4806</c:v>
                </c:pt>
                <c:pt idx="4">
                  <c:v>4098</c:v>
                </c:pt>
                <c:pt idx="5">
                  <c:v>3233</c:v>
                </c:pt>
                <c:pt idx="6">
                  <c:v>6012</c:v>
                </c:pt>
                <c:pt idx="7">
                  <c:v>6160</c:v>
                </c:pt>
                <c:pt idx="8">
                  <c:v>5274</c:v>
                </c:pt>
                <c:pt idx="9">
                  <c:v>6018</c:v>
                </c:pt>
                <c:pt idx="10">
                  <c:v>9351</c:v>
                </c:pt>
                <c:pt idx="11">
                  <c:v>12561</c:v>
                </c:pt>
                <c:pt idx="12">
                  <c:v>11487</c:v>
                </c:pt>
                <c:pt idx="13">
                  <c:v>6787</c:v>
                </c:pt>
                <c:pt idx="14">
                  <c:v>5864</c:v>
                </c:pt>
                <c:pt idx="15">
                  <c:v>9771</c:v>
                </c:pt>
                <c:pt idx="16">
                  <c:v>16124</c:v>
                </c:pt>
                <c:pt idx="17">
                  <c:v>10195</c:v>
                </c:pt>
                <c:pt idx="18">
                  <c:v>8049</c:v>
                </c:pt>
                <c:pt idx="19">
                  <c:v>8625</c:v>
                </c:pt>
                <c:pt idx="20">
                  <c:v>15118</c:v>
                </c:pt>
                <c:pt idx="21">
                  <c:v>13217</c:v>
                </c:pt>
                <c:pt idx="22">
                  <c:v>12104</c:v>
                </c:pt>
                <c:pt idx="23">
                  <c:v>10123</c:v>
                </c:pt>
                <c:pt idx="24">
                  <c:v>9814</c:v>
                </c:pt>
                <c:pt idx="25">
                  <c:v>8666</c:v>
                </c:pt>
                <c:pt idx="26">
                  <c:v>11060</c:v>
                </c:pt>
                <c:pt idx="27">
                  <c:v>7126</c:v>
                </c:pt>
                <c:pt idx="28">
                  <c:v>4463</c:v>
                </c:pt>
                <c:pt idx="29">
                  <c:v>10838</c:v>
                </c:pt>
                <c:pt idx="30">
                  <c:v>6179</c:v>
                </c:pt>
                <c:pt idx="31">
                  <c:v>7171</c:v>
                </c:pt>
                <c:pt idx="32">
                  <c:v>10679</c:v>
                </c:pt>
                <c:pt idx="33">
                  <c:v>6857</c:v>
                </c:pt>
              </c:numCache>
            </c:numRef>
          </c:xVal>
          <c:yVal>
            <c:numRef>
              <c:f>FordArm!$M$92:$M$125</c:f>
              <c:numCache>
                <c:formatCode>#,##0</c:formatCode>
                <c:ptCount val="34"/>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numCache>
            </c:numRef>
          </c:yVal>
          <c:smooth val="0"/>
        </c:ser>
        <c:dLbls>
          <c:showLegendKey val="0"/>
          <c:showVal val="0"/>
          <c:showCatName val="0"/>
          <c:showSerName val="0"/>
          <c:showPercent val="0"/>
          <c:showBubbleSize val="0"/>
        </c:dLbls>
        <c:axId val="213412864"/>
        <c:axId val="213426944"/>
      </c:scatterChart>
      <c:valAx>
        <c:axId val="213412864"/>
        <c:scaling>
          <c:orientation val="minMax"/>
        </c:scaling>
        <c:delete val="0"/>
        <c:axPos val="b"/>
        <c:numFmt formatCode="#,##0_);\(#,##0\)" sourceLinked="1"/>
        <c:majorTickMark val="out"/>
        <c:minorTickMark val="none"/>
        <c:tickLblPos val="nextTo"/>
        <c:crossAx val="213426944"/>
        <c:crosses val="autoZero"/>
        <c:crossBetween val="midCat"/>
      </c:valAx>
      <c:valAx>
        <c:axId val="213426944"/>
        <c:scaling>
          <c:orientation val="minMax"/>
        </c:scaling>
        <c:delete val="0"/>
        <c:axPos val="l"/>
        <c:majorGridlines/>
        <c:numFmt formatCode="#,##0" sourceLinked="1"/>
        <c:majorTickMark val="out"/>
        <c:minorTickMark val="none"/>
        <c:tickLblPos val="nextTo"/>
        <c:crossAx val="2134128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42900467876298071"/>
                  <c:y val="0.25780628920022597"/>
                </c:manualLayout>
              </c:layout>
              <c:numFmt formatCode="#,##0.000000" sourceLinked="0"/>
            </c:trendlineLbl>
          </c:trendline>
          <c:xVal>
            <c:numRef>
              <c:f>FordArm!$I$92:$I$125</c:f>
              <c:numCache>
                <c:formatCode>#,##0_);\(#,##0\)</c:formatCode>
                <c:ptCount val="34"/>
                <c:pt idx="0">
                  <c:v>4688</c:v>
                </c:pt>
                <c:pt idx="1">
                  <c:v>6187</c:v>
                </c:pt>
                <c:pt idx="3">
                  <c:v>4806</c:v>
                </c:pt>
                <c:pt idx="4">
                  <c:v>4098</c:v>
                </c:pt>
                <c:pt idx="5">
                  <c:v>3233</c:v>
                </c:pt>
                <c:pt idx="6">
                  <c:v>6012</c:v>
                </c:pt>
                <c:pt idx="7">
                  <c:v>6160</c:v>
                </c:pt>
                <c:pt idx="8">
                  <c:v>5274</c:v>
                </c:pt>
                <c:pt idx="9">
                  <c:v>6018</c:v>
                </c:pt>
                <c:pt idx="10">
                  <c:v>9351</c:v>
                </c:pt>
                <c:pt idx="11">
                  <c:v>12561</c:v>
                </c:pt>
                <c:pt idx="12">
                  <c:v>11487</c:v>
                </c:pt>
                <c:pt idx="13">
                  <c:v>6787</c:v>
                </c:pt>
                <c:pt idx="14">
                  <c:v>5864</c:v>
                </c:pt>
                <c:pt idx="15">
                  <c:v>9771</c:v>
                </c:pt>
                <c:pt idx="16">
                  <c:v>16124</c:v>
                </c:pt>
                <c:pt idx="17">
                  <c:v>10195</c:v>
                </c:pt>
                <c:pt idx="18">
                  <c:v>8049</c:v>
                </c:pt>
                <c:pt idx="19">
                  <c:v>8625</c:v>
                </c:pt>
                <c:pt idx="20">
                  <c:v>15118</c:v>
                </c:pt>
                <c:pt idx="21">
                  <c:v>13217</c:v>
                </c:pt>
                <c:pt idx="22">
                  <c:v>12104</c:v>
                </c:pt>
                <c:pt idx="23">
                  <c:v>10123</c:v>
                </c:pt>
                <c:pt idx="24">
                  <c:v>9814</c:v>
                </c:pt>
                <c:pt idx="25">
                  <c:v>8666</c:v>
                </c:pt>
                <c:pt idx="26">
                  <c:v>11060</c:v>
                </c:pt>
                <c:pt idx="27">
                  <c:v>7126</c:v>
                </c:pt>
                <c:pt idx="28">
                  <c:v>4463</c:v>
                </c:pt>
                <c:pt idx="29">
                  <c:v>10838</c:v>
                </c:pt>
                <c:pt idx="30">
                  <c:v>6179</c:v>
                </c:pt>
                <c:pt idx="31">
                  <c:v>7171</c:v>
                </c:pt>
                <c:pt idx="32">
                  <c:v>10679</c:v>
                </c:pt>
                <c:pt idx="33">
                  <c:v>6857</c:v>
                </c:pt>
              </c:numCache>
            </c:numRef>
          </c:xVal>
          <c:yVal>
            <c:numRef>
              <c:f>FordArm!$J$92:$J$125</c:f>
              <c:numCache>
                <c:formatCode>0</c:formatCode>
                <c:ptCount val="34"/>
                <c:pt idx="7" formatCode="#,##0_);\(#,##0\)">
                  <c:v>21567.31947621622</c:v>
                </c:pt>
                <c:pt idx="8" formatCode="#,##0_);\(#,##0\)">
                  <c:v>36625.630254994816</c:v>
                </c:pt>
                <c:pt idx="9" formatCode="#,##0_);\(#,##0\)">
                  <c:v>37767.804854161077</c:v>
                </c:pt>
                <c:pt idx="10" formatCode="#,##0_);\(#,##0\)">
                  <c:v>49685.775120772909</c:v>
                </c:pt>
                <c:pt idx="11" formatCode="#,##0_);\(#,##0\)">
                  <c:v>53385.621649948291</c:v>
                </c:pt>
                <c:pt idx="12" formatCode="#,##0_);\(#,##0\)">
                  <c:v>77208.888401009244</c:v>
                </c:pt>
                <c:pt idx="13" formatCode="#,##0_);\(#,##0\)">
                  <c:v>30008.150686949062</c:v>
                </c:pt>
                <c:pt idx="14" formatCode="#,##0_);\(#,##0\)">
                  <c:v>25112.698673798015</c:v>
                </c:pt>
                <c:pt idx="15" formatCode="#,##0_);\(#,##0\)">
                  <c:v>17708.193293887598</c:v>
                </c:pt>
                <c:pt idx="16" formatCode="#,##0_);\(#,##0\)">
                  <c:v>24778.138818002408</c:v>
                </c:pt>
                <c:pt idx="17" formatCode="#,##0_);\(#,##0\)">
                  <c:v>35538.161085633677</c:v>
                </c:pt>
                <c:pt idx="18" formatCode="#,##0_);\(#,##0\)">
                  <c:v>24033.712363482147</c:v>
                </c:pt>
                <c:pt idx="19" formatCode="#,##0_);\(#,##0\)">
                  <c:v>36805.75112682458</c:v>
                </c:pt>
                <c:pt idx="20" formatCode="#,##0_);\(#,##0\)">
                  <c:v>56500.421037951979</c:v>
                </c:pt>
                <c:pt idx="21" formatCode="#,##0_);\(#,##0\)">
                  <c:v>31550.021630484258</c:v>
                </c:pt>
                <c:pt idx="22" formatCode="#,##0_);\(#,##0\)">
                  <c:v>36660.003930812047</c:v>
                </c:pt>
                <c:pt idx="23" formatCode="#,##0_);\(#,##0\)">
                  <c:v>14016.874942477865</c:v>
                </c:pt>
                <c:pt idx="24" formatCode="#,##0_);\(#,##0\)">
                  <c:v>17141.204102688618</c:v>
                </c:pt>
                <c:pt idx="25" formatCode="#,##0_);\(#,##0\)">
                  <c:v>9665.5504169317664</c:v>
                </c:pt>
                <c:pt idx="26" formatCode="#,##0_);\(#,##0\)">
                  <c:v>16023.759212206873</c:v>
                </c:pt>
                <c:pt idx="27" formatCode="#,##0_);\(#,##0\)">
                  <c:v>10337.446114936709</c:v>
                </c:pt>
                <c:pt idx="28" formatCode="#,##0_);\(#,##0\)">
                  <c:v>23630.53139184419</c:v>
                </c:pt>
                <c:pt idx="29" formatCode="#,##0_);\(#,##0\)">
                  <c:v>13488.060059090903</c:v>
                </c:pt>
                <c:pt idx="30" formatCode="#,##0_);\(#,##0\)">
                  <c:v>9852.5066227316747</c:v>
                </c:pt>
                <c:pt idx="31" formatCode="#,##0_);\(#,##0\)">
                  <c:v>22582.581021634618</c:v>
                </c:pt>
                <c:pt idx="32" formatCode="#,##0_);\(#,##0\)">
                  <c:v>30382.29454920346</c:v>
                </c:pt>
                <c:pt idx="33" formatCode="#,##0_);\(#,##0\)">
                  <c:v>18047</c:v>
                </c:pt>
              </c:numCache>
            </c:numRef>
          </c:yVal>
          <c:smooth val="0"/>
        </c:ser>
        <c:dLbls>
          <c:showLegendKey val="0"/>
          <c:showVal val="0"/>
          <c:showCatName val="0"/>
          <c:showSerName val="0"/>
          <c:showPercent val="0"/>
          <c:showBubbleSize val="0"/>
        </c:dLbls>
        <c:axId val="213443712"/>
        <c:axId val="213445248"/>
      </c:scatterChart>
      <c:valAx>
        <c:axId val="213443712"/>
        <c:scaling>
          <c:orientation val="minMax"/>
        </c:scaling>
        <c:delete val="0"/>
        <c:axPos val="b"/>
        <c:numFmt formatCode="#,##0_);\(#,##0\)" sourceLinked="1"/>
        <c:majorTickMark val="out"/>
        <c:minorTickMark val="none"/>
        <c:tickLblPos val="nextTo"/>
        <c:crossAx val="213445248"/>
        <c:crosses val="autoZero"/>
        <c:crossBetween val="midCat"/>
      </c:valAx>
      <c:valAx>
        <c:axId val="213445248"/>
        <c:scaling>
          <c:orientation val="minMax"/>
        </c:scaling>
        <c:delete val="0"/>
        <c:axPos val="l"/>
        <c:majorGridlines/>
        <c:numFmt formatCode="0" sourceLinked="1"/>
        <c:majorTickMark val="out"/>
        <c:minorTickMark val="none"/>
        <c:tickLblPos val="nextTo"/>
        <c:crossAx val="21344371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8214784921501"/>
          <c:y val="3.8852501634005845E-2"/>
          <c:w val="0.83674234197329933"/>
          <c:h val="0.7804827605805168"/>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Data'!$D$130:$D$165</c:f>
              <c:numCache>
                <c:formatCode>#,##0</c:formatCode>
                <c:ptCount val="36"/>
                <c:pt idx="0">
                  <c:v>2144</c:v>
                </c:pt>
                <c:pt idx="1">
                  <c:v>1487</c:v>
                </c:pt>
                <c:pt idx="2">
                  <c:v>1407</c:v>
                </c:pt>
                <c:pt idx="3">
                  <c:v>903</c:v>
                </c:pt>
                <c:pt idx="4">
                  <c:v>1782</c:v>
                </c:pt>
                <c:pt idx="5">
                  <c:v>1117</c:v>
                </c:pt>
                <c:pt idx="6">
                  <c:v>513</c:v>
                </c:pt>
                <c:pt idx="7">
                  <c:v>433</c:v>
                </c:pt>
                <c:pt idx="8">
                  <c:v>870</c:v>
                </c:pt>
                <c:pt idx="9">
                  <c:v>1836</c:v>
                </c:pt>
                <c:pt idx="10">
                  <c:v>1426</c:v>
                </c:pt>
                <c:pt idx="11">
                  <c:v>832</c:v>
                </c:pt>
                <c:pt idx="12">
                  <c:v>1753</c:v>
                </c:pt>
                <c:pt idx="13">
                  <c:v>1781</c:v>
                </c:pt>
                <c:pt idx="14">
                  <c:v>950</c:v>
                </c:pt>
                <c:pt idx="15">
                  <c:v>732</c:v>
                </c:pt>
                <c:pt idx="16">
                  <c:v>983</c:v>
                </c:pt>
                <c:pt idx="17">
                  <c:v>1246</c:v>
                </c:pt>
                <c:pt idx="18">
                  <c:v>600</c:v>
                </c:pt>
                <c:pt idx="19">
                  <c:v>1580</c:v>
                </c:pt>
                <c:pt idx="20">
                  <c:v>3291</c:v>
                </c:pt>
                <c:pt idx="21">
                  <c:v>1510</c:v>
                </c:pt>
                <c:pt idx="22">
                  <c:v>840</c:v>
                </c:pt>
                <c:pt idx="23">
                  <c:v>1732</c:v>
                </c:pt>
                <c:pt idx="24">
                  <c:v>891</c:v>
                </c:pt>
                <c:pt idx="25">
                  <c:v>1244</c:v>
                </c:pt>
                <c:pt idx="26">
                  <c:v>1741</c:v>
                </c:pt>
                <c:pt idx="27">
                  <c:v>2281</c:v>
                </c:pt>
                <c:pt idx="28">
                  <c:v>2878</c:v>
                </c:pt>
                <c:pt idx="29">
                  <c:v>2137</c:v>
                </c:pt>
                <c:pt idx="30">
                  <c:v>1908</c:v>
                </c:pt>
                <c:pt idx="31">
                  <c:v>3048</c:v>
                </c:pt>
                <c:pt idx="32">
                  <c:v>4110</c:v>
                </c:pt>
                <c:pt idx="33">
                  <c:v>956</c:v>
                </c:pt>
                <c:pt idx="34">
                  <c:v>948</c:v>
                </c:pt>
                <c:pt idx="35">
                  <c:v>1266</c:v>
                </c:pt>
              </c:numCache>
            </c:numRef>
          </c:val>
        </c:ser>
        <c:ser>
          <c:idx val="0"/>
          <c:order val="1"/>
          <c:tx>
            <c:v>Other Harvest</c:v>
          </c:tx>
          <c:spPr>
            <a:solidFill>
              <a:srgbClr val="C0C0C0"/>
            </a:solidFill>
            <a:ln w="12700">
              <a:solidFill>
                <a:srgbClr val="000000"/>
              </a:solidFill>
              <a:prstDash val="solid"/>
            </a:ln>
          </c:spPr>
          <c:invertIfNegative val="0"/>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Data'!$C$130:$C$165</c:f>
              <c:numCache>
                <c:formatCode>_(* #,##0_);_(* \(#,##0\);_(* "-"??_);_(@_)</c:formatCode>
                <c:ptCount val="36"/>
                <c:pt idx="0">
                  <c:v>1230.5753876470587</c:v>
                </c:pt>
                <c:pt idx="1">
                  <c:v>1014.0181963656697</c:v>
                </c:pt>
                <c:pt idx="2">
                  <c:v>1350.6595404477289</c:v>
                </c:pt>
                <c:pt idx="3">
                  <c:v>669.11447398568021</c:v>
                </c:pt>
                <c:pt idx="4">
                  <c:v>985.58798862262915</c:v>
                </c:pt>
                <c:pt idx="5">
                  <c:v>469.47551346153847</c:v>
                </c:pt>
                <c:pt idx="6">
                  <c:v>553.92087272727258</c:v>
                </c:pt>
                <c:pt idx="7">
                  <c:v>754.4066980392156</c:v>
                </c:pt>
                <c:pt idx="8">
                  <c:v>2120.3495905882355</c:v>
                </c:pt>
                <c:pt idx="9">
                  <c:v>1827.4302368728897</c:v>
                </c:pt>
                <c:pt idx="10">
                  <c:v>1614.2097813915841</c:v>
                </c:pt>
                <c:pt idx="11">
                  <c:v>1182.6648083720929</c:v>
                </c:pt>
                <c:pt idx="12">
                  <c:v>3377.7121766470227</c:v>
                </c:pt>
                <c:pt idx="13">
                  <c:v>2908.8830356149738</c:v>
                </c:pt>
                <c:pt idx="14">
                  <c:v>1412.5816924618321</c:v>
                </c:pt>
                <c:pt idx="15">
                  <c:v>642.27624729458887</c:v>
                </c:pt>
                <c:pt idx="16">
                  <c:v>1616.7849101565732</c:v>
                </c:pt>
                <c:pt idx="17">
                  <c:v>1218.5799839416054</c:v>
                </c:pt>
                <c:pt idx="18">
                  <c:v>257.86700695530726</c:v>
                </c:pt>
                <c:pt idx="19">
                  <c:v>842.97839427618123</c:v>
                </c:pt>
                <c:pt idx="20">
                  <c:v>1223.4342523664409</c:v>
                </c:pt>
                <c:pt idx="21">
                  <c:v>1271.9577179381895</c:v>
                </c:pt>
                <c:pt idx="22">
                  <c:v>634.97066169912546</c:v>
                </c:pt>
                <c:pt idx="23">
                  <c:v>757.39708332706766</c:v>
                </c:pt>
                <c:pt idx="24">
                  <c:v>332.29241843391799</c:v>
                </c:pt>
                <c:pt idx="25">
                  <c:v>802.88434478455508</c:v>
                </c:pt>
                <c:pt idx="26">
                  <c:v>1319</c:v>
                </c:pt>
                <c:pt idx="27">
                  <c:v>1053</c:v>
                </c:pt>
                <c:pt idx="28">
                  <c:v>1334</c:v>
                </c:pt>
                <c:pt idx="29">
                  <c:v>1022</c:v>
                </c:pt>
                <c:pt idx="30">
                  <c:v>1434</c:v>
                </c:pt>
                <c:pt idx="31">
                  <c:v>2104</c:v>
                </c:pt>
                <c:pt idx="32">
                  <c:v>1724</c:v>
                </c:pt>
                <c:pt idx="33">
                  <c:v>528</c:v>
                </c:pt>
                <c:pt idx="34">
                  <c:v>751</c:v>
                </c:pt>
                <c:pt idx="35">
                  <c:v>485</c:v>
                </c:pt>
              </c:numCache>
            </c:numRef>
          </c:val>
        </c:ser>
        <c:ser>
          <c:idx val="1"/>
          <c:order val="2"/>
          <c:tx>
            <c:v>Alaska Troll Harvest</c:v>
          </c:tx>
          <c:spPr>
            <a:solidFill>
              <a:srgbClr val="FFFFFF"/>
            </a:solidFill>
            <a:ln w="12700">
              <a:solidFill>
                <a:srgbClr val="000000"/>
              </a:solidFill>
              <a:prstDash val="solid"/>
            </a:ln>
          </c:spPr>
          <c:invertIfNegative val="0"/>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Data'!$B$130:$B$165</c:f>
              <c:numCache>
                <c:formatCode>_(* #,##0_);_(* \(#,##0\);_(* "-"??_);_(@_)</c:formatCode>
                <c:ptCount val="36"/>
                <c:pt idx="0">
                  <c:v>2757.8227129411762</c:v>
                </c:pt>
                <c:pt idx="1">
                  <c:v>1373.619409225608</c:v>
                </c:pt>
                <c:pt idx="2">
                  <c:v>1266.002262812432</c:v>
                </c:pt>
                <c:pt idx="3">
                  <c:v>867.94892823388955</c:v>
                </c:pt>
                <c:pt idx="4">
                  <c:v>1597.6548065454551</c:v>
                </c:pt>
                <c:pt idx="5">
                  <c:v>657.25781161538475</c:v>
                </c:pt>
                <c:pt idx="6">
                  <c:v>405.92055454545448</c:v>
                </c:pt>
                <c:pt idx="7">
                  <c:v>1216.7415215686278</c:v>
                </c:pt>
                <c:pt idx="8">
                  <c:v>1803.2502211764713</c:v>
                </c:pt>
                <c:pt idx="9">
                  <c:v>2103.3371628347909</c:v>
                </c:pt>
                <c:pt idx="10">
                  <c:v>1854.4718550844138</c:v>
                </c:pt>
                <c:pt idx="11">
                  <c:v>2227.1374611627898</c:v>
                </c:pt>
                <c:pt idx="12">
                  <c:v>4333.0464887241487</c:v>
                </c:pt>
                <c:pt idx="13">
                  <c:v>2018.3078434224599</c:v>
                </c:pt>
                <c:pt idx="14">
                  <c:v>1585.4382060305347</c:v>
                </c:pt>
                <c:pt idx="15">
                  <c:v>1321.3277620440876</c:v>
                </c:pt>
                <c:pt idx="16">
                  <c:v>1771.4823739124367</c:v>
                </c:pt>
                <c:pt idx="17">
                  <c:v>1756.6023003284683</c:v>
                </c:pt>
                <c:pt idx="18">
                  <c:v>488.56200189944082</c:v>
                </c:pt>
                <c:pt idx="19">
                  <c:v>696.43144301589678</c:v>
                </c:pt>
                <c:pt idx="20">
                  <c:v>891.5136973965391</c:v>
                </c:pt>
                <c:pt idx="21">
                  <c:v>894.44455078994667</c:v>
                </c:pt>
                <c:pt idx="22">
                  <c:v>1016.5876905103869</c:v>
                </c:pt>
                <c:pt idx="23">
                  <c:v>1162.8187437705315</c:v>
                </c:pt>
                <c:pt idx="24">
                  <c:v>702.58882001747122</c:v>
                </c:pt>
                <c:pt idx="25">
                  <c:v>1262.171751366167</c:v>
                </c:pt>
                <c:pt idx="26">
                  <c:v>716</c:v>
                </c:pt>
                <c:pt idx="27">
                  <c:v>1049</c:v>
                </c:pt>
                <c:pt idx="28">
                  <c:v>1205</c:v>
                </c:pt>
                <c:pt idx="29">
                  <c:v>778</c:v>
                </c:pt>
                <c:pt idx="30">
                  <c:v>821</c:v>
                </c:pt>
                <c:pt idx="31">
                  <c:v>1754</c:v>
                </c:pt>
                <c:pt idx="32">
                  <c:v>1873</c:v>
                </c:pt>
                <c:pt idx="33">
                  <c:v>470</c:v>
                </c:pt>
                <c:pt idx="34">
                  <c:v>767</c:v>
                </c:pt>
                <c:pt idx="35">
                  <c:v>674</c:v>
                </c:pt>
              </c:numCache>
            </c:numRef>
          </c:val>
        </c:ser>
        <c:dLbls>
          <c:showLegendKey val="0"/>
          <c:showVal val="0"/>
          <c:showCatName val="0"/>
          <c:showSerName val="0"/>
          <c:showPercent val="0"/>
          <c:showBubbleSize val="0"/>
        </c:dLbls>
        <c:gapWidth val="80"/>
        <c:overlap val="100"/>
        <c:axId val="216705664"/>
        <c:axId val="216711936"/>
      </c:barChart>
      <c:lineChart>
        <c:grouping val="standard"/>
        <c:varyColors val="0"/>
        <c:ser>
          <c:idx val="3"/>
          <c:order val="3"/>
          <c:tx>
            <c:v>Escapement Goal Bounds</c:v>
          </c:tx>
          <c:spPr>
            <a:ln w="25400">
              <a:solidFill>
                <a:srgbClr val="000000"/>
              </a:solidFill>
              <a:prstDash val="solid"/>
            </a:ln>
          </c:spPr>
          <c:marker>
            <c:symbol val="none"/>
          </c:marker>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Data'!$F$130:$F$165</c:f>
              <c:numCache>
                <c:formatCode>#,##0</c:formatCode>
                <c:ptCount val="36"/>
                <c:pt idx="0">
                  <c:v>1600</c:v>
                </c:pt>
                <c:pt idx="1">
                  <c:v>1600</c:v>
                </c:pt>
                <c:pt idx="2">
                  <c:v>1600</c:v>
                </c:pt>
                <c:pt idx="3">
                  <c:v>1600</c:v>
                </c:pt>
                <c:pt idx="4">
                  <c:v>1600</c:v>
                </c:pt>
                <c:pt idx="5">
                  <c:v>1600</c:v>
                </c:pt>
                <c:pt idx="6">
                  <c:v>1600</c:v>
                </c:pt>
                <c:pt idx="7">
                  <c:v>1600</c:v>
                </c:pt>
                <c:pt idx="8">
                  <c:v>1600</c:v>
                </c:pt>
                <c:pt idx="9">
                  <c:v>1600</c:v>
                </c:pt>
                <c:pt idx="10">
                  <c:v>1600</c:v>
                </c:pt>
                <c:pt idx="11">
                  <c:v>1600</c:v>
                </c:pt>
                <c:pt idx="12">
                  <c:v>1600</c:v>
                </c:pt>
                <c:pt idx="13">
                  <c:v>1600</c:v>
                </c:pt>
                <c:pt idx="14">
                  <c:v>1600</c:v>
                </c:pt>
                <c:pt idx="15">
                  <c:v>1600</c:v>
                </c:pt>
                <c:pt idx="16">
                  <c:v>1600</c:v>
                </c:pt>
                <c:pt idx="17">
                  <c:v>1600</c:v>
                </c:pt>
                <c:pt idx="18">
                  <c:v>1600</c:v>
                </c:pt>
                <c:pt idx="19">
                  <c:v>1600</c:v>
                </c:pt>
                <c:pt idx="20">
                  <c:v>1600</c:v>
                </c:pt>
                <c:pt idx="21">
                  <c:v>1600</c:v>
                </c:pt>
                <c:pt idx="22">
                  <c:v>1600</c:v>
                </c:pt>
                <c:pt idx="23">
                  <c:v>1600</c:v>
                </c:pt>
                <c:pt idx="24">
                  <c:v>1600</c:v>
                </c:pt>
                <c:pt idx="25">
                  <c:v>1600</c:v>
                </c:pt>
                <c:pt idx="26">
                  <c:v>1600</c:v>
                </c:pt>
                <c:pt idx="27">
                  <c:v>1600</c:v>
                </c:pt>
                <c:pt idx="28">
                  <c:v>1600</c:v>
                </c:pt>
                <c:pt idx="29">
                  <c:v>1600</c:v>
                </c:pt>
                <c:pt idx="30">
                  <c:v>1600</c:v>
                </c:pt>
                <c:pt idx="31">
                  <c:v>1600</c:v>
                </c:pt>
                <c:pt idx="32">
                  <c:v>1600</c:v>
                </c:pt>
                <c:pt idx="33">
                  <c:v>1600</c:v>
                </c:pt>
                <c:pt idx="34">
                  <c:v>1600</c:v>
                </c:pt>
                <c:pt idx="35">
                  <c:v>1600</c:v>
                </c:pt>
              </c:numCache>
            </c:numRef>
          </c:val>
          <c:smooth val="0"/>
        </c:ser>
        <c:ser>
          <c:idx val="4"/>
          <c:order val="4"/>
          <c:spPr>
            <a:ln w="25400">
              <a:solidFill>
                <a:srgbClr val="000000"/>
              </a:solidFill>
              <a:prstDash val="solid"/>
            </a:ln>
          </c:spPr>
          <c:marker>
            <c:symbol val="none"/>
          </c:marker>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Data'!$E$130:$E$165</c:f>
              <c:numCache>
                <c:formatCode>#,##0</c:formatCode>
                <c:ptCount val="36"/>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numCache>
            </c:numRef>
          </c:val>
          <c:smooth val="0"/>
        </c:ser>
        <c:dLbls>
          <c:showLegendKey val="0"/>
          <c:showVal val="0"/>
          <c:showCatName val="0"/>
          <c:showSerName val="0"/>
          <c:showPercent val="0"/>
          <c:showBubbleSize val="0"/>
        </c:dLbls>
        <c:marker val="1"/>
        <c:smooth val="0"/>
        <c:axId val="216705664"/>
        <c:axId val="216711936"/>
      </c:lineChart>
      <c:catAx>
        <c:axId val="216705664"/>
        <c:scaling>
          <c:orientation val="minMax"/>
        </c:scaling>
        <c:delete val="0"/>
        <c:axPos val="b"/>
        <c:title>
          <c:tx>
            <c:rich>
              <a:bodyPr/>
              <a:lstStyle/>
              <a:p>
                <a:pPr>
                  <a:defRPr sz="1200"/>
                </a:pPr>
                <a:r>
                  <a:rPr lang="en-US" sz="1200"/>
                  <a:t>Year</a:t>
                </a:r>
              </a:p>
            </c:rich>
          </c:tx>
          <c:layout>
            <c:manualLayout>
              <c:xMode val="edge"/>
              <c:yMode val="edge"/>
              <c:x val="0.51971347350825869"/>
              <c:y val="0.93381764465371464"/>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a:pPr>
            <a:endParaRPr lang="en-US"/>
          </a:p>
        </c:txPr>
        <c:crossAx val="216711936"/>
        <c:crosses val="autoZero"/>
        <c:auto val="0"/>
        <c:lblAlgn val="ctr"/>
        <c:lblOffset val="100"/>
        <c:tickLblSkip val="2"/>
        <c:tickMarkSkip val="1"/>
        <c:noMultiLvlLbl val="0"/>
      </c:catAx>
      <c:valAx>
        <c:axId val="216711936"/>
        <c:scaling>
          <c:orientation val="minMax"/>
          <c:max val="9500"/>
          <c:min val="0"/>
        </c:scaling>
        <c:delete val="0"/>
        <c:axPos val="l"/>
        <c:title>
          <c:tx>
            <c:rich>
              <a:bodyPr/>
              <a:lstStyle/>
              <a:p>
                <a:pPr>
                  <a:defRPr sz="1200"/>
                </a:pPr>
                <a:r>
                  <a:rPr lang="en-US" sz="1200"/>
                  <a:t>Number of Coho Salmon</a:t>
                </a:r>
              </a:p>
            </c:rich>
          </c:tx>
          <c:layout>
            <c:manualLayout>
              <c:xMode val="edge"/>
              <c:yMode val="edge"/>
              <c:x val="7.408322707574742E-3"/>
              <c:y val="0.1920925168321020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a:pPr>
            <a:endParaRPr lang="en-US"/>
          </a:p>
        </c:txPr>
        <c:crossAx val="216705664"/>
        <c:crosses val="autoZero"/>
        <c:crossBetween val="between"/>
      </c:valAx>
      <c:spPr>
        <a:noFill/>
        <a:ln w="25400">
          <a:noFill/>
        </a:ln>
      </c:spPr>
    </c:plotArea>
    <c:legend>
      <c:legendPos val="r"/>
      <c:legendEntry>
        <c:idx val="4"/>
        <c:delete val="1"/>
      </c:legendEntry>
      <c:layout>
        <c:manualLayout>
          <c:xMode val="edge"/>
          <c:yMode val="edge"/>
          <c:x val="0.42828710245892626"/>
          <c:y val="3.9982062543689578E-2"/>
          <c:w val="0.45250303014448773"/>
          <c:h val="0.2682690216209162"/>
        </c:manualLayout>
      </c:layout>
      <c:overlay val="1"/>
    </c:legend>
    <c:plotVisOnly val="1"/>
    <c:dispBlanksAs val="gap"/>
    <c:showDLblsOverMax val="0"/>
  </c:chart>
  <c:spPr>
    <a:solidFill>
      <a:srgbClr val="FFFFFF"/>
    </a:solidFill>
    <a:ln w="9525">
      <a:solidFill>
        <a:schemeClr val="tx1"/>
      </a:solidFill>
    </a:ln>
  </c:spPr>
  <c:txPr>
    <a:bodyPr/>
    <a:lstStyle/>
    <a:p>
      <a:pPr>
        <a:defRPr sz="1100" b="0" i="0" u="none" strike="noStrike" baseline="0">
          <a:solidFill>
            <a:srgbClr val="000000"/>
          </a:solidFill>
          <a:latin typeface="Arial" panose="020B0604020202020204" pitchFamily="34" charset="0"/>
          <a:ea typeface="Times New Roman"/>
          <a:cs typeface="Arial" panose="020B0604020202020204" pitchFamily="34" charset="0"/>
        </a:defRPr>
      </a:pPr>
      <a:endParaRPr lang="en-US"/>
    </a:p>
  </c:txPr>
  <c:printSettings>
    <c:headerFooter alignWithMargins="0"/>
    <c:pageMargins b="1" l="0.75" r="0.75" t="1" header="0.5" footer="0.5"/>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8214784921501"/>
          <c:y val="3.8852501634005845E-2"/>
          <c:w val="0.83674234197329933"/>
          <c:h val="0.7804827605805168"/>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Data'!$D$130:$D$166</c:f>
              <c:numCache>
                <c:formatCode>#,##0</c:formatCode>
                <c:ptCount val="37"/>
                <c:pt idx="0">
                  <c:v>2144</c:v>
                </c:pt>
                <c:pt idx="1">
                  <c:v>1487</c:v>
                </c:pt>
                <c:pt idx="2">
                  <c:v>1407</c:v>
                </c:pt>
                <c:pt idx="3">
                  <c:v>903</c:v>
                </c:pt>
                <c:pt idx="4">
                  <c:v>1782</c:v>
                </c:pt>
                <c:pt idx="5">
                  <c:v>1117</c:v>
                </c:pt>
                <c:pt idx="6">
                  <c:v>513</c:v>
                </c:pt>
                <c:pt idx="7">
                  <c:v>433</c:v>
                </c:pt>
                <c:pt idx="8">
                  <c:v>870</c:v>
                </c:pt>
                <c:pt idx="9">
                  <c:v>1836</c:v>
                </c:pt>
                <c:pt idx="10">
                  <c:v>1426</c:v>
                </c:pt>
                <c:pt idx="11">
                  <c:v>832</c:v>
                </c:pt>
                <c:pt idx="12">
                  <c:v>1753</c:v>
                </c:pt>
                <c:pt idx="13">
                  <c:v>1781</c:v>
                </c:pt>
                <c:pt idx="14">
                  <c:v>950</c:v>
                </c:pt>
                <c:pt idx="15">
                  <c:v>732</c:v>
                </c:pt>
                <c:pt idx="16">
                  <c:v>983</c:v>
                </c:pt>
                <c:pt idx="17">
                  <c:v>1246</c:v>
                </c:pt>
                <c:pt idx="18">
                  <c:v>600</c:v>
                </c:pt>
                <c:pt idx="19">
                  <c:v>1580</c:v>
                </c:pt>
                <c:pt idx="20">
                  <c:v>3291</c:v>
                </c:pt>
                <c:pt idx="21">
                  <c:v>1510</c:v>
                </c:pt>
                <c:pt idx="22">
                  <c:v>840</c:v>
                </c:pt>
                <c:pt idx="23">
                  <c:v>1732</c:v>
                </c:pt>
                <c:pt idx="24">
                  <c:v>891</c:v>
                </c:pt>
                <c:pt idx="25">
                  <c:v>1244</c:v>
                </c:pt>
                <c:pt idx="26">
                  <c:v>1741</c:v>
                </c:pt>
                <c:pt idx="27">
                  <c:v>2281</c:v>
                </c:pt>
                <c:pt idx="28">
                  <c:v>2878</c:v>
                </c:pt>
                <c:pt idx="29">
                  <c:v>2137</c:v>
                </c:pt>
                <c:pt idx="30">
                  <c:v>1908</c:v>
                </c:pt>
                <c:pt idx="31">
                  <c:v>3048</c:v>
                </c:pt>
                <c:pt idx="32">
                  <c:v>4110</c:v>
                </c:pt>
                <c:pt idx="33">
                  <c:v>956</c:v>
                </c:pt>
                <c:pt idx="34">
                  <c:v>948</c:v>
                </c:pt>
                <c:pt idx="35">
                  <c:v>1266</c:v>
                </c:pt>
                <c:pt idx="36">
                  <c:v>619</c:v>
                </c:pt>
              </c:numCache>
            </c:numRef>
          </c:val>
        </c:ser>
        <c:ser>
          <c:idx val="0"/>
          <c:order val="1"/>
          <c:tx>
            <c:v>Other Harvest</c:v>
          </c:tx>
          <c:spPr>
            <a:solidFill>
              <a:srgbClr val="C0C0C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Data'!$C$130:$C$166</c:f>
              <c:numCache>
                <c:formatCode>_(* #,##0_);_(* \(#,##0\);_(* "-"??_);_(@_)</c:formatCode>
                <c:ptCount val="37"/>
                <c:pt idx="0">
                  <c:v>1230.5753876470587</c:v>
                </c:pt>
                <c:pt idx="1">
                  <c:v>1014.0181963656697</c:v>
                </c:pt>
                <c:pt idx="2">
                  <c:v>1350.6595404477289</c:v>
                </c:pt>
                <c:pt idx="3">
                  <c:v>669.11447398568021</c:v>
                </c:pt>
                <c:pt idx="4">
                  <c:v>985.58798862262915</c:v>
                </c:pt>
                <c:pt idx="5">
                  <c:v>469.47551346153847</c:v>
                </c:pt>
                <c:pt idx="6">
                  <c:v>553.92087272727258</c:v>
                </c:pt>
                <c:pt idx="7">
                  <c:v>754.4066980392156</c:v>
                </c:pt>
                <c:pt idx="8">
                  <c:v>2120.3495905882355</c:v>
                </c:pt>
                <c:pt idx="9">
                  <c:v>1827.4302368728897</c:v>
                </c:pt>
                <c:pt idx="10">
                  <c:v>1614.2097813915841</c:v>
                </c:pt>
                <c:pt idx="11">
                  <c:v>1182.6648083720929</c:v>
                </c:pt>
                <c:pt idx="12">
                  <c:v>3377.7121766470227</c:v>
                </c:pt>
                <c:pt idx="13">
                  <c:v>2908.8830356149738</c:v>
                </c:pt>
                <c:pt idx="14">
                  <c:v>1412.5816924618321</c:v>
                </c:pt>
                <c:pt idx="15">
                  <c:v>642.27624729458887</c:v>
                </c:pt>
                <c:pt idx="16">
                  <c:v>1616.7849101565732</c:v>
                </c:pt>
                <c:pt idx="17">
                  <c:v>1218.5799839416054</c:v>
                </c:pt>
                <c:pt idx="18">
                  <c:v>257.86700695530726</c:v>
                </c:pt>
                <c:pt idx="19">
                  <c:v>842.97839427618123</c:v>
                </c:pt>
                <c:pt idx="20">
                  <c:v>1223.4342523664409</c:v>
                </c:pt>
                <c:pt idx="21">
                  <c:v>1271.9577179381895</c:v>
                </c:pt>
                <c:pt idx="22">
                  <c:v>634.97066169912546</c:v>
                </c:pt>
                <c:pt idx="23">
                  <c:v>757.39708332706766</c:v>
                </c:pt>
                <c:pt idx="24">
                  <c:v>332.29241843391799</c:v>
                </c:pt>
                <c:pt idx="25">
                  <c:v>802.88434478455508</c:v>
                </c:pt>
                <c:pt idx="26">
                  <c:v>1319</c:v>
                </c:pt>
                <c:pt idx="27">
                  <c:v>1053</c:v>
                </c:pt>
                <c:pt idx="28">
                  <c:v>1334</c:v>
                </c:pt>
                <c:pt idx="29">
                  <c:v>1022</c:v>
                </c:pt>
                <c:pt idx="30">
                  <c:v>1434</c:v>
                </c:pt>
                <c:pt idx="31">
                  <c:v>2104</c:v>
                </c:pt>
                <c:pt idx="32">
                  <c:v>1724</c:v>
                </c:pt>
                <c:pt idx="33">
                  <c:v>528</c:v>
                </c:pt>
                <c:pt idx="34">
                  <c:v>751</c:v>
                </c:pt>
                <c:pt idx="35">
                  <c:v>485</c:v>
                </c:pt>
                <c:pt idx="36" formatCode="General">
                  <c:v>469</c:v>
                </c:pt>
              </c:numCache>
            </c:numRef>
          </c:val>
        </c:ser>
        <c:ser>
          <c:idx val="1"/>
          <c:order val="2"/>
          <c:tx>
            <c:v>Alaska Troll Harvest</c:v>
          </c:tx>
          <c:spPr>
            <a:solidFill>
              <a:srgbClr val="FFFFFF"/>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Data'!$B$130:$B$166</c:f>
              <c:numCache>
                <c:formatCode>_(* #,##0_);_(* \(#,##0\);_(* "-"??_);_(@_)</c:formatCode>
                <c:ptCount val="37"/>
                <c:pt idx="0">
                  <c:v>2757.8227129411762</c:v>
                </c:pt>
                <c:pt idx="1">
                  <c:v>1373.619409225608</c:v>
                </c:pt>
                <c:pt idx="2">
                  <c:v>1266.002262812432</c:v>
                </c:pt>
                <c:pt idx="3">
                  <c:v>867.94892823388955</c:v>
                </c:pt>
                <c:pt idx="4">
                  <c:v>1597.6548065454551</c:v>
                </c:pt>
                <c:pt idx="5">
                  <c:v>657.25781161538475</c:v>
                </c:pt>
                <c:pt idx="6">
                  <c:v>405.92055454545448</c:v>
                </c:pt>
                <c:pt idx="7">
                  <c:v>1216.7415215686278</c:v>
                </c:pt>
                <c:pt idx="8">
                  <c:v>1803.2502211764713</c:v>
                </c:pt>
                <c:pt idx="9">
                  <c:v>2103.3371628347909</c:v>
                </c:pt>
                <c:pt idx="10">
                  <c:v>1854.4718550844138</c:v>
                </c:pt>
                <c:pt idx="11">
                  <c:v>2227.1374611627898</c:v>
                </c:pt>
                <c:pt idx="12">
                  <c:v>4333.0464887241487</c:v>
                </c:pt>
                <c:pt idx="13">
                  <c:v>2018.3078434224599</c:v>
                </c:pt>
                <c:pt idx="14">
                  <c:v>1585.4382060305347</c:v>
                </c:pt>
                <c:pt idx="15">
                  <c:v>1321.3277620440876</c:v>
                </c:pt>
                <c:pt idx="16">
                  <c:v>1771.4823739124367</c:v>
                </c:pt>
                <c:pt idx="17">
                  <c:v>1756.6023003284683</c:v>
                </c:pt>
                <c:pt idx="18">
                  <c:v>488.56200189944082</c:v>
                </c:pt>
                <c:pt idx="19">
                  <c:v>696.43144301589678</c:v>
                </c:pt>
                <c:pt idx="20">
                  <c:v>891.5136973965391</c:v>
                </c:pt>
                <c:pt idx="21">
                  <c:v>894.44455078994667</c:v>
                </c:pt>
                <c:pt idx="22">
                  <c:v>1016.5876905103869</c:v>
                </c:pt>
                <c:pt idx="23">
                  <c:v>1162.8187437705315</c:v>
                </c:pt>
                <c:pt idx="24">
                  <c:v>702.58882001747122</c:v>
                </c:pt>
                <c:pt idx="25">
                  <c:v>1262.171751366167</c:v>
                </c:pt>
                <c:pt idx="26">
                  <c:v>716</c:v>
                </c:pt>
                <c:pt idx="27">
                  <c:v>1049</c:v>
                </c:pt>
                <c:pt idx="28">
                  <c:v>1205</c:v>
                </c:pt>
                <c:pt idx="29">
                  <c:v>778</c:v>
                </c:pt>
                <c:pt idx="30">
                  <c:v>821</c:v>
                </c:pt>
                <c:pt idx="31">
                  <c:v>1754</c:v>
                </c:pt>
                <c:pt idx="32">
                  <c:v>1873</c:v>
                </c:pt>
                <c:pt idx="33">
                  <c:v>470</c:v>
                </c:pt>
                <c:pt idx="34">
                  <c:v>767</c:v>
                </c:pt>
                <c:pt idx="35">
                  <c:v>674</c:v>
                </c:pt>
                <c:pt idx="36" formatCode="General">
                  <c:v>230</c:v>
                </c:pt>
              </c:numCache>
            </c:numRef>
          </c:val>
        </c:ser>
        <c:dLbls>
          <c:showLegendKey val="0"/>
          <c:showVal val="0"/>
          <c:showCatName val="0"/>
          <c:showSerName val="0"/>
          <c:showPercent val="0"/>
          <c:showBubbleSize val="0"/>
        </c:dLbls>
        <c:gapWidth val="80"/>
        <c:overlap val="100"/>
        <c:axId val="216515328"/>
        <c:axId val="216517248"/>
      </c:barChart>
      <c:lineChart>
        <c:grouping val="standard"/>
        <c:varyColors val="0"/>
        <c:ser>
          <c:idx val="3"/>
          <c:order val="3"/>
          <c:tx>
            <c:v>Escapement Goal Bounds</c:v>
          </c:tx>
          <c:spPr>
            <a:ln w="25400">
              <a:solidFill>
                <a:srgbClr val="000000"/>
              </a:solidFill>
              <a:prstDash val="solid"/>
            </a:ln>
          </c:spPr>
          <c:marker>
            <c:symbol val="none"/>
          </c:marker>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Data'!$F$130:$F$166</c:f>
              <c:numCache>
                <c:formatCode>#,##0</c:formatCode>
                <c:ptCount val="37"/>
                <c:pt idx="0">
                  <c:v>1600</c:v>
                </c:pt>
                <c:pt idx="1">
                  <c:v>1600</c:v>
                </c:pt>
                <c:pt idx="2">
                  <c:v>1600</c:v>
                </c:pt>
                <c:pt idx="3">
                  <c:v>1600</c:v>
                </c:pt>
                <c:pt idx="4">
                  <c:v>1600</c:v>
                </c:pt>
                <c:pt idx="5">
                  <c:v>1600</c:v>
                </c:pt>
                <c:pt idx="6">
                  <c:v>1600</c:v>
                </c:pt>
                <c:pt idx="7">
                  <c:v>1600</c:v>
                </c:pt>
                <c:pt idx="8">
                  <c:v>1600</c:v>
                </c:pt>
                <c:pt idx="9">
                  <c:v>1600</c:v>
                </c:pt>
                <c:pt idx="10">
                  <c:v>1600</c:v>
                </c:pt>
                <c:pt idx="11">
                  <c:v>1600</c:v>
                </c:pt>
                <c:pt idx="12">
                  <c:v>1600</c:v>
                </c:pt>
                <c:pt idx="13">
                  <c:v>1600</c:v>
                </c:pt>
                <c:pt idx="14">
                  <c:v>1600</c:v>
                </c:pt>
                <c:pt idx="15">
                  <c:v>1600</c:v>
                </c:pt>
                <c:pt idx="16">
                  <c:v>1600</c:v>
                </c:pt>
                <c:pt idx="17">
                  <c:v>1600</c:v>
                </c:pt>
                <c:pt idx="18">
                  <c:v>1600</c:v>
                </c:pt>
                <c:pt idx="19">
                  <c:v>1600</c:v>
                </c:pt>
                <c:pt idx="20">
                  <c:v>1600</c:v>
                </c:pt>
                <c:pt idx="21">
                  <c:v>1600</c:v>
                </c:pt>
                <c:pt idx="22">
                  <c:v>1600</c:v>
                </c:pt>
                <c:pt idx="23">
                  <c:v>1600</c:v>
                </c:pt>
                <c:pt idx="24">
                  <c:v>1600</c:v>
                </c:pt>
                <c:pt idx="25">
                  <c:v>1600</c:v>
                </c:pt>
                <c:pt idx="26">
                  <c:v>1600</c:v>
                </c:pt>
                <c:pt idx="27">
                  <c:v>1600</c:v>
                </c:pt>
                <c:pt idx="28">
                  <c:v>1600</c:v>
                </c:pt>
                <c:pt idx="29">
                  <c:v>1600</c:v>
                </c:pt>
                <c:pt idx="30">
                  <c:v>1600</c:v>
                </c:pt>
                <c:pt idx="31">
                  <c:v>1600</c:v>
                </c:pt>
                <c:pt idx="32">
                  <c:v>1600</c:v>
                </c:pt>
                <c:pt idx="33">
                  <c:v>1600</c:v>
                </c:pt>
                <c:pt idx="34">
                  <c:v>1600</c:v>
                </c:pt>
                <c:pt idx="35">
                  <c:v>1600</c:v>
                </c:pt>
                <c:pt idx="36">
                  <c:v>1600</c:v>
                </c:pt>
              </c:numCache>
            </c:numRef>
          </c:val>
          <c:smooth val="0"/>
        </c:ser>
        <c:ser>
          <c:idx val="4"/>
          <c:order val="4"/>
          <c:spPr>
            <a:ln w="25400">
              <a:solidFill>
                <a:srgbClr val="000000"/>
              </a:solidFill>
              <a:prstDash val="solid"/>
            </a:ln>
          </c:spPr>
          <c:marker>
            <c:symbol val="none"/>
          </c:marker>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Data'!$E$130:$E$166</c:f>
              <c:numCache>
                <c:formatCode>#,##0</c:formatCode>
                <c:ptCount val="37"/>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pt idx="36">
                  <c:v>500</c:v>
                </c:pt>
              </c:numCache>
            </c:numRef>
          </c:val>
          <c:smooth val="0"/>
        </c:ser>
        <c:dLbls>
          <c:showLegendKey val="0"/>
          <c:showVal val="0"/>
          <c:showCatName val="0"/>
          <c:showSerName val="0"/>
          <c:showPercent val="0"/>
          <c:showBubbleSize val="0"/>
        </c:dLbls>
        <c:marker val="1"/>
        <c:smooth val="0"/>
        <c:axId val="216515328"/>
        <c:axId val="216517248"/>
      </c:lineChart>
      <c:catAx>
        <c:axId val="216515328"/>
        <c:scaling>
          <c:orientation val="minMax"/>
        </c:scaling>
        <c:delete val="0"/>
        <c:axPos val="b"/>
        <c:title>
          <c:tx>
            <c:rich>
              <a:bodyPr/>
              <a:lstStyle/>
              <a:p>
                <a:pPr>
                  <a:defRPr sz="1200"/>
                </a:pPr>
                <a:r>
                  <a:rPr lang="en-US" sz="1200"/>
                  <a:t>Year</a:t>
                </a:r>
              </a:p>
            </c:rich>
          </c:tx>
          <c:layout>
            <c:manualLayout>
              <c:xMode val="edge"/>
              <c:yMode val="edge"/>
              <c:x val="0.51971347350825869"/>
              <c:y val="0.93381764465371464"/>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a:pPr>
            <a:endParaRPr lang="en-US"/>
          </a:p>
        </c:txPr>
        <c:crossAx val="216517248"/>
        <c:crosses val="autoZero"/>
        <c:auto val="0"/>
        <c:lblAlgn val="ctr"/>
        <c:lblOffset val="100"/>
        <c:tickLblSkip val="2"/>
        <c:tickMarkSkip val="1"/>
        <c:noMultiLvlLbl val="0"/>
      </c:catAx>
      <c:valAx>
        <c:axId val="216517248"/>
        <c:scaling>
          <c:orientation val="minMax"/>
          <c:max val="9500"/>
          <c:min val="0"/>
        </c:scaling>
        <c:delete val="0"/>
        <c:axPos val="l"/>
        <c:title>
          <c:tx>
            <c:rich>
              <a:bodyPr/>
              <a:lstStyle/>
              <a:p>
                <a:pPr>
                  <a:defRPr sz="1200"/>
                </a:pPr>
                <a:r>
                  <a:rPr lang="en-US" sz="1200"/>
                  <a:t>Number of Coho Salmon</a:t>
                </a:r>
              </a:p>
            </c:rich>
          </c:tx>
          <c:layout>
            <c:manualLayout>
              <c:xMode val="edge"/>
              <c:yMode val="edge"/>
              <c:x val="7.408322707574742E-3"/>
              <c:y val="0.1920925168321020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a:pPr>
            <a:endParaRPr lang="en-US"/>
          </a:p>
        </c:txPr>
        <c:crossAx val="216515328"/>
        <c:crosses val="autoZero"/>
        <c:crossBetween val="between"/>
      </c:valAx>
      <c:spPr>
        <a:noFill/>
        <a:ln w="25400">
          <a:noFill/>
        </a:ln>
      </c:spPr>
    </c:plotArea>
    <c:legend>
      <c:legendPos val="r"/>
      <c:legendEntry>
        <c:idx val="4"/>
        <c:delete val="1"/>
      </c:legendEntry>
      <c:layout>
        <c:manualLayout>
          <c:xMode val="edge"/>
          <c:yMode val="edge"/>
          <c:x val="0.42828710245892626"/>
          <c:y val="3.9982062543689578E-2"/>
          <c:w val="0.45250303014448773"/>
          <c:h val="0.2682690216209162"/>
        </c:manualLayout>
      </c:layout>
      <c:overlay val="1"/>
    </c:legend>
    <c:plotVisOnly val="1"/>
    <c:dispBlanksAs val="gap"/>
    <c:showDLblsOverMax val="0"/>
  </c:chart>
  <c:spPr>
    <a:solidFill>
      <a:srgbClr val="FFFFFF"/>
    </a:solidFill>
    <a:ln w="9525">
      <a:solidFill>
        <a:schemeClr val="tx1"/>
      </a:solidFill>
    </a:ln>
  </c:spPr>
  <c:txPr>
    <a:bodyPr/>
    <a:lstStyle/>
    <a:p>
      <a:pPr>
        <a:defRPr sz="1100" b="0" i="0" u="none" strike="noStrike" baseline="0">
          <a:solidFill>
            <a:srgbClr val="000000"/>
          </a:solidFill>
          <a:latin typeface="Arial" panose="020B0604020202020204" pitchFamily="34" charset="0"/>
          <a:ea typeface="Times New Roman"/>
          <a:cs typeface="Arial" panose="020B0604020202020204" pitchFamily="34" charset="0"/>
        </a:defRPr>
      </a:pPr>
      <a:endParaRPr lang="en-US"/>
    </a:p>
  </c:txPr>
  <c:printSettings>
    <c:headerFooter alignWithMargins="0"/>
    <c:pageMargins b="1" l="0.75" r="0.75" t="1" header="0.5" footer="0.5"/>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sz="1400"/>
              <a:t>Taku River</a:t>
            </a:r>
          </a:p>
        </c:rich>
      </c:tx>
      <c:layout>
        <c:manualLayout>
          <c:xMode val="edge"/>
          <c:yMode val="edge"/>
          <c:x val="0.48895933072743591"/>
          <c:y val="5.5471773655411713E-2"/>
        </c:manualLayout>
      </c:layout>
      <c:overlay val="0"/>
      <c:spPr>
        <a:noFill/>
        <a:ln w="25400">
          <a:noFill/>
        </a:ln>
      </c:spPr>
    </c:title>
    <c:autoTitleDeleted val="0"/>
    <c:plotArea>
      <c:layout>
        <c:manualLayout>
          <c:layoutTarget val="inner"/>
          <c:xMode val="edge"/>
          <c:yMode val="edge"/>
          <c:x val="0.13899691723083971"/>
          <c:y val="7.9538235686640868E-2"/>
          <c:w val="0.85418163931225333"/>
          <c:h val="0.87538458116464257"/>
        </c:manualLayout>
      </c:layout>
      <c:barChart>
        <c:barDir val="col"/>
        <c:grouping val="stacked"/>
        <c:varyColors val="0"/>
        <c:ser>
          <c:idx val="2"/>
          <c:order val="0"/>
          <c:tx>
            <c:strRef>
              <c:f>'Taku Table'!$H$5</c:f>
              <c:strCache>
                <c:ptCount val="1"/>
                <c:pt idx="0">
                  <c:v>Escapement</c:v>
                </c:pt>
              </c:strCache>
            </c:strRef>
          </c:tx>
          <c:spPr>
            <a:solidFill>
              <a:srgbClr val="000000"/>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Table'!$H$6:$H$37</c:f>
              <c:numCache>
                <c:formatCode>#,##0</c:formatCode>
                <c:ptCount val="32"/>
                <c:pt idx="0">
                  <c:v>55457</c:v>
                </c:pt>
                <c:pt idx="1">
                  <c:v>39450</c:v>
                </c:pt>
                <c:pt idx="2">
                  <c:v>56808</c:v>
                </c:pt>
                <c:pt idx="3">
                  <c:v>72196</c:v>
                </c:pt>
                <c:pt idx="4">
                  <c:v>127484</c:v>
                </c:pt>
                <c:pt idx="5">
                  <c:v>83729</c:v>
                </c:pt>
                <c:pt idx="6">
                  <c:v>119330</c:v>
                </c:pt>
                <c:pt idx="7">
                  <c:v>96343</c:v>
                </c:pt>
                <c:pt idx="8">
                  <c:v>55710</c:v>
                </c:pt>
                <c:pt idx="9">
                  <c:v>44635</c:v>
                </c:pt>
                <c:pt idx="10">
                  <c:v>32345</c:v>
                </c:pt>
                <c:pt idx="11">
                  <c:v>61382</c:v>
                </c:pt>
                <c:pt idx="12">
                  <c:v>60768</c:v>
                </c:pt>
                <c:pt idx="13">
                  <c:v>64700</c:v>
                </c:pt>
                <c:pt idx="14">
                  <c:v>104394</c:v>
                </c:pt>
                <c:pt idx="15">
                  <c:v>219360</c:v>
                </c:pt>
                <c:pt idx="16">
                  <c:v>183112</c:v>
                </c:pt>
                <c:pt idx="17">
                  <c:v>129327</c:v>
                </c:pt>
                <c:pt idx="18">
                  <c:v>135558</c:v>
                </c:pt>
                <c:pt idx="19">
                  <c:v>122384</c:v>
                </c:pt>
                <c:pt idx="20">
                  <c:v>74246</c:v>
                </c:pt>
                <c:pt idx="21">
                  <c:v>95226</c:v>
                </c:pt>
                <c:pt idx="22">
                  <c:v>103950</c:v>
                </c:pt>
                <c:pt idx="23">
                  <c:v>126830</c:v>
                </c:pt>
                <c:pt idx="24">
                  <c:v>70871</c:v>
                </c:pt>
                <c:pt idx="25">
                  <c:v>70775</c:v>
                </c:pt>
                <c:pt idx="26">
                  <c:v>68117</c:v>
                </c:pt>
                <c:pt idx="27">
                  <c:v>124171</c:v>
                </c:pt>
                <c:pt idx="28">
                  <c:v>60178</c:v>
                </c:pt>
                <c:pt idx="29">
                  <c:v>87704</c:v>
                </c:pt>
                <c:pt idx="30">
                  <c:v>57868</c:v>
                </c:pt>
                <c:pt idx="31">
                  <c:v>51175</c:v>
                </c:pt>
              </c:numCache>
            </c:numRef>
          </c:val>
        </c:ser>
        <c:ser>
          <c:idx val="0"/>
          <c:order val="1"/>
          <c:tx>
            <c:strRef>
              <c:f>'Taku Table'!$P$4:$P$5</c:f>
              <c:strCache>
                <c:ptCount val="1"/>
                <c:pt idx="0">
                  <c:v>Non-Troll Catch</c:v>
                </c:pt>
              </c:strCache>
            </c:strRef>
          </c:tx>
          <c:spPr>
            <a:solidFill>
              <a:srgbClr val="C0C0C0"/>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Table'!$P$6:$P$37</c:f>
              <c:numCache>
                <c:formatCode>General_)</c:formatCode>
                <c:ptCount val="32"/>
                <c:pt idx="5" formatCode="#,##0">
                  <c:v>87356</c:v>
                </c:pt>
                <c:pt idx="6" formatCode="#,##0">
                  <c:v>51619</c:v>
                </c:pt>
                <c:pt idx="7" formatCode="#,##0">
                  <c:v>146354</c:v>
                </c:pt>
                <c:pt idx="8" formatCode="#,##0">
                  <c:v>80365</c:v>
                </c:pt>
                <c:pt idx="9" formatCode="#,##0">
                  <c:v>24869</c:v>
                </c:pt>
                <c:pt idx="10" formatCode="#,##0">
                  <c:v>9719</c:v>
                </c:pt>
                <c:pt idx="11" formatCode="#,##0">
                  <c:v>29716</c:v>
                </c:pt>
                <c:pt idx="12" formatCode="#,##0">
                  <c:v>20177</c:v>
                </c:pt>
                <c:pt idx="13" formatCode="#,##0">
                  <c:v>23213</c:v>
                </c:pt>
                <c:pt idx="14" formatCode="#,##0">
                  <c:v>20057</c:v>
                </c:pt>
                <c:pt idx="15" formatCode="#,##0">
                  <c:v>44862</c:v>
                </c:pt>
                <c:pt idx="16" formatCode="#,##0">
                  <c:v>45545</c:v>
                </c:pt>
                <c:pt idx="17" formatCode="#,##0">
                  <c:v>60208</c:v>
                </c:pt>
                <c:pt idx="18" formatCode="#,##0">
                  <c:v>40918</c:v>
                </c:pt>
                <c:pt idx="19" formatCode="#,##0">
                  <c:v>54916</c:v>
                </c:pt>
                <c:pt idx="20" formatCode="#,##0">
                  <c:v>35536</c:v>
                </c:pt>
                <c:pt idx="21" formatCode="#,##0">
                  <c:v>30847.766389248813</c:v>
                </c:pt>
                <c:pt idx="22" formatCode="#,##0">
                  <c:v>68312.627605744012</c:v>
                </c:pt>
                <c:pt idx="23" formatCode="#,##0">
                  <c:v>85438.437844391898</c:v>
                </c:pt>
                <c:pt idx="24" formatCode="#,##0">
                  <c:v>35242.13105258561</c:v>
                </c:pt>
                <c:pt idx="25" formatCode="#,##0">
                  <c:v>27523.79998540107</c:v>
                </c:pt>
                <c:pt idx="26" formatCode="#,##0">
                  <c:v>40443.329659128663</c:v>
                </c:pt>
                <c:pt idx="27" formatCode="#,##0">
                  <c:v>53366.311612455509</c:v>
                </c:pt>
                <c:pt idx="28" formatCode="#,##0">
                  <c:v>27868.255156835003</c:v>
                </c:pt>
                <c:pt idx="29" formatCode="#,##0">
                  <c:v>28013.201252292773</c:v>
                </c:pt>
                <c:pt idx="30" formatCode="#,##0">
                  <c:v>28897</c:v>
                </c:pt>
                <c:pt idx="31" formatCode="#,##0">
                  <c:v>29317</c:v>
                </c:pt>
              </c:numCache>
            </c:numRef>
          </c:val>
        </c:ser>
        <c:ser>
          <c:idx val="1"/>
          <c:order val="2"/>
          <c:tx>
            <c:strRef>
              <c:f>'Taku Table'!$B$5</c:f>
              <c:strCache>
                <c:ptCount val="1"/>
                <c:pt idx="0">
                  <c:v>Troll</c:v>
                </c:pt>
              </c:strCache>
            </c:strRef>
          </c:tx>
          <c:spPr>
            <a:solidFill>
              <a:srgbClr val="FFFFFF"/>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Table'!$B$6:$B$37</c:f>
              <c:numCache>
                <c:formatCode>#,##0</c:formatCode>
                <c:ptCount val="32"/>
                <c:pt idx="0">
                  <c:v>0</c:v>
                </c:pt>
                <c:pt idx="1">
                  <c:v>0</c:v>
                </c:pt>
                <c:pt idx="2">
                  <c:v>0</c:v>
                </c:pt>
                <c:pt idx="3">
                  <c:v>0</c:v>
                </c:pt>
                <c:pt idx="4">
                  <c:v>0</c:v>
                </c:pt>
                <c:pt idx="5">
                  <c:v>41713</c:v>
                </c:pt>
                <c:pt idx="6">
                  <c:v>78371</c:v>
                </c:pt>
                <c:pt idx="7">
                  <c:v>97039</c:v>
                </c:pt>
                <c:pt idx="8">
                  <c:v>45041</c:v>
                </c:pt>
                <c:pt idx="9">
                  <c:v>24779</c:v>
                </c:pt>
                <c:pt idx="10">
                  <c:v>8822</c:v>
                </c:pt>
                <c:pt idx="11">
                  <c:v>28827</c:v>
                </c:pt>
                <c:pt idx="12">
                  <c:v>36231</c:v>
                </c:pt>
                <c:pt idx="13">
                  <c:v>21236</c:v>
                </c:pt>
                <c:pt idx="14">
                  <c:v>38326</c:v>
                </c:pt>
                <c:pt idx="15">
                  <c:v>39053</c:v>
                </c:pt>
                <c:pt idx="16">
                  <c:v>36433</c:v>
                </c:pt>
                <c:pt idx="17">
                  <c:v>62002</c:v>
                </c:pt>
                <c:pt idx="18">
                  <c:v>46521</c:v>
                </c:pt>
                <c:pt idx="19">
                  <c:v>49394</c:v>
                </c:pt>
                <c:pt idx="20">
                  <c:v>23519</c:v>
                </c:pt>
                <c:pt idx="21">
                  <c:v>47996.923700581407</c:v>
                </c:pt>
                <c:pt idx="22">
                  <c:v>51748.07419336708</c:v>
                </c:pt>
                <c:pt idx="23">
                  <c:v>34553.563312988241</c:v>
                </c:pt>
                <c:pt idx="24">
                  <c:v>23825.245316706063</c:v>
                </c:pt>
                <c:pt idx="25">
                  <c:v>14647.586530633618</c:v>
                </c:pt>
                <c:pt idx="26">
                  <c:v>34849.481399449214</c:v>
                </c:pt>
                <c:pt idx="27">
                  <c:v>12118</c:v>
                </c:pt>
                <c:pt idx="28">
                  <c:v>16355.093115063042</c:v>
                </c:pt>
                <c:pt idx="29">
                  <c:v>9801.0815198392684</c:v>
                </c:pt>
                <c:pt idx="30">
                  <c:v>19552</c:v>
                </c:pt>
                <c:pt idx="31">
                  <c:v>4390</c:v>
                </c:pt>
              </c:numCache>
            </c:numRef>
          </c:val>
        </c:ser>
        <c:dLbls>
          <c:showLegendKey val="0"/>
          <c:showVal val="0"/>
          <c:showCatName val="0"/>
          <c:showSerName val="0"/>
          <c:showPercent val="0"/>
          <c:showBubbleSize val="0"/>
        </c:dLbls>
        <c:gapWidth val="80"/>
        <c:overlap val="100"/>
        <c:axId val="213265408"/>
        <c:axId val="213279488"/>
      </c:barChart>
      <c:lineChart>
        <c:grouping val="standard"/>
        <c:varyColors val="0"/>
        <c:ser>
          <c:idx val="3"/>
          <c:order val="3"/>
          <c:tx>
            <c:strRef>
              <c:f>'Taku Table'!$K$5</c:f>
              <c:strCache>
                <c:ptCount val="1"/>
                <c:pt idx="0">
                  <c:v>Escapament goals bound</c:v>
                </c:pt>
              </c:strCache>
            </c:strRef>
          </c:tx>
          <c:spPr>
            <a:ln w="25400">
              <a:solidFill>
                <a:srgbClr val="000000"/>
              </a:solidFill>
              <a:prstDash val="solid"/>
            </a:ln>
          </c:spPr>
          <c:marker>
            <c:symbol val="none"/>
          </c:marker>
          <c:cat>
            <c:numRef>
              <c:f>'Taku Table'!$A$6:$A$37</c:f>
              <c:numCache>
                <c:formatCode>General_)</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'Taku Table'!$K$6:$K$37</c:f>
              <c:numCache>
                <c:formatCode>#,##0</c:formatCode>
                <c:ptCount val="32"/>
                <c:pt idx="0">
                  <c:v>50000</c:v>
                </c:pt>
                <c:pt idx="1">
                  <c:v>50000</c:v>
                </c:pt>
                <c:pt idx="2">
                  <c:v>50000</c:v>
                </c:pt>
                <c:pt idx="3">
                  <c:v>50000</c:v>
                </c:pt>
                <c:pt idx="4">
                  <c:v>50000</c:v>
                </c:pt>
                <c:pt idx="5">
                  <c:v>50000</c:v>
                </c:pt>
                <c:pt idx="6">
                  <c:v>50000</c:v>
                </c:pt>
                <c:pt idx="7">
                  <c:v>50000</c:v>
                </c:pt>
                <c:pt idx="8">
                  <c:v>50000</c:v>
                </c:pt>
                <c:pt idx="9">
                  <c:v>50000</c:v>
                </c:pt>
                <c:pt idx="10">
                  <c:v>50000</c:v>
                </c:pt>
                <c:pt idx="11">
                  <c:v>50000</c:v>
                </c:pt>
                <c:pt idx="12">
                  <c:v>50000</c:v>
                </c:pt>
                <c:pt idx="13">
                  <c:v>50000</c:v>
                </c:pt>
                <c:pt idx="14">
                  <c:v>50000</c:v>
                </c:pt>
                <c:pt idx="15">
                  <c:v>50000</c:v>
                </c:pt>
                <c:pt idx="16">
                  <c:v>50000</c:v>
                </c:pt>
                <c:pt idx="17">
                  <c:v>50000</c:v>
                </c:pt>
                <c:pt idx="18">
                  <c:v>50000</c:v>
                </c:pt>
                <c:pt idx="19">
                  <c:v>50000</c:v>
                </c:pt>
                <c:pt idx="20">
                  <c:v>50000</c:v>
                </c:pt>
                <c:pt idx="21">
                  <c:v>50000</c:v>
                </c:pt>
                <c:pt idx="22">
                  <c:v>50000</c:v>
                </c:pt>
                <c:pt idx="23">
                  <c:v>50000</c:v>
                </c:pt>
                <c:pt idx="24">
                  <c:v>50000</c:v>
                </c:pt>
                <c:pt idx="25">
                  <c:v>50000</c:v>
                </c:pt>
                <c:pt idx="26">
                  <c:v>50000</c:v>
                </c:pt>
                <c:pt idx="27">
                  <c:v>50000</c:v>
                </c:pt>
                <c:pt idx="28">
                  <c:v>50000</c:v>
                </c:pt>
                <c:pt idx="29">
                  <c:v>50000</c:v>
                </c:pt>
                <c:pt idx="30">
                  <c:v>50000</c:v>
                </c:pt>
                <c:pt idx="31">
                  <c:v>50000</c:v>
                </c:pt>
              </c:numCache>
            </c:numRef>
          </c:val>
          <c:smooth val="0"/>
        </c:ser>
        <c:ser>
          <c:idx val="5"/>
          <c:order val="4"/>
          <c:tx>
            <c:strRef>
              <c:f>'Taku Table'!$L$5</c:f>
              <c:strCache>
                <c:ptCount val="1"/>
                <c:pt idx="0">
                  <c:v>Upper</c:v>
                </c:pt>
              </c:strCache>
            </c:strRef>
          </c:tx>
          <c:spPr>
            <a:ln w="25400">
              <a:solidFill>
                <a:srgbClr val="000000"/>
              </a:solidFill>
            </a:ln>
          </c:spPr>
          <c:marker>
            <c:symbol val="none"/>
          </c:marker>
          <c:cat>
            <c:numRef>
              <c:f>'Taku Table'!$A$6:$A$37</c:f>
              <c:numCache>
                <c:formatCode>General_)</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'Taku Table'!$L$6:$L$37</c:f>
              <c:numCache>
                <c:formatCode>#,##0</c:formatCode>
                <c:ptCount val="32"/>
                <c:pt idx="0">
                  <c:v>90000</c:v>
                </c:pt>
                <c:pt idx="1">
                  <c:v>90000</c:v>
                </c:pt>
                <c:pt idx="2">
                  <c:v>90000</c:v>
                </c:pt>
                <c:pt idx="3">
                  <c:v>90000</c:v>
                </c:pt>
                <c:pt idx="4">
                  <c:v>90000</c:v>
                </c:pt>
                <c:pt idx="5">
                  <c:v>90000</c:v>
                </c:pt>
                <c:pt idx="6">
                  <c:v>90000</c:v>
                </c:pt>
                <c:pt idx="7">
                  <c:v>90000</c:v>
                </c:pt>
                <c:pt idx="8">
                  <c:v>90000</c:v>
                </c:pt>
                <c:pt idx="9">
                  <c:v>90000</c:v>
                </c:pt>
                <c:pt idx="10">
                  <c:v>90000</c:v>
                </c:pt>
                <c:pt idx="11">
                  <c:v>90000</c:v>
                </c:pt>
                <c:pt idx="12">
                  <c:v>90000</c:v>
                </c:pt>
                <c:pt idx="13">
                  <c:v>90000</c:v>
                </c:pt>
                <c:pt idx="14">
                  <c:v>90000</c:v>
                </c:pt>
                <c:pt idx="15">
                  <c:v>90000</c:v>
                </c:pt>
                <c:pt idx="16">
                  <c:v>90000</c:v>
                </c:pt>
                <c:pt idx="17">
                  <c:v>90000</c:v>
                </c:pt>
                <c:pt idx="18">
                  <c:v>90000</c:v>
                </c:pt>
                <c:pt idx="19">
                  <c:v>90000</c:v>
                </c:pt>
                <c:pt idx="20">
                  <c:v>90000</c:v>
                </c:pt>
                <c:pt idx="21">
                  <c:v>90000</c:v>
                </c:pt>
                <c:pt idx="22">
                  <c:v>90000</c:v>
                </c:pt>
                <c:pt idx="23">
                  <c:v>90000</c:v>
                </c:pt>
                <c:pt idx="24">
                  <c:v>90000</c:v>
                </c:pt>
                <c:pt idx="25">
                  <c:v>90000</c:v>
                </c:pt>
                <c:pt idx="26">
                  <c:v>90000</c:v>
                </c:pt>
                <c:pt idx="27">
                  <c:v>90000</c:v>
                </c:pt>
                <c:pt idx="28">
                  <c:v>90000</c:v>
                </c:pt>
                <c:pt idx="29">
                  <c:v>90000</c:v>
                </c:pt>
                <c:pt idx="30">
                  <c:v>90000</c:v>
                </c:pt>
                <c:pt idx="31">
                  <c:v>90000</c:v>
                </c:pt>
              </c:numCache>
            </c:numRef>
          </c:val>
          <c:smooth val="0"/>
        </c:ser>
        <c:dLbls>
          <c:showLegendKey val="0"/>
          <c:showVal val="0"/>
          <c:showCatName val="0"/>
          <c:showSerName val="0"/>
          <c:showPercent val="0"/>
          <c:showBubbleSize val="0"/>
        </c:dLbls>
        <c:marker val="1"/>
        <c:smooth val="0"/>
        <c:axId val="213265408"/>
        <c:axId val="213279488"/>
      </c:lineChart>
      <c:catAx>
        <c:axId val="213265408"/>
        <c:scaling>
          <c:orientation val="minMax"/>
        </c:scaling>
        <c:delete val="0"/>
        <c:axPos val="b"/>
        <c:numFmt formatCode="0" sourceLinked="0"/>
        <c:majorTickMark val="out"/>
        <c:minorTickMark val="none"/>
        <c:tickLblPos val="nextTo"/>
        <c:spPr>
          <a:ln w="12700">
            <a:solidFill>
              <a:srgbClr val="000000"/>
            </a:solidFill>
            <a:prstDash val="solid"/>
          </a:ln>
        </c:spPr>
        <c:txPr>
          <a:bodyPr rot="-5400000" vert="horz"/>
          <a:lstStyle/>
          <a:p>
            <a:pPr>
              <a:defRPr sz="200" b="0" i="0" u="none" strike="noStrike" baseline="0">
                <a:solidFill>
                  <a:schemeClr val="bg1"/>
                </a:solidFill>
                <a:latin typeface="Arial"/>
                <a:ea typeface="Arial"/>
                <a:cs typeface="Arial"/>
              </a:defRPr>
            </a:pPr>
            <a:endParaRPr lang="en-US"/>
          </a:p>
        </c:txPr>
        <c:crossAx val="213279488"/>
        <c:crosses val="autoZero"/>
        <c:auto val="0"/>
        <c:lblAlgn val="ctr"/>
        <c:lblOffset val="100"/>
        <c:tickLblSkip val="1"/>
        <c:tickMarkSkip val="1"/>
        <c:noMultiLvlLbl val="0"/>
      </c:catAx>
      <c:valAx>
        <c:axId val="213279488"/>
        <c:scaling>
          <c:orientation val="minMax"/>
          <c:max val="4000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3265408"/>
        <c:crosses val="autoZero"/>
        <c:crossBetween val="between"/>
        <c:majorUnit val="100000"/>
      </c:valAx>
      <c:spPr>
        <a:noFill/>
        <a:ln w="25400">
          <a:noFill/>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8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sz="1400"/>
              <a:t>Chilkat River</a:t>
            </a:r>
          </a:p>
        </c:rich>
      </c:tx>
      <c:layout>
        <c:manualLayout>
          <c:xMode val="edge"/>
          <c:yMode val="edge"/>
          <c:x val="0.49068961379827519"/>
          <c:y val="6.3174495429450625E-2"/>
        </c:manualLayout>
      </c:layout>
      <c:overlay val="0"/>
      <c:spPr>
        <a:noFill/>
        <a:ln w="25400">
          <a:noFill/>
        </a:ln>
      </c:spPr>
    </c:title>
    <c:autoTitleDeleted val="0"/>
    <c:plotArea>
      <c:layout>
        <c:manualLayout>
          <c:layoutTarget val="inner"/>
          <c:xMode val="edge"/>
          <c:yMode val="edge"/>
          <c:x val="0.14193265841769778"/>
          <c:y val="0.10890804597701149"/>
          <c:w val="0.85121484814398196"/>
          <c:h val="0.84931306000543039"/>
        </c:manualLayout>
      </c:layout>
      <c:barChart>
        <c:barDir val="col"/>
        <c:grouping val="stacked"/>
        <c:varyColors val="0"/>
        <c:ser>
          <c:idx val="2"/>
          <c:order val="0"/>
          <c:tx>
            <c:strRef>
              <c:f>ChilkatTable!$O$5</c:f>
              <c:strCache>
                <c:ptCount val="1"/>
                <c:pt idx="0">
                  <c:v>Escapement</c:v>
                </c:pt>
              </c:strCache>
            </c:strRef>
          </c:tx>
          <c:spPr>
            <a:solidFill>
              <a:srgbClr val="000000"/>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ChilkatTable!$O$6:$O$37</c:f>
              <c:numCache>
                <c:formatCode>#,##0</c:formatCode>
                <c:ptCount val="32"/>
                <c:pt idx="0">
                  <c:v>37432.148331849698</c:v>
                </c:pt>
                <c:pt idx="1">
                  <c:v>29495.053088079232</c:v>
                </c:pt>
                <c:pt idx="2">
                  <c:v>48833.314804892871</c:v>
                </c:pt>
                <c:pt idx="3">
                  <c:v>79807</c:v>
                </c:pt>
                <c:pt idx="4">
                  <c:v>84516.611642352465</c:v>
                </c:pt>
                <c:pt idx="5">
                  <c:v>77588.469183807058</c:v>
                </c:pt>
                <c:pt idx="6">
                  <c:v>58216.575707485921</c:v>
                </c:pt>
                <c:pt idx="7">
                  <c:v>194425.20171286893</c:v>
                </c:pt>
                <c:pt idx="8">
                  <c:v>56736.778289155831</c:v>
                </c:pt>
                <c:pt idx="9">
                  <c:v>37331.253053327193</c:v>
                </c:pt>
                <c:pt idx="10">
                  <c:v>43519.496802707559</c:v>
                </c:pt>
                <c:pt idx="11">
                  <c:v>50758</c:v>
                </c:pt>
                <c:pt idx="12">
                  <c:v>57140.359403245857</c:v>
                </c:pt>
                <c:pt idx="13">
                  <c:v>84843</c:v>
                </c:pt>
                <c:pt idx="14">
                  <c:v>107697</c:v>
                </c:pt>
                <c:pt idx="15">
                  <c:v>204925</c:v>
                </c:pt>
                <c:pt idx="16">
                  <c:v>133109</c:v>
                </c:pt>
                <c:pt idx="17">
                  <c:v>67053</c:v>
                </c:pt>
                <c:pt idx="18">
                  <c:v>34575</c:v>
                </c:pt>
                <c:pt idx="19">
                  <c:v>79050</c:v>
                </c:pt>
                <c:pt idx="20">
                  <c:v>24770</c:v>
                </c:pt>
                <c:pt idx="21">
                  <c:v>56369</c:v>
                </c:pt>
                <c:pt idx="22">
                  <c:v>47911</c:v>
                </c:pt>
                <c:pt idx="23">
                  <c:v>84909</c:v>
                </c:pt>
                <c:pt idx="24">
                  <c:v>61099</c:v>
                </c:pt>
                <c:pt idx="25">
                  <c:v>36961</c:v>
                </c:pt>
                <c:pt idx="26">
                  <c:v>51324</c:v>
                </c:pt>
                <c:pt idx="27">
                  <c:v>130200</c:v>
                </c:pt>
                <c:pt idx="28">
                  <c:v>47372</c:v>
                </c:pt>
                <c:pt idx="29">
                  <c:v>26280</c:v>
                </c:pt>
                <c:pt idx="30">
                  <c:v>34482</c:v>
                </c:pt>
                <c:pt idx="31">
                  <c:v>66085</c:v>
                </c:pt>
              </c:numCache>
            </c:numRef>
          </c:val>
        </c:ser>
        <c:ser>
          <c:idx val="0"/>
          <c:order val="1"/>
          <c:tx>
            <c:strRef>
              <c:f>ChilkatTable!$N$5</c:f>
              <c:strCache>
                <c:ptCount val="1"/>
                <c:pt idx="0">
                  <c:v>Non-troll</c:v>
                </c:pt>
              </c:strCache>
            </c:strRef>
          </c:tx>
          <c:spPr>
            <a:solidFill>
              <a:srgbClr val="C0C0C0"/>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ChilkatTable!$N$6:$N$37</c:f>
              <c:numCache>
                <c:formatCode>General_)</c:formatCode>
                <c:ptCount val="32"/>
                <c:pt idx="13" formatCode="#,##0">
                  <c:v>20347</c:v>
                </c:pt>
                <c:pt idx="14" formatCode="#,##0">
                  <c:v>17703</c:v>
                </c:pt>
                <c:pt idx="15" formatCode="#,##0">
                  <c:v>73335</c:v>
                </c:pt>
                <c:pt idx="16" formatCode="#,##0">
                  <c:v>34376</c:v>
                </c:pt>
                <c:pt idx="17" formatCode="#,##0">
                  <c:v>45369</c:v>
                </c:pt>
                <c:pt idx="18" formatCode="#,##0">
                  <c:v>13216</c:v>
                </c:pt>
                <c:pt idx="19" formatCode="#,##0">
                  <c:v>29157</c:v>
                </c:pt>
                <c:pt idx="20" formatCode="#,##0">
                  <c:v>4193</c:v>
                </c:pt>
                <c:pt idx="21" formatCode="#,##0">
                  <c:v>30773</c:v>
                </c:pt>
                <c:pt idx="22" formatCode="#,##0">
                  <c:v>18254</c:v>
                </c:pt>
                <c:pt idx="23" formatCode="#,##0">
                  <c:v>40405</c:v>
                </c:pt>
                <c:pt idx="24" formatCode="#,##0">
                  <c:v>17292</c:v>
                </c:pt>
                <c:pt idx="25" formatCode="#,##0">
                  <c:v>16715</c:v>
                </c:pt>
                <c:pt idx="26" formatCode="#,##0">
                  <c:v>44794</c:v>
                </c:pt>
                <c:pt idx="27" formatCode="#,##0">
                  <c:v>15453</c:v>
                </c:pt>
                <c:pt idx="28" formatCode="#,##0">
                  <c:v>13886</c:v>
                </c:pt>
                <c:pt idx="29" formatCode="#,##0">
                  <c:v>11830</c:v>
                </c:pt>
                <c:pt idx="30" formatCode="#,##0">
                  <c:v>12197</c:v>
                </c:pt>
                <c:pt idx="31" formatCode="#,##0">
                  <c:v>11793.262899059186</c:v>
                </c:pt>
              </c:numCache>
            </c:numRef>
          </c:val>
        </c:ser>
        <c:ser>
          <c:idx val="1"/>
          <c:order val="2"/>
          <c:tx>
            <c:strRef>
              <c:f>ChilkatTable!$M$5</c:f>
              <c:strCache>
                <c:ptCount val="1"/>
                <c:pt idx="0">
                  <c:v>Troll</c:v>
                </c:pt>
              </c:strCache>
            </c:strRef>
          </c:tx>
          <c:spPr>
            <a:solidFill>
              <a:srgbClr val="FFFFFF"/>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ChilkatTable!$M$6:$M$37</c:f>
              <c:numCache>
                <c:formatCode>General_)</c:formatCode>
                <c:ptCount val="32"/>
                <c:pt idx="13" formatCode="#,##0">
                  <c:v>19988</c:v>
                </c:pt>
                <c:pt idx="14" formatCode="#,##0">
                  <c:v>30465</c:v>
                </c:pt>
                <c:pt idx="15" formatCode="#,##0">
                  <c:v>61724</c:v>
                </c:pt>
                <c:pt idx="16" formatCode="#,##0">
                  <c:v>51629</c:v>
                </c:pt>
                <c:pt idx="17" formatCode="#,##0">
                  <c:v>82827</c:v>
                </c:pt>
                <c:pt idx="18" formatCode="#,##0">
                  <c:v>17409</c:v>
                </c:pt>
                <c:pt idx="19" formatCode="#,##0">
                  <c:v>37077</c:v>
                </c:pt>
                <c:pt idx="20" formatCode="#,##0">
                  <c:v>9307</c:v>
                </c:pt>
                <c:pt idx="21" formatCode="#,##0">
                  <c:v>20999</c:v>
                </c:pt>
                <c:pt idx="22" formatCode="#,##0">
                  <c:v>11931</c:v>
                </c:pt>
                <c:pt idx="23" formatCode="#,##0">
                  <c:v>29028</c:v>
                </c:pt>
                <c:pt idx="24" formatCode="#,##0">
                  <c:v>19329</c:v>
                </c:pt>
                <c:pt idx="25" formatCode="#,##0">
                  <c:v>11421</c:v>
                </c:pt>
                <c:pt idx="26" formatCode="#,##0">
                  <c:v>25419</c:v>
                </c:pt>
                <c:pt idx="27" formatCode="#,##0">
                  <c:v>10792</c:v>
                </c:pt>
                <c:pt idx="28" formatCode="#,##0">
                  <c:v>10558</c:v>
                </c:pt>
                <c:pt idx="29" formatCode="#,##0">
                  <c:v>2412</c:v>
                </c:pt>
                <c:pt idx="30" formatCode="#,##0">
                  <c:v>5868</c:v>
                </c:pt>
                <c:pt idx="31" formatCode="#,##0">
                  <c:v>8813</c:v>
                </c:pt>
              </c:numCache>
            </c:numRef>
          </c:val>
        </c:ser>
        <c:dLbls>
          <c:showLegendKey val="0"/>
          <c:showVal val="0"/>
          <c:showCatName val="0"/>
          <c:showSerName val="0"/>
          <c:showPercent val="0"/>
          <c:showBubbleSize val="0"/>
        </c:dLbls>
        <c:gapWidth val="80"/>
        <c:overlap val="100"/>
        <c:axId val="217021440"/>
        <c:axId val="217039616"/>
      </c:barChart>
      <c:lineChart>
        <c:grouping val="standard"/>
        <c:varyColors val="0"/>
        <c:ser>
          <c:idx val="3"/>
          <c:order val="3"/>
          <c:tx>
            <c:strRef>
              <c:f>ChilkatTable!$P$5</c:f>
              <c:strCache>
                <c:ptCount val="1"/>
                <c:pt idx="0">
                  <c:v>Lower</c:v>
                </c:pt>
              </c:strCache>
            </c:strRef>
          </c:tx>
          <c:spPr>
            <a:ln w="25400">
              <a:solidFill>
                <a:srgbClr val="000000"/>
              </a:solidFill>
              <a:prstDash val="solid"/>
            </a:ln>
          </c:spPr>
          <c:marker>
            <c:symbol val="none"/>
          </c:marker>
          <c:cat>
            <c:numRef>
              <c:f>ChilkatTable!$A$6:$A$37</c:f>
              <c:numCache>
                <c:formatCode>0</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ChilkatTable!$P$6:$P$37</c:f>
              <c:numCache>
                <c:formatCode>#,##0</c:formatCode>
                <c:ptCount val="32"/>
                <c:pt idx="0">
                  <c:v>30000</c:v>
                </c:pt>
                <c:pt idx="1">
                  <c:v>30000</c:v>
                </c:pt>
                <c:pt idx="2">
                  <c:v>30000</c:v>
                </c:pt>
                <c:pt idx="3">
                  <c:v>30000</c:v>
                </c:pt>
                <c:pt idx="4">
                  <c:v>30000</c:v>
                </c:pt>
                <c:pt idx="5">
                  <c:v>30000</c:v>
                </c:pt>
                <c:pt idx="6">
                  <c:v>30000</c:v>
                </c:pt>
                <c:pt idx="7">
                  <c:v>30000</c:v>
                </c:pt>
                <c:pt idx="8">
                  <c:v>30000</c:v>
                </c:pt>
                <c:pt idx="9">
                  <c:v>30000</c:v>
                </c:pt>
                <c:pt idx="10">
                  <c:v>30000</c:v>
                </c:pt>
                <c:pt idx="11">
                  <c:v>30000</c:v>
                </c:pt>
                <c:pt idx="12">
                  <c:v>30000</c:v>
                </c:pt>
                <c:pt idx="13">
                  <c:v>30000</c:v>
                </c:pt>
                <c:pt idx="14">
                  <c:v>30000</c:v>
                </c:pt>
                <c:pt idx="15">
                  <c:v>30000</c:v>
                </c:pt>
                <c:pt idx="16">
                  <c:v>30000</c:v>
                </c:pt>
                <c:pt idx="17">
                  <c:v>30000</c:v>
                </c:pt>
                <c:pt idx="18">
                  <c:v>30000</c:v>
                </c:pt>
                <c:pt idx="19">
                  <c:v>30000</c:v>
                </c:pt>
                <c:pt idx="20">
                  <c:v>30000</c:v>
                </c:pt>
                <c:pt idx="21">
                  <c:v>30000</c:v>
                </c:pt>
                <c:pt idx="22">
                  <c:v>30000</c:v>
                </c:pt>
                <c:pt idx="23">
                  <c:v>30000</c:v>
                </c:pt>
                <c:pt idx="24">
                  <c:v>30000</c:v>
                </c:pt>
                <c:pt idx="25">
                  <c:v>30000</c:v>
                </c:pt>
                <c:pt idx="26">
                  <c:v>30000</c:v>
                </c:pt>
                <c:pt idx="27">
                  <c:v>30000</c:v>
                </c:pt>
                <c:pt idx="28">
                  <c:v>30000</c:v>
                </c:pt>
                <c:pt idx="29">
                  <c:v>30000</c:v>
                </c:pt>
                <c:pt idx="30">
                  <c:v>30000</c:v>
                </c:pt>
                <c:pt idx="31">
                  <c:v>30000</c:v>
                </c:pt>
              </c:numCache>
            </c:numRef>
          </c:val>
          <c:smooth val="0"/>
        </c:ser>
        <c:ser>
          <c:idx val="4"/>
          <c:order val="4"/>
          <c:tx>
            <c:strRef>
              <c:f>ChilkatTable!$Q$5</c:f>
              <c:strCache>
                <c:ptCount val="1"/>
                <c:pt idx="0">
                  <c:v>Upper</c:v>
                </c:pt>
              </c:strCache>
            </c:strRef>
          </c:tx>
          <c:spPr>
            <a:ln w="25400">
              <a:solidFill>
                <a:srgbClr val="000000"/>
              </a:solidFill>
              <a:prstDash val="solid"/>
            </a:ln>
          </c:spPr>
          <c:marker>
            <c:symbol val="none"/>
          </c:marker>
          <c:cat>
            <c:numRef>
              <c:f>ChilkatTable!$A$6:$A$37</c:f>
              <c:numCache>
                <c:formatCode>0</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ChilkatTable!$Q$6:$Q$37</c:f>
              <c:numCache>
                <c:formatCode>#,##0</c:formatCode>
                <c:ptCount val="32"/>
                <c:pt idx="0">
                  <c:v>70000</c:v>
                </c:pt>
                <c:pt idx="1">
                  <c:v>70000</c:v>
                </c:pt>
                <c:pt idx="2">
                  <c:v>70000</c:v>
                </c:pt>
                <c:pt idx="3">
                  <c:v>70000</c:v>
                </c:pt>
                <c:pt idx="4">
                  <c:v>70000</c:v>
                </c:pt>
                <c:pt idx="5">
                  <c:v>70000</c:v>
                </c:pt>
                <c:pt idx="6">
                  <c:v>70000</c:v>
                </c:pt>
                <c:pt idx="7">
                  <c:v>70000</c:v>
                </c:pt>
                <c:pt idx="8">
                  <c:v>70000</c:v>
                </c:pt>
                <c:pt idx="9">
                  <c:v>70000</c:v>
                </c:pt>
                <c:pt idx="10">
                  <c:v>70000</c:v>
                </c:pt>
                <c:pt idx="11">
                  <c:v>70000</c:v>
                </c:pt>
                <c:pt idx="12">
                  <c:v>70000</c:v>
                </c:pt>
                <c:pt idx="13">
                  <c:v>70000</c:v>
                </c:pt>
                <c:pt idx="14">
                  <c:v>70000</c:v>
                </c:pt>
                <c:pt idx="15">
                  <c:v>70000</c:v>
                </c:pt>
                <c:pt idx="16">
                  <c:v>70000</c:v>
                </c:pt>
                <c:pt idx="17">
                  <c:v>70000</c:v>
                </c:pt>
                <c:pt idx="18">
                  <c:v>70000</c:v>
                </c:pt>
                <c:pt idx="19">
                  <c:v>70000</c:v>
                </c:pt>
                <c:pt idx="20">
                  <c:v>70000</c:v>
                </c:pt>
                <c:pt idx="21">
                  <c:v>70000</c:v>
                </c:pt>
                <c:pt idx="22">
                  <c:v>70000</c:v>
                </c:pt>
                <c:pt idx="23">
                  <c:v>70000</c:v>
                </c:pt>
                <c:pt idx="24">
                  <c:v>70000</c:v>
                </c:pt>
                <c:pt idx="25">
                  <c:v>70000</c:v>
                </c:pt>
                <c:pt idx="26">
                  <c:v>70000</c:v>
                </c:pt>
                <c:pt idx="27">
                  <c:v>70000</c:v>
                </c:pt>
                <c:pt idx="28">
                  <c:v>70000</c:v>
                </c:pt>
                <c:pt idx="29">
                  <c:v>70000</c:v>
                </c:pt>
                <c:pt idx="30">
                  <c:v>70000</c:v>
                </c:pt>
                <c:pt idx="31">
                  <c:v>70000</c:v>
                </c:pt>
              </c:numCache>
            </c:numRef>
          </c:val>
          <c:smooth val="0"/>
        </c:ser>
        <c:dLbls>
          <c:showLegendKey val="0"/>
          <c:showVal val="0"/>
          <c:showCatName val="0"/>
          <c:showSerName val="0"/>
          <c:showPercent val="0"/>
          <c:showBubbleSize val="0"/>
        </c:dLbls>
        <c:marker val="1"/>
        <c:smooth val="0"/>
        <c:axId val="217021440"/>
        <c:axId val="217039616"/>
      </c:lineChart>
      <c:catAx>
        <c:axId val="217021440"/>
        <c:scaling>
          <c:orientation val="minMax"/>
        </c:scaling>
        <c:delete val="0"/>
        <c:axPos val="b"/>
        <c:numFmt formatCode="0" sourceLinked="0"/>
        <c:majorTickMark val="out"/>
        <c:minorTickMark val="none"/>
        <c:tickLblPos val="nextTo"/>
        <c:spPr>
          <a:ln w="12700">
            <a:solidFill>
              <a:srgbClr val="000000"/>
            </a:solidFill>
            <a:prstDash val="solid"/>
          </a:ln>
        </c:spPr>
        <c:txPr>
          <a:bodyPr rot="-5400000" vert="horz"/>
          <a:lstStyle/>
          <a:p>
            <a:pPr>
              <a:defRPr sz="200" b="0" i="0" u="none" strike="noStrike" baseline="0">
                <a:solidFill>
                  <a:schemeClr val="bg1"/>
                </a:solidFill>
                <a:latin typeface="Arial"/>
                <a:ea typeface="Arial"/>
                <a:cs typeface="Arial"/>
              </a:defRPr>
            </a:pPr>
            <a:endParaRPr lang="en-US"/>
          </a:p>
        </c:txPr>
        <c:crossAx val="217039616"/>
        <c:crosses val="autoZero"/>
        <c:auto val="0"/>
        <c:lblAlgn val="ctr"/>
        <c:lblOffset val="100"/>
        <c:tickLblSkip val="1"/>
        <c:tickMarkSkip val="1"/>
        <c:noMultiLvlLbl val="0"/>
      </c:catAx>
      <c:valAx>
        <c:axId val="217039616"/>
        <c:scaling>
          <c:orientation val="minMax"/>
          <c:max val="400000"/>
          <c:min val="0"/>
        </c:scaling>
        <c:delete val="0"/>
        <c:axPos val="l"/>
        <c:title>
          <c:tx>
            <c:rich>
              <a:bodyPr/>
              <a:lstStyle/>
              <a:p>
                <a:pPr>
                  <a:defRPr sz="1400" b="0" i="0" u="none" strike="noStrike" baseline="0">
                    <a:solidFill>
                      <a:srgbClr val="000000"/>
                    </a:solidFill>
                    <a:latin typeface="Arial"/>
                    <a:ea typeface="Arial"/>
                    <a:cs typeface="Arial"/>
                  </a:defRPr>
                </a:pPr>
                <a:r>
                  <a:rPr lang="en-US" sz="1400" b="0" baseline="0"/>
                  <a:t>No. of Coho Salmon</a:t>
                </a:r>
              </a:p>
            </c:rich>
          </c:tx>
          <c:layout>
            <c:manualLayout>
              <c:xMode val="edge"/>
              <c:yMode val="edge"/>
              <c:x val="5.7906261717285343E-3"/>
              <c:y val="0.12475337134582315"/>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7021440"/>
        <c:crosses val="autoZero"/>
        <c:crossBetween val="between"/>
        <c:majorUnit val="100000"/>
      </c:valAx>
      <c:spPr>
        <a:noFill/>
        <a:ln w="25400">
          <a:noFill/>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8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sz="1400"/>
              <a:t>Berners River</a:t>
            </a:r>
          </a:p>
        </c:rich>
      </c:tx>
      <c:layout>
        <c:manualLayout>
          <c:xMode val="edge"/>
          <c:yMode val="edge"/>
          <c:x val="0.49367087661050912"/>
          <c:y val="7.3412698412698416E-2"/>
        </c:manualLayout>
      </c:layout>
      <c:overlay val="0"/>
      <c:spPr>
        <a:noFill/>
        <a:ln w="25400">
          <a:noFill/>
        </a:ln>
      </c:spPr>
    </c:title>
    <c:autoTitleDeleted val="0"/>
    <c:plotArea>
      <c:layout>
        <c:manualLayout>
          <c:layoutTarget val="inner"/>
          <c:xMode val="edge"/>
          <c:yMode val="edge"/>
          <c:x val="0.14238856376904382"/>
          <c:y val="4.5309023872015998E-2"/>
          <c:w val="0.84496987805197676"/>
          <c:h val="0.65661761029871268"/>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Data'!$A$59:$A$90</c:f>
              <c:numCache>
                <c:formatCode>General</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'Catch_Escapement Data'!$I$59:$I$90</c:f>
              <c:numCache>
                <c:formatCode>General_)</c:formatCode>
                <c:ptCount val="32"/>
                <c:pt idx="2" formatCode="#,##0">
                  <c:v>9320</c:v>
                </c:pt>
                <c:pt idx="3" formatCode="#,##0">
                  <c:v>13715</c:v>
                </c:pt>
                <c:pt idx="4" formatCode="#,##0">
                  <c:v>14311</c:v>
                </c:pt>
                <c:pt idx="5" formatCode="#,##0">
                  <c:v>18991</c:v>
                </c:pt>
                <c:pt idx="6" formatCode="#,##0">
                  <c:v>19450</c:v>
                </c:pt>
                <c:pt idx="7" formatCode="#,##0">
                  <c:v>19760</c:v>
                </c:pt>
                <c:pt idx="8" formatCode="#,##0">
                  <c:v>6138</c:v>
                </c:pt>
                <c:pt idx="9" formatCode="#,##0">
                  <c:v>7509</c:v>
                </c:pt>
                <c:pt idx="10" formatCode="#,##0">
                  <c:v>12474</c:v>
                </c:pt>
                <c:pt idx="11" formatCode="#,##0">
                  <c:v>8443</c:v>
                </c:pt>
                <c:pt idx="12" formatCode="#,##0">
                  <c:v>12313</c:v>
                </c:pt>
                <c:pt idx="13" formatCode="#,##0">
                  <c:v>13219</c:v>
                </c:pt>
                <c:pt idx="14" formatCode="#,##0">
                  <c:v>23943</c:v>
                </c:pt>
                <c:pt idx="15" formatCode="#,##0">
                  <c:v>34382</c:v>
                </c:pt>
                <c:pt idx="16" formatCode="#,##0">
                  <c:v>12549</c:v>
                </c:pt>
                <c:pt idx="17" formatCode="#,##0">
                  <c:v>17936</c:v>
                </c:pt>
                <c:pt idx="18" formatCode="#,##0">
                  <c:v>6479</c:v>
                </c:pt>
                <c:pt idx="19" formatCode="#,##0">
                  <c:v>6789</c:v>
                </c:pt>
                <c:pt idx="20" formatCode="#,##0">
                  <c:v>4859</c:v>
                </c:pt>
                <c:pt idx="21" formatCode="#,##0">
                  <c:v>8527</c:v>
                </c:pt>
                <c:pt idx="22" formatCode="#,##0">
                  <c:v>5250</c:v>
                </c:pt>
                <c:pt idx="23" formatCode="#,##0">
                  <c:v>9334</c:v>
                </c:pt>
                <c:pt idx="24" formatCode="#,##0">
                  <c:v>7509</c:v>
                </c:pt>
                <c:pt idx="25" formatCode="#,##0">
                  <c:v>6802</c:v>
                </c:pt>
                <c:pt idx="26" formatCode="#,##0">
                  <c:v>7795</c:v>
                </c:pt>
                <c:pt idx="27" formatCode="#,##0">
                  <c:v>19214</c:v>
                </c:pt>
                <c:pt idx="28" formatCode="#,##0">
                  <c:v>12338</c:v>
                </c:pt>
                <c:pt idx="29" formatCode="#,##0">
                  <c:v>8357</c:v>
                </c:pt>
                <c:pt idx="30" formatCode="#,##0">
                  <c:v>8738</c:v>
                </c:pt>
                <c:pt idx="31" formatCode="#,##0">
                  <c:v>4406</c:v>
                </c:pt>
              </c:numCache>
            </c:numRef>
          </c:val>
        </c:ser>
        <c:ser>
          <c:idx val="0"/>
          <c:order val="1"/>
          <c:tx>
            <c:v>Other Fisheries</c:v>
          </c:tx>
          <c:spPr>
            <a:solidFill>
              <a:srgbClr val="C0C0C0"/>
            </a:solidFill>
            <a:ln w="12700">
              <a:solidFill>
                <a:srgbClr val="000000"/>
              </a:solidFill>
              <a:prstDash val="solid"/>
            </a:ln>
          </c:spPr>
          <c:invertIfNegative val="0"/>
          <c:cat>
            <c:numRef>
              <c:f>'Catch_Escapement Data'!$A$59:$A$90</c:f>
              <c:numCache>
                <c:formatCode>General</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'Catch_Escapement Data'!$M$59:$M$90</c:f>
              <c:numCache>
                <c:formatCode>#,##0</c:formatCode>
                <c:ptCount val="32"/>
                <c:pt idx="2">
                  <c:v>1664.5295875675677</c:v>
                </c:pt>
                <c:pt idx="3">
                  <c:v>7903.7236924422314</c:v>
                </c:pt>
                <c:pt idx="4">
                  <c:v>17008.220035610553</c:v>
                </c:pt>
                <c:pt idx="5">
                  <c:v>15376.580432960342</c:v>
                </c:pt>
                <c:pt idx="6">
                  <c:v>14627.286861220649</c:v>
                </c:pt>
                <c:pt idx="7">
                  <c:v>30109.870411608859</c:v>
                </c:pt>
                <c:pt idx="8">
                  <c:v>15104.459928559276</c:v>
                </c:pt>
                <c:pt idx="9">
                  <c:v>7074.9686336538462</c:v>
                </c:pt>
                <c:pt idx="10">
                  <c:v>2781.3509854027516</c:v>
                </c:pt>
                <c:pt idx="11">
                  <c:v>5910.6912592145454</c:v>
                </c:pt>
                <c:pt idx="12">
                  <c:v>10348.749160845062</c:v>
                </c:pt>
                <c:pt idx="13">
                  <c:v>6004.0087996874972</c:v>
                </c:pt>
                <c:pt idx="14">
                  <c:v>4048.4054414634797</c:v>
                </c:pt>
                <c:pt idx="15">
                  <c:v>13468.621889380582</c:v>
                </c:pt>
                <c:pt idx="16">
                  <c:v>12178.241481890531</c:v>
                </c:pt>
                <c:pt idx="17">
                  <c:v>7932.1244014004769</c:v>
                </c:pt>
                <c:pt idx="18">
                  <c:v>2899.1893495575223</c:v>
                </c:pt>
                <c:pt idx="19">
                  <c:v>6270.6875726886228</c:v>
                </c:pt>
                <c:pt idx="20">
                  <c:v>1869.0850097283762</c:v>
                </c:pt>
                <c:pt idx="21">
                  <c:v>3618.5646731159577</c:v>
                </c:pt>
                <c:pt idx="22">
                  <c:v>2280.7571149367091</c:v>
                </c:pt>
                <c:pt idx="23">
                  <c:v>7845.4991998376936</c:v>
                </c:pt>
                <c:pt idx="24">
                  <c:v>2257.4466386363638</c:v>
                </c:pt>
                <c:pt idx="25">
                  <c:v>979.64220288319086</c:v>
                </c:pt>
                <c:pt idx="26">
                  <c:v>7266.9495325000007</c:v>
                </c:pt>
                <c:pt idx="27">
                  <c:v>6867.170445164742</c:v>
                </c:pt>
                <c:pt idx="28">
                  <c:v>2166</c:v>
                </c:pt>
                <c:pt idx="29">
                  <c:v>2295.8126686792439</c:v>
                </c:pt>
                <c:pt idx="30">
                  <c:v>2803</c:v>
                </c:pt>
                <c:pt idx="31">
                  <c:v>3143</c:v>
                </c:pt>
              </c:numCache>
            </c:numRef>
          </c:val>
        </c:ser>
        <c:ser>
          <c:idx val="1"/>
          <c:order val="2"/>
          <c:tx>
            <c:v>Troll Catch</c:v>
          </c:tx>
          <c:spPr>
            <a:solidFill>
              <a:srgbClr val="FFFFFF"/>
            </a:solidFill>
            <a:ln w="12700">
              <a:solidFill>
                <a:srgbClr val="000000"/>
              </a:solidFill>
              <a:prstDash val="solid"/>
            </a:ln>
          </c:spPr>
          <c:invertIfNegative val="0"/>
          <c:cat>
            <c:numRef>
              <c:f>'Catch_Escapement Data'!$A$59:$A$90</c:f>
              <c:numCache>
                <c:formatCode>General</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'Catch_Escapement Data'!$L$59:$L$90</c:f>
              <c:numCache>
                <c:formatCode>#,##0</c:formatCode>
                <c:ptCount val="32"/>
                <c:pt idx="2">
                  <c:v>10582.789888648653</c:v>
                </c:pt>
                <c:pt idx="3">
                  <c:v>15006.906562552591</c:v>
                </c:pt>
                <c:pt idx="4">
                  <c:v>6448.5848185505256</c:v>
                </c:pt>
                <c:pt idx="5">
                  <c:v>15318.194687812569</c:v>
                </c:pt>
                <c:pt idx="6">
                  <c:v>19308.334788727647</c:v>
                </c:pt>
                <c:pt idx="7">
                  <c:v>27339.017989400378</c:v>
                </c:pt>
                <c:pt idx="8">
                  <c:v>8765.6907583897864</c:v>
                </c:pt>
                <c:pt idx="9">
                  <c:v>10528.730040144168</c:v>
                </c:pt>
                <c:pt idx="10">
                  <c:v>2452.8423084848455</c:v>
                </c:pt>
                <c:pt idx="11">
                  <c:v>10424.447558787861</c:v>
                </c:pt>
                <c:pt idx="12">
                  <c:v>12876.411924788617</c:v>
                </c:pt>
                <c:pt idx="13">
                  <c:v>4810.7035637946483</c:v>
                </c:pt>
                <c:pt idx="14">
                  <c:v>8814.3456853610987</c:v>
                </c:pt>
                <c:pt idx="15">
                  <c:v>8649.799148571401</c:v>
                </c:pt>
                <c:pt idx="16">
                  <c:v>6822.780148593728</c:v>
                </c:pt>
                <c:pt idx="17">
                  <c:v>10791.879529411573</c:v>
                </c:pt>
                <c:pt idx="18">
                  <c:v>4638.6855929203448</c:v>
                </c:pt>
                <c:pt idx="19">
                  <c:v>4081.5165299999962</c:v>
                </c:pt>
                <c:pt idx="20">
                  <c:v>2937.46540720339</c:v>
                </c:pt>
                <c:pt idx="21">
                  <c:v>3878.1945390909154</c:v>
                </c:pt>
                <c:pt idx="22">
                  <c:v>2806.6890000000003</c:v>
                </c:pt>
                <c:pt idx="23">
                  <c:v>6451.0321920064944</c:v>
                </c:pt>
                <c:pt idx="24">
                  <c:v>3721.6134204545397</c:v>
                </c:pt>
                <c:pt idx="25">
                  <c:v>2070.8644198484849</c:v>
                </c:pt>
                <c:pt idx="26">
                  <c:v>7520.6314891346174</c:v>
                </c:pt>
                <c:pt idx="27">
                  <c:v>4301.1241040387176</c:v>
                </c:pt>
                <c:pt idx="28">
                  <c:v>3543</c:v>
                </c:pt>
                <c:pt idx="29">
                  <c:v>919.40433610062894</c:v>
                </c:pt>
                <c:pt idx="30">
                  <c:v>4455</c:v>
                </c:pt>
                <c:pt idx="31">
                  <c:v>1087</c:v>
                </c:pt>
              </c:numCache>
            </c:numRef>
          </c:val>
        </c:ser>
        <c:dLbls>
          <c:showLegendKey val="0"/>
          <c:showVal val="0"/>
          <c:showCatName val="0"/>
          <c:showSerName val="0"/>
          <c:showPercent val="0"/>
          <c:showBubbleSize val="0"/>
        </c:dLbls>
        <c:gapWidth val="80"/>
        <c:overlap val="100"/>
        <c:axId val="217337216"/>
        <c:axId val="217359872"/>
      </c:barChart>
      <c:lineChart>
        <c:grouping val="standard"/>
        <c:varyColors val="0"/>
        <c:ser>
          <c:idx val="3"/>
          <c:order val="3"/>
          <c:tx>
            <c:v>Escapement Goal Bounds</c:v>
          </c:tx>
          <c:spPr>
            <a:ln w="25400">
              <a:solidFill>
                <a:srgbClr val="000000"/>
              </a:solidFill>
              <a:prstDash val="solid"/>
            </a:ln>
          </c:spPr>
          <c:marker>
            <c:symbol val="none"/>
          </c:marker>
          <c:cat>
            <c:numRef>
              <c:f>ChilkatTable!$A$6:$A$37</c:f>
              <c:numCache>
                <c:formatCode>0</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'Catch_Escapement Data'!$J$59:$J$90</c:f>
              <c:numCache>
                <c:formatCode>#,##0</c:formatCode>
                <c:ptCount val="32"/>
                <c:pt idx="2">
                  <c:v>4500</c:v>
                </c:pt>
                <c:pt idx="3">
                  <c:v>4500</c:v>
                </c:pt>
                <c:pt idx="4">
                  <c:v>4500</c:v>
                </c:pt>
                <c:pt idx="5">
                  <c:v>4500</c:v>
                </c:pt>
                <c:pt idx="6">
                  <c:v>4500</c:v>
                </c:pt>
                <c:pt idx="7">
                  <c:v>4500</c:v>
                </c:pt>
                <c:pt idx="8">
                  <c:v>4500</c:v>
                </c:pt>
                <c:pt idx="9">
                  <c:v>4500</c:v>
                </c:pt>
                <c:pt idx="10">
                  <c:v>4500</c:v>
                </c:pt>
                <c:pt idx="11">
                  <c:v>4500</c:v>
                </c:pt>
                <c:pt idx="12">
                  <c:v>4500</c:v>
                </c:pt>
                <c:pt idx="13">
                  <c:v>4500</c:v>
                </c:pt>
                <c:pt idx="14">
                  <c:v>4500</c:v>
                </c:pt>
                <c:pt idx="15">
                  <c:v>4500</c:v>
                </c:pt>
                <c:pt idx="16">
                  <c:v>4500</c:v>
                </c:pt>
                <c:pt idx="17">
                  <c:v>4500</c:v>
                </c:pt>
                <c:pt idx="18">
                  <c:v>4500</c:v>
                </c:pt>
                <c:pt idx="19">
                  <c:v>4500</c:v>
                </c:pt>
                <c:pt idx="20">
                  <c:v>4500</c:v>
                </c:pt>
                <c:pt idx="21">
                  <c:v>4500</c:v>
                </c:pt>
                <c:pt idx="22">
                  <c:v>4500</c:v>
                </c:pt>
                <c:pt idx="23">
                  <c:v>4500</c:v>
                </c:pt>
                <c:pt idx="24">
                  <c:v>4500</c:v>
                </c:pt>
                <c:pt idx="25">
                  <c:v>4500</c:v>
                </c:pt>
                <c:pt idx="26">
                  <c:v>4500</c:v>
                </c:pt>
                <c:pt idx="27">
                  <c:v>4500</c:v>
                </c:pt>
                <c:pt idx="28">
                  <c:v>4500</c:v>
                </c:pt>
                <c:pt idx="29">
                  <c:v>4500</c:v>
                </c:pt>
                <c:pt idx="30">
                  <c:v>4500</c:v>
                </c:pt>
                <c:pt idx="31">
                  <c:v>4500</c:v>
                </c:pt>
              </c:numCache>
            </c:numRef>
          </c:val>
          <c:smooth val="0"/>
        </c:ser>
        <c:ser>
          <c:idx val="4"/>
          <c:order val="4"/>
          <c:tx>
            <c:v>Upper Bound</c:v>
          </c:tx>
          <c:spPr>
            <a:ln w="25400">
              <a:solidFill>
                <a:srgbClr val="000000"/>
              </a:solidFill>
              <a:prstDash val="solid"/>
            </a:ln>
          </c:spPr>
          <c:marker>
            <c:symbol val="none"/>
          </c:marker>
          <c:cat>
            <c:numRef>
              <c:f>ChilkatTable!$A$6:$A$37</c:f>
              <c:numCache>
                <c:formatCode>0</c:formatCode>
                <c:ptCount val="32"/>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numCache>
            </c:numRef>
          </c:cat>
          <c:val>
            <c:numRef>
              <c:f>'Catch_Escapement Data'!$K$59:$K$90</c:f>
              <c:numCache>
                <c:formatCode>#,##0</c:formatCode>
                <c:ptCount val="32"/>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10000</c:v>
                </c:pt>
                <c:pt idx="16">
                  <c:v>10000</c:v>
                </c:pt>
                <c:pt idx="17">
                  <c:v>10000</c:v>
                </c:pt>
                <c:pt idx="18">
                  <c:v>10000</c:v>
                </c:pt>
                <c:pt idx="19">
                  <c:v>10000</c:v>
                </c:pt>
                <c:pt idx="20">
                  <c:v>10000</c:v>
                </c:pt>
                <c:pt idx="21">
                  <c:v>10000</c:v>
                </c:pt>
                <c:pt idx="22">
                  <c:v>10000</c:v>
                </c:pt>
                <c:pt idx="23">
                  <c:v>10000</c:v>
                </c:pt>
                <c:pt idx="24">
                  <c:v>10000</c:v>
                </c:pt>
                <c:pt idx="25">
                  <c:v>10000</c:v>
                </c:pt>
                <c:pt idx="26">
                  <c:v>10000</c:v>
                </c:pt>
                <c:pt idx="27">
                  <c:v>10000</c:v>
                </c:pt>
                <c:pt idx="28">
                  <c:v>10000</c:v>
                </c:pt>
                <c:pt idx="29">
                  <c:v>10000</c:v>
                </c:pt>
                <c:pt idx="30">
                  <c:v>10000</c:v>
                </c:pt>
                <c:pt idx="31">
                  <c:v>10000</c:v>
                </c:pt>
              </c:numCache>
            </c:numRef>
          </c:val>
          <c:smooth val="0"/>
        </c:ser>
        <c:dLbls>
          <c:showLegendKey val="0"/>
          <c:showVal val="0"/>
          <c:showCatName val="0"/>
          <c:showSerName val="0"/>
          <c:showPercent val="0"/>
          <c:showBubbleSize val="0"/>
        </c:dLbls>
        <c:marker val="1"/>
        <c:smooth val="0"/>
        <c:axId val="217337216"/>
        <c:axId val="217359872"/>
      </c:lineChart>
      <c:catAx>
        <c:axId val="217337216"/>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sz="1400" b="0" baseline="0"/>
                  <a:t>Year</a:t>
                </a:r>
              </a:p>
            </c:rich>
          </c:tx>
          <c:layout>
            <c:manualLayout>
              <c:xMode val="edge"/>
              <c:yMode val="edge"/>
              <c:x val="0.54177864519071872"/>
              <c:y val="0.82895825521809774"/>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7359872"/>
        <c:crosses val="autoZero"/>
        <c:auto val="0"/>
        <c:lblAlgn val="ctr"/>
        <c:lblOffset val="100"/>
        <c:tickLblSkip val="1"/>
        <c:tickMarkSkip val="1"/>
        <c:noMultiLvlLbl val="0"/>
      </c:catAx>
      <c:valAx>
        <c:axId val="217359872"/>
        <c:scaling>
          <c:orientation val="minMax"/>
          <c:max val="77300"/>
          <c:min val="0"/>
        </c:scaling>
        <c:delete val="0"/>
        <c:axPos val="l"/>
        <c:numFmt formatCode="#,##0" sourceLinked="0"/>
        <c:majorTickMark val="out"/>
        <c:minorTickMark val="none"/>
        <c:tickLblPos val="nextTo"/>
        <c:spPr>
          <a:ln w="12700">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7337216"/>
        <c:crosses val="autoZero"/>
        <c:crossBetween val="between"/>
        <c:majorUnit val="20000"/>
      </c:valAx>
      <c:spPr>
        <a:noFill/>
        <a:ln w="25400">
          <a:noFill/>
        </a:ln>
      </c:spPr>
    </c:plotArea>
    <c:legend>
      <c:legendPos val="r"/>
      <c:legendEntry>
        <c:idx val="4"/>
        <c:delete val="1"/>
      </c:legendEntry>
      <c:layout>
        <c:manualLayout>
          <c:xMode val="edge"/>
          <c:yMode val="edge"/>
          <c:x val="0"/>
          <c:y val="0.92173759530058741"/>
          <c:w val="1"/>
          <c:h val="6.3530808648918913E-2"/>
        </c:manualLayout>
      </c:layout>
      <c:overlay val="0"/>
      <c:spPr>
        <a:noFill/>
        <a:ln w="25400">
          <a:noFill/>
        </a:ln>
      </c:spPr>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8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97501101891421"/>
          <c:y val="2.8528570360258246E-2"/>
          <c:w val="0.81004771668934328"/>
          <c:h val="0.74925034788257183"/>
        </c:manualLayout>
      </c:layout>
      <c:barChart>
        <c:barDir val="col"/>
        <c:grouping val="stacked"/>
        <c:varyColors val="0"/>
        <c:ser>
          <c:idx val="2"/>
          <c:order val="0"/>
          <c:tx>
            <c:strRef>
              <c:f>'Taku Table'!$H$5</c:f>
              <c:strCache>
                <c:ptCount val="1"/>
                <c:pt idx="0">
                  <c:v>Escapement</c:v>
                </c:pt>
              </c:strCache>
            </c:strRef>
          </c:tx>
          <c:spPr>
            <a:solidFill>
              <a:srgbClr val="000000"/>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Table'!$H$6:$H$36</c:f>
              <c:numCache>
                <c:formatCode>#,##0</c:formatCode>
                <c:ptCount val="31"/>
                <c:pt idx="0">
                  <c:v>55457</c:v>
                </c:pt>
                <c:pt idx="1">
                  <c:v>39450</c:v>
                </c:pt>
                <c:pt idx="2">
                  <c:v>56808</c:v>
                </c:pt>
                <c:pt idx="3">
                  <c:v>72196</c:v>
                </c:pt>
                <c:pt idx="4">
                  <c:v>127484</c:v>
                </c:pt>
                <c:pt idx="5">
                  <c:v>83729</c:v>
                </c:pt>
                <c:pt idx="6">
                  <c:v>119330</c:v>
                </c:pt>
                <c:pt idx="7">
                  <c:v>96343</c:v>
                </c:pt>
                <c:pt idx="8">
                  <c:v>55710</c:v>
                </c:pt>
                <c:pt idx="9">
                  <c:v>44635</c:v>
                </c:pt>
                <c:pt idx="10">
                  <c:v>32345</c:v>
                </c:pt>
                <c:pt idx="11">
                  <c:v>61382</c:v>
                </c:pt>
                <c:pt idx="12">
                  <c:v>60768</c:v>
                </c:pt>
                <c:pt idx="13">
                  <c:v>64700</c:v>
                </c:pt>
                <c:pt idx="14">
                  <c:v>104394</c:v>
                </c:pt>
                <c:pt idx="15">
                  <c:v>219360</c:v>
                </c:pt>
                <c:pt idx="16">
                  <c:v>183112</c:v>
                </c:pt>
                <c:pt idx="17">
                  <c:v>129327</c:v>
                </c:pt>
                <c:pt idx="18">
                  <c:v>135558</c:v>
                </c:pt>
                <c:pt idx="19">
                  <c:v>122384</c:v>
                </c:pt>
                <c:pt idx="20">
                  <c:v>74246</c:v>
                </c:pt>
                <c:pt idx="21">
                  <c:v>95226</c:v>
                </c:pt>
                <c:pt idx="22">
                  <c:v>103950</c:v>
                </c:pt>
                <c:pt idx="23">
                  <c:v>126830</c:v>
                </c:pt>
                <c:pt idx="24">
                  <c:v>70871</c:v>
                </c:pt>
                <c:pt idx="25">
                  <c:v>70775</c:v>
                </c:pt>
                <c:pt idx="26">
                  <c:v>68117</c:v>
                </c:pt>
                <c:pt idx="27">
                  <c:v>124171</c:v>
                </c:pt>
                <c:pt idx="28">
                  <c:v>60178</c:v>
                </c:pt>
                <c:pt idx="29">
                  <c:v>87704</c:v>
                </c:pt>
                <c:pt idx="30">
                  <c:v>57868</c:v>
                </c:pt>
              </c:numCache>
            </c:numRef>
          </c:val>
        </c:ser>
        <c:ser>
          <c:idx val="4"/>
          <c:order val="1"/>
          <c:tx>
            <c:strRef>
              <c:f>'Taku Table'!$F$5</c:f>
              <c:strCache>
                <c:ptCount val="1"/>
                <c:pt idx="0">
                  <c:v>Inriver</c:v>
                </c:pt>
              </c:strCache>
            </c:strRef>
          </c:tx>
          <c:spPr>
            <a:solidFill>
              <a:srgbClr val="969696"/>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Table'!$F$6:$F$36</c:f>
              <c:numCache>
                <c:formatCode>#,##0</c:formatCode>
                <c:ptCount val="31"/>
                <c:pt idx="0">
                  <c:v>6519</c:v>
                </c:pt>
                <c:pt idx="1">
                  <c:v>3643</c:v>
                </c:pt>
                <c:pt idx="2">
                  <c:v>4033</c:v>
                </c:pt>
                <c:pt idx="3">
                  <c:v>3685</c:v>
                </c:pt>
                <c:pt idx="4">
                  <c:v>5439</c:v>
                </c:pt>
                <c:pt idx="5">
                  <c:v>5629</c:v>
                </c:pt>
                <c:pt idx="6">
                  <c:v>4659</c:v>
                </c:pt>
                <c:pt idx="7">
                  <c:v>14786</c:v>
                </c:pt>
                <c:pt idx="8">
                  <c:v>13835</c:v>
                </c:pt>
                <c:pt idx="9">
                  <c:v>5119</c:v>
                </c:pt>
                <c:pt idx="10">
                  <c:v>2717</c:v>
                </c:pt>
                <c:pt idx="11">
                  <c:v>5176</c:v>
                </c:pt>
                <c:pt idx="12">
                  <c:v>5619</c:v>
                </c:pt>
                <c:pt idx="13">
                  <c:v>5478</c:v>
                </c:pt>
                <c:pt idx="14">
                  <c:v>3121</c:v>
                </c:pt>
                <c:pt idx="15">
                  <c:v>3870</c:v>
                </c:pt>
                <c:pt idx="16">
                  <c:v>3702</c:v>
                </c:pt>
                <c:pt idx="17">
                  <c:v>9804</c:v>
                </c:pt>
                <c:pt idx="18">
                  <c:v>8393</c:v>
                </c:pt>
                <c:pt idx="19">
                  <c:v>11803</c:v>
                </c:pt>
                <c:pt idx="20">
                  <c:v>8133</c:v>
                </c:pt>
                <c:pt idx="21">
                  <c:v>4064</c:v>
                </c:pt>
                <c:pt idx="22">
                  <c:v>10006</c:v>
                </c:pt>
                <c:pt idx="23">
                  <c:v>14666</c:v>
                </c:pt>
                <c:pt idx="24">
                  <c:v>12702</c:v>
                </c:pt>
                <c:pt idx="25">
                  <c:v>14204</c:v>
                </c:pt>
                <c:pt idx="26">
                  <c:v>10613</c:v>
                </c:pt>
                <c:pt idx="27">
                  <c:v>16792</c:v>
                </c:pt>
                <c:pt idx="28">
                  <c:v>10434</c:v>
                </c:pt>
                <c:pt idx="29">
                  <c:v>11720</c:v>
                </c:pt>
                <c:pt idx="30">
                  <c:v>7960</c:v>
                </c:pt>
              </c:numCache>
            </c:numRef>
          </c:val>
        </c:ser>
        <c:ser>
          <c:idx val="1"/>
          <c:order val="2"/>
          <c:tx>
            <c:strRef>
              <c:f>'Taku Table'!$B$5</c:f>
              <c:strCache>
                <c:ptCount val="1"/>
                <c:pt idx="0">
                  <c:v>Troll</c:v>
                </c:pt>
              </c:strCache>
            </c:strRef>
          </c:tx>
          <c:spPr>
            <a:solidFill>
              <a:srgbClr val="FFFFFF"/>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Table'!$B$6:$B$36</c:f>
              <c:numCache>
                <c:formatCode>#,##0</c:formatCode>
                <c:ptCount val="31"/>
                <c:pt idx="0">
                  <c:v>0</c:v>
                </c:pt>
                <c:pt idx="1">
                  <c:v>0</c:v>
                </c:pt>
                <c:pt idx="2">
                  <c:v>0</c:v>
                </c:pt>
                <c:pt idx="3">
                  <c:v>0</c:v>
                </c:pt>
                <c:pt idx="4">
                  <c:v>0</c:v>
                </c:pt>
                <c:pt idx="5">
                  <c:v>41713</c:v>
                </c:pt>
                <c:pt idx="6">
                  <c:v>78371</c:v>
                </c:pt>
                <c:pt idx="7">
                  <c:v>97039</c:v>
                </c:pt>
                <c:pt idx="8">
                  <c:v>45041</c:v>
                </c:pt>
                <c:pt idx="9">
                  <c:v>24779</c:v>
                </c:pt>
                <c:pt idx="10">
                  <c:v>8822</c:v>
                </c:pt>
                <c:pt idx="11">
                  <c:v>28827</c:v>
                </c:pt>
                <c:pt idx="12">
                  <c:v>36231</c:v>
                </c:pt>
                <c:pt idx="13">
                  <c:v>21236</c:v>
                </c:pt>
                <c:pt idx="14">
                  <c:v>38326</c:v>
                </c:pt>
                <c:pt idx="15">
                  <c:v>39053</c:v>
                </c:pt>
                <c:pt idx="16">
                  <c:v>36433</c:v>
                </c:pt>
                <c:pt idx="17">
                  <c:v>62002</c:v>
                </c:pt>
                <c:pt idx="18">
                  <c:v>46521</c:v>
                </c:pt>
                <c:pt idx="19">
                  <c:v>49394</c:v>
                </c:pt>
                <c:pt idx="20">
                  <c:v>23519</c:v>
                </c:pt>
                <c:pt idx="21">
                  <c:v>47996.923700581407</c:v>
                </c:pt>
                <c:pt idx="22">
                  <c:v>51748.07419336708</c:v>
                </c:pt>
                <c:pt idx="23">
                  <c:v>34553.563312988241</c:v>
                </c:pt>
                <c:pt idx="24">
                  <c:v>23825.245316706063</c:v>
                </c:pt>
                <c:pt idx="25">
                  <c:v>14647.586530633618</c:v>
                </c:pt>
                <c:pt idx="26">
                  <c:v>34849.481399449214</c:v>
                </c:pt>
                <c:pt idx="27">
                  <c:v>12118</c:v>
                </c:pt>
                <c:pt idx="28">
                  <c:v>16355.093115063042</c:v>
                </c:pt>
                <c:pt idx="29">
                  <c:v>9801.0815198392684</c:v>
                </c:pt>
                <c:pt idx="30">
                  <c:v>19552</c:v>
                </c:pt>
              </c:numCache>
            </c:numRef>
          </c:val>
        </c:ser>
        <c:dLbls>
          <c:showLegendKey val="0"/>
          <c:showVal val="0"/>
          <c:showCatName val="0"/>
          <c:showSerName val="0"/>
          <c:showPercent val="0"/>
          <c:showBubbleSize val="0"/>
        </c:dLbls>
        <c:gapWidth val="80"/>
        <c:overlap val="100"/>
        <c:axId val="217419136"/>
        <c:axId val="217441792"/>
      </c:barChart>
      <c:lineChart>
        <c:grouping val="standard"/>
        <c:varyColors val="0"/>
        <c:ser>
          <c:idx val="3"/>
          <c:order val="3"/>
          <c:tx>
            <c:strRef>
              <c:f>'Taku Table'!$K$5</c:f>
              <c:strCache>
                <c:ptCount val="1"/>
                <c:pt idx="0">
                  <c:v>Escapament goals bound</c:v>
                </c:pt>
              </c:strCache>
            </c:strRef>
          </c:tx>
          <c:spPr>
            <a:ln w="38100">
              <a:solidFill>
                <a:srgbClr val="000000"/>
              </a:solidFill>
              <a:prstDash val="solid"/>
            </a:ln>
          </c:spPr>
          <c:marker>
            <c:symbol val="none"/>
          </c:marker>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Table'!$K$6:$K$36</c:f>
              <c:numCache>
                <c:formatCode>#,##0</c:formatCode>
                <c:ptCount val="31"/>
                <c:pt idx="0">
                  <c:v>50000</c:v>
                </c:pt>
                <c:pt idx="1">
                  <c:v>50000</c:v>
                </c:pt>
                <c:pt idx="2">
                  <c:v>50000</c:v>
                </c:pt>
                <c:pt idx="3">
                  <c:v>50000</c:v>
                </c:pt>
                <c:pt idx="4">
                  <c:v>50000</c:v>
                </c:pt>
                <c:pt idx="5">
                  <c:v>50000</c:v>
                </c:pt>
                <c:pt idx="6">
                  <c:v>50000</c:v>
                </c:pt>
                <c:pt idx="7">
                  <c:v>50000</c:v>
                </c:pt>
                <c:pt idx="8">
                  <c:v>50000</c:v>
                </c:pt>
                <c:pt idx="9">
                  <c:v>50000</c:v>
                </c:pt>
                <c:pt idx="10">
                  <c:v>50000</c:v>
                </c:pt>
                <c:pt idx="11">
                  <c:v>50000</c:v>
                </c:pt>
                <c:pt idx="12">
                  <c:v>50000</c:v>
                </c:pt>
                <c:pt idx="13">
                  <c:v>50000</c:v>
                </c:pt>
                <c:pt idx="14">
                  <c:v>50000</c:v>
                </c:pt>
                <c:pt idx="15">
                  <c:v>50000</c:v>
                </c:pt>
                <c:pt idx="16">
                  <c:v>50000</c:v>
                </c:pt>
                <c:pt idx="17">
                  <c:v>50000</c:v>
                </c:pt>
                <c:pt idx="18">
                  <c:v>50000</c:v>
                </c:pt>
                <c:pt idx="19">
                  <c:v>50000</c:v>
                </c:pt>
                <c:pt idx="20">
                  <c:v>50000</c:v>
                </c:pt>
                <c:pt idx="21">
                  <c:v>50000</c:v>
                </c:pt>
                <c:pt idx="22">
                  <c:v>50000</c:v>
                </c:pt>
                <c:pt idx="23">
                  <c:v>50000</c:v>
                </c:pt>
                <c:pt idx="24">
                  <c:v>50000</c:v>
                </c:pt>
                <c:pt idx="25">
                  <c:v>50000</c:v>
                </c:pt>
                <c:pt idx="26">
                  <c:v>50000</c:v>
                </c:pt>
                <c:pt idx="27">
                  <c:v>50000</c:v>
                </c:pt>
                <c:pt idx="28">
                  <c:v>50000</c:v>
                </c:pt>
                <c:pt idx="29">
                  <c:v>50000</c:v>
                </c:pt>
                <c:pt idx="30">
                  <c:v>50000</c:v>
                </c:pt>
              </c:numCache>
            </c:numRef>
          </c:val>
          <c:smooth val="0"/>
        </c:ser>
        <c:ser>
          <c:idx val="0"/>
          <c:order val="4"/>
          <c:tx>
            <c:strRef>
              <c:f>'Taku Table'!$L$5</c:f>
              <c:strCache>
                <c:ptCount val="1"/>
                <c:pt idx="0">
                  <c:v>Upper</c:v>
                </c:pt>
              </c:strCache>
            </c:strRef>
          </c:tx>
          <c:spPr>
            <a:ln>
              <a:solidFill>
                <a:sysClr val="windowText" lastClr="000000"/>
              </a:solidFill>
            </a:ln>
          </c:spPr>
          <c:marker>
            <c:symbol val="none"/>
          </c:marker>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Table'!$L$6:$L$36</c:f>
              <c:numCache>
                <c:formatCode>#,##0</c:formatCode>
                <c:ptCount val="31"/>
                <c:pt idx="0">
                  <c:v>90000</c:v>
                </c:pt>
                <c:pt idx="1">
                  <c:v>90000</c:v>
                </c:pt>
                <c:pt idx="2">
                  <c:v>90000</c:v>
                </c:pt>
                <c:pt idx="3">
                  <c:v>90000</c:v>
                </c:pt>
                <c:pt idx="4">
                  <c:v>90000</c:v>
                </c:pt>
                <c:pt idx="5">
                  <c:v>90000</c:v>
                </c:pt>
                <c:pt idx="6">
                  <c:v>90000</c:v>
                </c:pt>
                <c:pt idx="7">
                  <c:v>90000</c:v>
                </c:pt>
                <c:pt idx="8">
                  <c:v>90000</c:v>
                </c:pt>
                <c:pt idx="9">
                  <c:v>90000</c:v>
                </c:pt>
                <c:pt idx="10">
                  <c:v>90000</c:v>
                </c:pt>
                <c:pt idx="11">
                  <c:v>90000</c:v>
                </c:pt>
                <c:pt idx="12">
                  <c:v>90000</c:v>
                </c:pt>
                <c:pt idx="13">
                  <c:v>90000</c:v>
                </c:pt>
                <c:pt idx="14">
                  <c:v>90000</c:v>
                </c:pt>
                <c:pt idx="15">
                  <c:v>90000</c:v>
                </c:pt>
                <c:pt idx="16">
                  <c:v>90000</c:v>
                </c:pt>
                <c:pt idx="17">
                  <c:v>90000</c:v>
                </c:pt>
                <c:pt idx="18">
                  <c:v>90000</c:v>
                </c:pt>
                <c:pt idx="19">
                  <c:v>90000</c:v>
                </c:pt>
                <c:pt idx="20">
                  <c:v>90000</c:v>
                </c:pt>
                <c:pt idx="21">
                  <c:v>90000</c:v>
                </c:pt>
                <c:pt idx="22">
                  <c:v>90000</c:v>
                </c:pt>
                <c:pt idx="23">
                  <c:v>90000</c:v>
                </c:pt>
                <c:pt idx="24">
                  <c:v>90000</c:v>
                </c:pt>
                <c:pt idx="25">
                  <c:v>90000</c:v>
                </c:pt>
                <c:pt idx="26">
                  <c:v>90000</c:v>
                </c:pt>
                <c:pt idx="27">
                  <c:v>90000</c:v>
                </c:pt>
                <c:pt idx="28">
                  <c:v>90000</c:v>
                </c:pt>
                <c:pt idx="29">
                  <c:v>90000</c:v>
                </c:pt>
                <c:pt idx="30">
                  <c:v>90000</c:v>
                </c:pt>
              </c:numCache>
            </c:numRef>
          </c:val>
          <c:smooth val="0"/>
        </c:ser>
        <c:dLbls>
          <c:showLegendKey val="0"/>
          <c:showVal val="0"/>
          <c:showCatName val="0"/>
          <c:showSerName val="0"/>
          <c:showPercent val="0"/>
          <c:showBubbleSize val="0"/>
        </c:dLbls>
        <c:marker val="1"/>
        <c:smooth val="0"/>
        <c:axId val="217419136"/>
        <c:axId val="217441792"/>
      </c:lineChart>
      <c:catAx>
        <c:axId val="21741913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4369489528094705"/>
              <c:y val="0.8508521119544740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100" b="1" i="0" u="none" strike="noStrike" baseline="0">
                <a:solidFill>
                  <a:srgbClr val="000000"/>
                </a:solidFill>
                <a:latin typeface="Arial"/>
                <a:ea typeface="Arial"/>
                <a:cs typeface="Arial"/>
              </a:defRPr>
            </a:pPr>
            <a:endParaRPr lang="en-US"/>
          </a:p>
        </c:txPr>
        <c:crossAx val="217441792"/>
        <c:crosses val="autoZero"/>
        <c:auto val="0"/>
        <c:lblAlgn val="ctr"/>
        <c:lblOffset val="100"/>
        <c:tickLblSkip val="1"/>
        <c:tickMarkSkip val="1"/>
        <c:noMultiLvlLbl val="0"/>
      </c:catAx>
      <c:valAx>
        <c:axId val="217441792"/>
        <c:scaling>
          <c:orientation val="minMax"/>
          <c:max val="350000"/>
          <c:min val="0"/>
        </c:scaling>
        <c:delete val="0"/>
        <c:axPos val="l"/>
        <c:title>
          <c:tx>
            <c:rich>
              <a:bodyPr/>
              <a:lstStyle/>
              <a:p>
                <a:pPr>
                  <a:defRPr sz="1200" b="1" i="0" u="none" strike="noStrike" baseline="0">
                    <a:solidFill>
                      <a:srgbClr val="000000"/>
                    </a:solidFill>
                    <a:latin typeface="Arial"/>
                    <a:ea typeface="Arial"/>
                    <a:cs typeface="Arial"/>
                  </a:defRPr>
                </a:pPr>
                <a:r>
                  <a:rPr lang="en-US"/>
                  <a:t>Number of Coho Salmon</a:t>
                </a:r>
              </a:p>
            </c:rich>
          </c:tx>
          <c:layout>
            <c:manualLayout>
              <c:xMode val="edge"/>
              <c:yMode val="edge"/>
              <c:x val="7.8492935635792772E-3"/>
              <c:y val="0.28228275519614099"/>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217419136"/>
        <c:crosses val="autoZero"/>
        <c:crossBetween val="between"/>
        <c:majorUnit val="50000"/>
      </c:valAx>
      <c:spPr>
        <a:noFill/>
        <a:ln w="25400">
          <a:noFill/>
        </a:ln>
      </c:spPr>
    </c:plotArea>
    <c:legend>
      <c:legendPos val="b"/>
      <c:legendEntry>
        <c:idx val="4"/>
        <c:delete val="1"/>
      </c:legendEntry>
      <c:layout>
        <c:manualLayout>
          <c:xMode val="edge"/>
          <c:yMode val="edge"/>
          <c:x val="7.5353218210361061E-2"/>
          <c:y val="0.8858871469895091"/>
          <c:w val="0.85886483969723559"/>
          <c:h val="3.0830830830830831E-2"/>
        </c:manualLayout>
      </c:layout>
      <c:overlay val="0"/>
      <c:spPr>
        <a:solidFill>
          <a:srgbClr val="FFFFFF"/>
        </a:solidFill>
        <a:ln w="25400">
          <a:noFill/>
        </a:ln>
      </c:spPr>
      <c:txPr>
        <a:bodyPr/>
        <a:lstStyle/>
        <a:p>
          <a:pPr>
            <a:defRPr sz="85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orientation="landscape"/>
  </c:printSettings>
  <c:userShapes r:id="rId1"/>
</c:chartSpace>
</file>

<file path=xl/charts/chart8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Berners River</a:t>
            </a:r>
          </a:p>
        </c:rich>
      </c:tx>
      <c:layout>
        <c:manualLayout>
          <c:xMode val="edge"/>
          <c:yMode val="edge"/>
          <c:x val="0.45773712328512128"/>
          <c:y val="6.4938164509097382E-2"/>
        </c:manualLayout>
      </c:layout>
      <c:overlay val="0"/>
      <c:spPr>
        <a:noFill/>
        <a:ln w="25400">
          <a:noFill/>
        </a:ln>
      </c:spPr>
    </c:title>
    <c:autoTitleDeleted val="0"/>
    <c:plotArea>
      <c:layout>
        <c:manualLayout>
          <c:layoutTarget val="inner"/>
          <c:xMode val="edge"/>
          <c:yMode val="edge"/>
          <c:x val="0.14049731017665346"/>
          <c:y val="3.3404186450346068E-2"/>
          <c:w val="0.84875233149047857"/>
          <c:h val="0.73631900885270696"/>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Data'!$A$61:$A$89</c:f>
              <c:numCache>
                <c:formatCode>General</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'Catch_Escapement Data'!$I$61:$I$89</c:f>
              <c:numCache>
                <c:formatCode>#,##0</c:formatCode>
                <c:ptCount val="29"/>
                <c:pt idx="0">
                  <c:v>9320</c:v>
                </c:pt>
                <c:pt idx="1">
                  <c:v>13715</c:v>
                </c:pt>
                <c:pt idx="2">
                  <c:v>14311</c:v>
                </c:pt>
                <c:pt idx="3">
                  <c:v>18991</c:v>
                </c:pt>
                <c:pt idx="4">
                  <c:v>19450</c:v>
                </c:pt>
                <c:pt idx="5">
                  <c:v>19760</c:v>
                </c:pt>
                <c:pt idx="6">
                  <c:v>6138</c:v>
                </c:pt>
                <c:pt idx="7">
                  <c:v>7509</c:v>
                </c:pt>
                <c:pt idx="8">
                  <c:v>12474</c:v>
                </c:pt>
                <c:pt idx="9">
                  <c:v>8443</c:v>
                </c:pt>
                <c:pt idx="10">
                  <c:v>12313</c:v>
                </c:pt>
                <c:pt idx="11">
                  <c:v>13219</c:v>
                </c:pt>
                <c:pt idx="12">
                  <c:v>23943</c:v>
                </c:pt>
                <c:pt idx="13">
                  <c:v>34382</c:v>
                </c:pt>
                <c:pt idx="14">
                  <c:v>12549</c:v>
                </c:pt>
                <c:pt idx="15">
                  <c:v>17936</c:v>
                </c:pt>
                <c:pt idx="16">
                  <c:v>6479</c:v>
                </c:pt>
                <c:pt idx="17">
                  <c:v>6789</c:v>
                </c:pt>
                <c:pt idx="18">
                  <c:v>4859</c:v>
                </c:pt>
                <c:pt idx="19">
                  <c:v>8527</c:v>
                </c:pt>
                <c:pt idx="20">
                  <c:v>5250</c:v>
                </c:pt>
                <c:pt idx="21">
                  <c:v>9334</c:v>
                </c:pt>
                <c:pt idx="22">
                  <c:v>7509</c:v>
                </c:pt>
                <c:pt idx="23">
                  <c:v>6802</c:v>
                </c:pt>
                <c:pt idx="24">
                  <c:v>7795</c:v>
                </c:pt>
                <c:pt idx="25">
                  <c:v>19214</c:v>
                </c:pt>
                <c:pt idx="26">
                  <c:v>12338</c:v>
                </c:pt>
                <c:pt idx="27">
                  <c:v>8357</c:v>
                </c:pt>
                <c:pt idx="28">
                  <c:v>8738</c:v>
                </c:pt>
              </c:numCache>
            </c:numRef>
          </c:val>
        </c:ser>
        <c:ser>
          <c:idx val="0"/>
          <c:order val="1"/>
          <c:tx>
            <c:v>Other Fisheries</c:v>
          </c:tx>
          <c:spPr>
            <a:solidFill>
              <a:srgbClr val="C0C0C0"/>
            </a:solidFill>
            <a:ln w="12700">
              <a:solidFill>
                <a:srgbClr val="000000"/>
              </a:solidFill>
              <a:prstDash val="solid"/>
            </a:ln>
          </c:spPr>
          <c:invertIfNegative val="0"/>
          <c:cat>
            <c:numRef>
              <c:f>'Catch_Escapement Data'!$A$61:$A$89</c:f>
              <c:numCache>
                <c:formatCode>General</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'Catch_Escapement Data'!$M$61:$M$89</c:f>
              <c:numCache>
                <c:formatCode>#,##0</c:formatCode>
                <c:ptCount val="29"/>
                <c:pt idx="0">
                  <c:v>1664.5295875675677</c:v>
                </c:pt>
                <c:pt idx="1">
                  <c:v>7903.7236924422314</c:v>
                </c:pt>
                <c:pt idx="2">
                  <c:v>17008.220035610553</c:v>
                </c:pt>
                <c:pt idx="3">
                  <c:v>15376.580432960342</c:v>
                </c:pt>
                <c:pt idx="4">
                  <c:v>14627.286861220649</c:v>
                </c:pt>
                <c:pt idx="5">
                  <c:v>30109.870411608859</c:v>
                </c:pt>
                <c:pt idx="6">
                  <c:v>15104.459928559276</c:v>
                </c:pt>
                <c:pt idx="7">
                  <c:v>7074.9686336538462</c:v>
                </c:pt>
                <c:pt idx="8">
                  <c:v>2781.3509854027516</c:v>
                </c:pt>
                <c:pt idx="9">
                  <c:v>5910.6912592145454</c:v>
                </c:pt>
                <c:pt idx="10">
                  <c:v>10348.749160845062</c:v>
                </c:pt>
                <c:pt idx="11">
                  <c:v>6004.0087996874972</c:v>
                </c:pt>
                <c:pt idx="12">
                  <c:v>4048.4054414634797</c:v>
                </c:pt>
                <c:pt idx="13">
                  <c:v>13468.621889380582</c:v>
                </c:pt>
                <c:pt idx="14">
                  <c:v>12178.241481890531</c:v>
                </c:pt>
                <c:pt idx="15">
                  <c:v>7932.1244014004769</c:v>
                </c:pt>
                <c:pt idx="16">
                  <c:v>2899.1893495575223</c:v>
                </c:pt>
                <c:pt idx="17">
                  <c:v>6270.6875726886228</c:v>
                </c:pt>
                <c:pt idx="18">
                  <c:v>1869.0850097283762</c:v>
                </c:pt>
                <c:pt idx="19">
                  <c:v>3618.5646731159577</c:v>
                </c:pt>
                <c:pt idx="20">
                  <c:v>2280.7571149367091</c:v>
                </c:pt>
                <c:pt idx="21">
                  <c:v>7845.4991998376936</c:v>
                </c:pt>
                <c:pt idx="22">
                  <c:v>2257.4466386363638</c:v>
                </c:pt>
                <c:pt idx="23">
                  <c:v>979.64220288319086</c:v>
                </c:pt>
                <c:pt idx="24">
                  <c:v>7266.9495325000007</c:v>
                </c:pt>
                <c:pt idx="25">
                  <c:v>6867.170445164742</c:v>
                </c:pt>
                <c:pt idx="26">
                  <c:v>2166</c:v>
                </c:pt>
                <c:pt idx="27">
                  <c:v>2295.8126686792439</c:v>
                </c:pt>
                <c:pt idx="28">
                  <c:v>2803</c:v>
                </c:pt>
              </c:numCache>
            </c:numRef>
          </c:val>
        </c:ser>
        <c:ser>
          <c:idx val="1"/>
          <c:order val="2"/>
          <c:tx>
            <c:v>Troll Catch</c:v>
          </c:tx>
          <c:spPr>
            <a:solidFill>
              <a:srgbClr val="FFFFFF"/>
            </a:solidFill>
            <a:ln w="12700">
              <a:solidFill>
                <a:srgbClr val="000000"/>
              </a:solidFill>
              <a:prstDash val="solid"/>
            </a:ln>
          </c:spPr>
          <c:invertIfNegative val="0"/>
          <c:cat>
            <c:numRef>
              <c:f>'Catch_Escapement Data'!$A$61:$A$89</c:f>
              <c:numCache>
                <c:formatCode>General</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'Catch_Escapement Data'!$L$61:$L$89</c:f>
              <c:numCache>
                <c:formatCode>#,##0</c:formatCode>
                <c:ptCount val="29"/>
                <c:pt idx="0">
                  <c:v>10582.789888648653</c:v>
                </c:pt>
                <c:pt idx="1">
                  <c:v>15006.906562552591</c:v>
                </c:pt>
                <c:pt idx="2">
                  <c:v>6448.5848185505256</c:v>
                </c:pt>
                <c:pt idx="3">
                  <c:v>15318.194687812569</c:v>
                </c:pt>
                <c:pt idx="4">
                  <c:v>19308.334788727647</c:v>
                </c:pt>
                <c:pt idx="5">
                  <c:v>27339.017989400378</c:v>
                </c:pt>
                <c:pt idx="6">
                  <c:v>8765.6907583897864</c:v>
                </c:pt>
                <c:pt idx="7">
                  <c:v>10528.730040144168</c:v>
                </c:pt>
                <c:pt idx="8">
                  <c:v>2452.8423084848455</c:v>
                </c:pt>
                <c:pt idx="9">
                  <c:v>10424.447558787861</c:v>
                </c:pt>
                <c:pt idx="10">
                  <c:v>12876.411924788617</c:v>
                </c:pt>
                <c:pt idx="11">
                  <c:v>4810.7035637946483</c:v>
                </c:pt>
                <c:pt idx="12">
                  <c:v>8814.3456853610987</c:v>
                </c:pt>
                <c:pt idx="13">
                  <c:v>8649.799148571401</c:v>
                </c:pt>
                <c:pt idx="14">
                  <c:v>6822.780148593728</c:v>
                </c:pt>
                <c:pt idx="15">
                  <c:v>10791.879529411573</c:v>
                </c:pt>
                <c:pt idx="16">
                  <c:v>4638.6855929203448</c:v>
                </c:pt>
                <c:pt idx="17">
                  <c:v>4081.5165299999962</c:v>
                </c:pt>
                <c:pt idx="18">
                  <c:v>2937.46540720339</c:v>
                </c:pt>
                <c:pt idx="19">
                  <c:v>3878.1945390909154</c:v>
                </c:pt>
                <c:pt idx="20">
                  <c:v>2806.6890000000003</c:v>
                </c:pt>
                <c:pt idx="21">
                  <c:v>6451.0321920064944</c:v>
                </c:pt>
                <c:pt idx="22">
                  <c:v>3721.6134204545397</c:v>
                </c:pt>
                <c:pt idx="23">
                  <c:v>2070.8644198484849</c:v>
                </c:pt>
                <c:pt idx="24">
                  <c:v>7520.6314891346174</c:v>
                </c:pt>
                <c:pt idx="25">
                  <c:v>4301.1241040387176</c:v>
                </c:pt>
                <c:pt idx="26">
                  <c:v>3543</c:v>
                </c:pt>
                <c:pt idx="27">
                  <c:v>919.40433610062894</c:v>
                </c:pt>
                <c:pt idx="28">
                  <c:v>4455</c:v>
                </c:pt>
              </c:numCache>
            </c:numRef>
          </c:val>
        </c:ser>
        <c:dLbls>
          <c:showLegendKey val="0"/>
          <c:showVal val="0"/>
          <c:showCatName val="0"/>
          <c:showSerName val="0"/>
          <c:showPercent val="0"/>
          <c:showBubbleSize val="0"/>
        </c:dLbls>
        <c:gapWidth val="80"/>
        <c:overlap val="100"/>
        <c:axId val="218162688"/>
        <c:axId val="218164608"/>
      </c:barChart>
      <c:lineChart>
        <c:grouping val="standard"/>
        <c:varyColors val="0"/>
        <c:ser>
          <c:idx val="3"/>
          <c:order val="3"/>
          <c:tx>
            <c:v>Escapement Goal Bounds</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'Catch_Escapement Data'!$J$61:$J$89</c:f>
              <c:numCache>
                <c:formatCode>#,##0</c:formatCode>
                <c:ptCount val="29"/>
                <c:pt idx="0">
                  <c:v>4500</c:v>
                </c:pt>
                <c:pt idx="1">
                  <c:v>4500</c:v>
                </c:pt>
                <c:pt idx="2">
                  <c:v>4500</c:v>
                </c:pt>
                <c:pt idx="3">
                  <c:v>4500</c:v>
                </c:pt>
                <c:pt idx="4">
                  <c:v>4500</c:v>
                </c:pt>
                <c:pt idx="5">
                  <c:v>4500</c:v>
                </c:pt>
                <c:pt idx="6">
                  <c:v>4500</c:v>
                </c:pt>
                <c:pt idx="7">
                  <c:v>4500</c:v>
                </c:pt>
                <c:pt idx="8">
                  <c:v>4500</c:v>
                </c:pt>
                <c:pt idx="9">
                  <c:v>4500</c:v>
                </c:pt>
                <c:pt idx="10">
                  <c:v>4500</c:v>
                </c:pt>
                <c:pt idx="11">
                  <c:v>4500</c:v>
                </c:pt>
                <c:pt idx="12">
                  <c:v>4500</c:v>
                </c:pt>
                <c:pt idx="13">
                  <c:v>4500</c:v>
                </c:pt>
                <c:pt idx="14">
                  <c:v>4500</c:v>
                </c:pt>
                <c:pt idx="15">
                  <c:v>4500</c:v>
                </c:pt>
                <c:pt idx="16">
                  <c:v>4500</c:v>
                </c:pt>
                <c:pt idx="17">
                  <c:v>4500</c:v>
                </c:pt>
                <c:pt idx="18">
                  <c:v>4500</c:v>
                </c:pt>
                <c:pt idx="19">
                  <c:v>4500</c:v>
                </c:pt>
                <c:pt idx="20">
                  <c:v>4500</c:v>
                </c:pt>
                <c:pt idx="21">
                  <c:v>4500</c:v>
                </c:pt>
                <c:pt idx="22">
                  <c:v>4500</c:v>
                </c:pt>
                <c:pt idx="23">
                  <c:v>4500</c:v>
                </c:pt>
                <c:pt idx="24">
                  <c:v>4500</c:v>
                </c:pt>
                <c:pt idx="25">
                  <c:v>4500</c:v>
                </c:pt>
                <c:pt idx="26">
                  <c:v>4500</c:v>
                </c:pt>
                <c:pt idx="27">
                  <c:v>4500</c:v>
                </c:pt>
                <c:pt idx="28">
                  <c:v>4500</c:v>
                </c:pt>
              </c:numCache>
            </c:numRef>
          </c:val>
          <c:smooth val="0"/>
        </c:ser>
        <c:ser>
          <c:idx val="4"/>
          <c:order val="4"/>
          <c:tx>
            <c:v>Upper Bound</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'Catch_Escapement Data'!$K$61:$K$89</c:f>
              <c:numCache>
                <c:formatCode>#,##0</c:formatCode>
                <c:ptCount val="29"/>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10000</c:v>
                </c:pt>
                <c:pt idx="16">
                  <c:v>10000</c:v>
                </c:pt>
                <c:pt idx="17">
                  <c:v>10000</c:v>
                </c:pt>
                <c:pt idx="18">
                  <c:v>10000</c:v>
                </c:pt>
                <c:pt idx="19">
                  <c:v>10000</c:v>
                </c:pt>
                <c:pt idx="20">
                  <c:v>10000</c:v>
                </c:pt>
                <c:pt idx="21">
                  <c:v>10000</c:v>
                </c:pt>
                <c:pt idx="22">
                  <c:v>10000</c:v>
                </c:pt>
                <c:pt idx="23">
                  <c:v>10000</c:v>
                </c:pt>
                <c:pt idx="24">
                  <c:v>10000</c:v>
                </c:pt>
                <c:pt idx="25">
                  <c:v>10000</c:v>
                </c:pt>
                <c:pt idx="26">
                  <c:v>10000</c:v>
                </c:pt>
                <c:pt idx="27">
                  <c:v>10000</c:v>
                </c:pt>
                <c:pt idx="28">
                  <c:v>10000</c:v>
                </c:pt>
              </c:numCache>
            </c:numRef>
          </c:val>
          <c:smooth val="0"/>
        </c:ser>
        <c:dLbls>
          <c:showLegendKey val="0"/>
          <c:showVal val="0"/>
          <c:showCatName val="0"/>
          <c:showSerName val="0"/>
          <c:showPercent val="0"/>
          <c:showBubbleSize val="0"/>
        </c:dLbls>
        <c:marker val="1"/>
        <c:smooth val="0"/>
        <c:axId val="218162688"/>
        <c:axId val="218164608"/>
      </c:lineChart>
      <c:catAx>
        <c:axId val="218162688"/>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sz="1400" b="0" baseline="0"/>
                  <a:t>Year</a:t>
                </a:r>
              </a:p>
            </c:rich>
          </c:tx>
          <c:layout>
            <c:manualLayout>
              <c:xMode val="edge"/>
              <c:yMode val="edge"/>
              <c:x val="0.51908356136334022"/>
              <c:y val="0.87133124249299343"/>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8164608"/>
        <c:crosses val="autoZero"/>
        <c:auto val="0"/>
        <c:lblAlgn val="ctr"/>
        <c:lblOffset val="100"/>
        <c:tickLblSkip val="1"/>
        <c:tickMarkSkip val="1"/>
        <c:noMultiLvlLbl val="0"/>
      </c:catAx>
      <c:valAx>
        <c:axId val="218164608"/>
        <c:scaling>
          <c:orientation val="minMax"/>
          <c:max val="77300"/>
          <c:min val="0"/>
        </c:scaling>
        <c:delete val="0"/>
        <c:axPos val="l"/>
        <c:title>
          <c:tx>
            <c:rich>
              <a:bodyPr rot="-5400000" vert="horz"/>
              <a:lstStyle/>
              <a:p>
                <a:pPr>
                  <a:defRPr sz="1400">
                    <a:latin typeface="Arial" panose="020B0604020202020204" pitchFamily="34" charset="0"/>
                    <a:cs typeface="Arial" panose="020B0604020202020204" pitchFamily="34" charset="0"/>
                  </a:defRPr>
                </a:pPr>
                <a:r>
                  <a:rPr lang="en-US" sz="1400">
                    <a:latin typeface="Arial" panose="020B0604020202020204" pitchFamily="34" charset="0"/>
                    <a:cs typeface="Arial" panose="020B0604020202020204" pitchFamily="34" charset="0"/>
                  </a:rPr>
                  <a:t>Number of Fish</a:t>
                </a:r>
              </a:p>
            </c:rich>
          </c:tx>
          <c:layout>
            <c:manualLayout>
              <c:xMode val="edge"/>
              <c:yMode val="edge"/>
              <c:x val="1.1749297295284896E-2"/>
              <c:y val="0.24614907246763645"/>
            </c:manualLayout>
          </c:layout>
          <c:overlay val="0"/>
        </c:title>
        <c:numFmt formatCode="#,##0" sourceLinked="0"/>
        <c:majorTickMark val="out"/>
        <c:minorTickMark val="none"/>
        <c:tickLblPos val="nextTo"/>
        <c:spPr>
          <a:ln w="12700">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8162688"/>
        <c:crosses val="autoZero"/>
        <c:crossBetween val="between"/>
        <c:majorUnit val="10000"/>
      </c:valAx>
      <c:spPr>
        <a:noFill/>
        <a:ln w="25400">
          <a:noFill/>
        </a:ln>
      </c:spPr>
    </c:plotArea>
    <c:legend>
      <c:legendPos val="r"/>
      <c:legendEntry>
        <c:idx val="4"/>
        <c:delete val="1"/>
      </c:legendEntry>
      <c:layout>
        <c:manualLayout>
          <c:xMode val="edge"/>
          <c:yMode val="edge"/>
          <c:x val="0"/>
          <c:y val="0.93364235720534938"/>
          <c:w val="1"/>
          <c:h val="6.3530808648918913E-2"/>
        </c:manualLayout>
      </c:layout>
      <c:overlay val="0"/>
      <c:spPr>
        <a:noFill/>
        <a:ln w="25400">
          <a:noFill/>
        </a:ln>
      </c:spPr>
      <c:txPr>
        <a:bodyPr/>
        <a:lstStyle/>
        <a:p>
          <a:pPr>
            <a:defRPr sz="13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orientation="landscape"/>
  </c:printSettings>
  <c:userShapes r:id="rId1"/>
</c:chartSpace>
</file>

<file path=xl/charts/chart8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Auke Creek</a:t>
            </a:r>
          </a:p>
        </c:rich>
      </c:tx>
      <c:layout>
        <c:manualLayout>
          <c:xMode val="edge"/>
          <c:yMode val="edge"/>
          <c:x val="0.44875949716811714"/>
          <c:y val="9.7409311439375856E-4"/>
        </c:manualLayout>
      </c:layout>
      <c:overlay val="0"/>
      <c:spPr>
        <a:noFill/>
        <a:ln w="25400">
          <a:noFill/>
        </a:ln>
      </c:spPr>
    </c:title>
    <c:autoTitleDeleted val="0"/>
    <c:plotArea>
      <c:layout>
        <c:manualLayout>
          <c:layoutTarget val="inner"/>
          <c:xMode val="edge"/>
          <c:yMode val="edge"/>
          <c:x val="0.2398394115209283"/>
          <c:y val="7.3864698536614537E-2"/>
          <c:w val="0.74366210802597044"/>
          <c:h val="0.78266704265272624"/>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Data'!$A$7:$A$42</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Data'!$D$7:$D$42</c:f>
              <c:numCache>
                <c:formatCode>#,##0</c:formatCode>
                <c:ptCount val="36"/>
                <c:pt idx="0">
                  <c:v>447</c:v>
                </c:pt>
                <c:pt idx="1">
                  <c:v>694</c:v>
                </c:pt>
                <c:pt idx="2">
                  <c:v>651</c:v>
                </c:pt>
                <c:pt idx="3">
                  <c:v>942</c:v>
                </c:pt>
                <c:pt idx="4">
                  <c:v>454</c:v>
                </c:pt>
                <c:pt idx="5">
                  <c:v>668</c:v>
                </c:pt>
                <c:pt idx="6">
                  <c:v>756</c:v>
                </c:pt>
                <c:pt idx="7">
                  <c:v>502</c:v>
                </c:pt>
                <c:pt idx="8">
                  <c:v>697</c:v>
                </c:pt>
                <c:pt idx="9">
                  <c:v>808</c:v>
                </c:pt>
                <c:pt idx="10">
                  <c:v>1020</c:v>
                </c:pt>
                <c:pt idx="11">
                  <c:v>859</c:v>
                </c:pt>
                <c:pt idx="12">
                  <c:v>1437</c:v>
                </c:pt>
                <c:pt idx="13">
                  <c:v>460</c:v>
                </c:pt>
                <c:pt idx="14">
                  <c:v>515</c:v>
                </c:pt>
                <c:pt idx="15">
                  <c:v>609</c:v>
                </c:pt>
                <c:pt idx="16">
                  <c:v>862</c:v>
                </c:pt>
                <c:pt idx="17">
                  <c:v>845</c:v>
                </c:pt>
                <c:pt idx="18">
                  <c:v>683</c:v>
                </c:pt>
                <c:pt idx="19">
                  <c:v>865</c:v>
                </c:pt>
                <c:pt idx="20">
                  <c:v>1176</c:v>
                </c:pt>
                <c:pt idx="21">
                  <c:v>585</c:v>
                </c:pt>
                <c:pt idx="22">
                  <c:v>416</c:v>
                </c:pt>
                <c:pt idx="23">
                  <c:v>450</c:v>
                </c:pt>
                <c:pt idx="24">
                  <c:v>581</c:v>
                </c:pt>
                <c:pt idx="25">
                  <c:v>352</c:v>
                </c:pt>
                <c:pt idx="26">
                  <c:v>600</c:v>
                </c:pt>
                <c:pt idx="27">
                  <c:v>360</c:v>
                </c:pt>
                <c:pt idx="28">
                  <c:v>417</c:v>
                </c:pt>
                <c:pt idx="29">
                  <c:v>517</c:v>
                </c:pt>
                <c:pt idx="30">
                  <c:v>837</c:v>
                </c:pt>
                <c:pt idx="31">
                  <c:v>736</c:v>
                </c:pt>
                <c:pt idx="32">
                  <c:v>1533</c:v>
                </c:pt>
                <c:pt idx="33">
                  <c:v>517</c:v>
                </c:pt>
                <c:pt idx="34">
                  <c:v>204</c:v>
                </c:pt>
                <c:pt idx="35">
                  <c:v>283</c:v>
                </c:pt>
              </c:numCache>
            </c:numRef>
          </c:val>
        </c:ser>
        <c:ser>
          <c:idx val="0"/>
          <c:order val="1"/>
          <c:tx>
            <c:v>Other</c:v>
          </c:tx>
          <c:spPr>
            <a:solidFill>
              <a:srgbClr val="C0C0C0"/>
            </a:solidFill>
            <a:ln w="12700">
              <a:solidFill>
                <a:srgbClr val="000000"/>
              </a:solidFill>
              <a:prstDash val="solid"/>
            </a:ln>
          </c:spPr>
          <c:invertIfNegative val="0"/>
          <c:cat>
            <c:numRef>
              <c:f>'Catch_Escapement Data'!$A$7:$A$42</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Data'!$C$7:$C$42</c:f>
              <c:numCache>
                <c:formatCode>#,##0</c:formatCode>
                <c:ptCount val="36"/>
                <c:pt idx="0">
                  <c:v>143</c:v>
                </c:pt>
                <c:pt idx="1">
                  <c:v>160</c:v>
                </c:pt>
                <c:pt idx="2">
                  <c:v>72</c:v>
                </c:pt>
                <c:pt idx="3">
                  <c:v>147</c:v>
                </c:pt>
                <c:pt idx="4">
                  <c:v>99</c:v>
                </c:pt>
                <c:pt idx="5">
                  <c:v>73</c:v>
                </c:pt>
                <c:pt idx="6">
                  <c:v>139</c:v>
                </c:pt>
                <c:pt idx="7">
                  <c:v>71</c:v>
                </c:pt>
                <c:pt idx="8">
                  <c:v>150</c:v>
                </c:pt>
                <c:pt idx="9">
                  <c:v>171</c:v>
                </c:pt>
                <c:pt idx="10">
                  <c:v>252</c:v>
                </c:pt>
                <c:pt idx="11">
                  <c:v>119</c:v>
                </c:pt>
                <c:pt idx="12">
                  <c:v>554</c:v>
                </c:pt>
                <c:pt idx="13">
                  <c:v>96</c:v>
                </c:pt>
                <c:pt idx="14">
                  <c:v>180</c:v>
                </c:pt>
                <c:pt idx="15">
                  <c:v>54</c:v>
                </c:pt>
                <c:pt idx="16">
                  <c:v>114</c:v>
                </c:pt>
                <c:pt idx="17">
                  <c:v>105</c:v>
                </c:pt>
                <c:pt idx="18">
                  <c:v>58</c:v>
                </c:pt>
                <c:pt idx="19">
                  <c:v>106</c:v>
                </c:pt>
                <c:pt idx="20">
                  <c:v>136</c:v>
                </c:pt>
                <c:pt idx="21">
                  <c:v>108</c:v>
                </c:pt>
                <c:pt idx="22">
                  <c:v>133</c:v>
                </c:pt>
                <c:pt idx="23">
                  <c:v>37</c:v>
                </c:pt>
                <c:pt idx="24">
                  <c:v>103</c:v>
                </c:pt>
                <c:pt idx="25">
                  <c:v>50</c:v>
                </c:pt>
                <c:pt idx="26">
                  <c:v>85</c:v>
                </c:pt>
                <c:pt idx="27">
                  <c:v>54</c:v>
                </c:pt>
                <c:pt idx="28">
                  <c:v>156</c:v>
                </c:pt>
                <c:pt idx="29">
                  <c:v>140</c:v>
                </c:pt>
                <c:pt idx="30">
                  <c:v>28</c:v>
                </c:pt>
                <c:pt idx="31">
                  <c:v>124</c:v>
                </c:pt>
                <c:pt idx="32">
                  <c:v>128</c:v>
                </c:pt>
                <c:pt idx="33">
                  <c:v>33</c:v>
                </c:pt>
                <c:pt idx="34">
                  <c:v>49</c:v>
                </c:pt>
                <c:pt idx="35">
                  <c:v>33</c:v>
                </c:pt>
              </c:numCache>
            </c:numRef>
          </c:val>
        </c:ser>
        <c:ser>
          <c:idx val="1"/>
          <c:order val="2"/>
          <c:tx>
            <c:v>Alaska Troll</c:v>
          </c:tx>
          <c:spPr>
            <a:solidFill>
              <a:srgbClr val="FFFFFF"/>
            </a:solidFill>
            <a:ln w="12700">
              <a:solidFill>
                <a:srgbClr val="000000"/>
              </a:solidFill>
              <a:prstDash val="solid"/>
            </a:ln>
          </c:spPr>
          <c:invertIfNegative val="0"/>
          <c:cat>
            <c:numRef>
              <c:f>'Catch_Escapement Data'!$A$7:$A$42</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Data'!$B$7:$B$42</c:f>
              <c:numCache>
                <c:formatCode>#,##0</c:formatCode>
                <c:ptCount val="36"/>
                <c:pt idx="0">
                  <c:v>149</c:v>
                </c:pt>
                <c:pt idx="1">
                  <c:v>385</c:v>
                </c:pt>
                <c:pt idx="2">
                  <c:v>372</c:v>
                </c:pt>
                <c:pt idx="3">
                  <c:v>594</c:v>
                </c:pt>
                <c:pt idx="4">
                  <c:v>421</c:v>
                </c:pt>
                <c:pt idx="5">
                  <c:v>438</c:v>
                </c:pt>
                <c:pt idx="6">
                  <c:v>306</c:v>
                </c:pt>
                <c:pt idx="7">
                  <c:v>533</c:v>
                </c:pt>
                <c:pt idx="8">
                  <c:v>635</c:v>
                </c:pt>
                <c:pt idx="9">
                  <c:v>200</c:v>
                </c:pt>
                <c:pt idx="10">
                  <c:v>603</c:v>
                </c:pt>
                <c:pt idx="11">
                  <c:v>611</c:v>
                </c:pt>
                <c:pt idx="12">
                  <c:v>1064</c:v>
                </c:pt>
                <c:pt idx="13">
                  <c:v>264</c:v>
                </c:pt>
                <c:pt idx="14">
                  <c:v>446</c:v>
                </c:pt>
                <c:pt idx="15">
                  <c:v>94</c:v>
                </c:pt>
                <c:pt idx="16">
                  <c:v>437</c:v>
                </c:pt>
                <c:pt idx="17">
                  <c:v>485</c:v>
                </c:pt>
                <c:pt idx="18">
                  <c:v>228</c:v>
                </c:pt>
                <c:pt idx="19">
                  <c:v>435</c:v>
                </c:pt>
                <c:pt idx="20">
                  <c:v>288</c:v>
                </c:pt>
                <c:pt idx="21">
                  <c:v>211</c:v>
                </c:pt>
                <c:pt idx="22">
                  <c:v>199</c:v>
                </c:pt>
                <c:pt idx="23">
                  <c:v>240</c:v>
                </c:pt>
                <c:pt idx="24">
                  <c:v>196</c:v>
                </c:pt>
                <c:pt idx="25">
                  <c:v>134</c:v>
                </c:pt>
                <c:pt idx="26">
                  <c:v>292</c:v>
                </c:pt>
                <c:pt idx="27">
                  <c:v>179</c:v>
                </c:pt>
                <c:pt idx="28">
                  <c:v>194</c:v>
                </c:pt>
                <c:pt idx="29">
                  <c:v>137</c:v>
                </c:pt>
                <c:pt idx="30">
                  <c:v>212</c:v>
                </c:pt>
                <c:pt idx="31">
                  <c:v>406</c:v>
                </c:pt>
                <c:pt idx="32">
                  <c:v>265</c:v>
                </c:pt>
                <c:pt idx="33">
                  <c:v>140</c:v>
                </c:pt>
                <c:pt idx="34">
                  <c:v>20</c:v>
                </c:pt>
                <c:pt idx="35">
                  <c:v>163</c:v>
                </c:pt>
              </c:numCache>
            </c:numRef>
          </c:val>
        </c:ser>
        <c:dLbls>
          <c:showLegendKey val="0"/>
          <c:showVal val="0"/>
          <c:showCatName val="0"/>
          <c:showSerName val="0"/>
          <c:showPercent val="0"/>
          <c:showBubbleSize val="0"/>
        </c:dLbls>
        <c:gapWidth val="80"/>
        <c:overlap val="100"/>
        <c:axId val="216783488"/>
        <c:axId val="216793472"/>
      </c:barChart>
      <c:lineChart>
        <c:grouping val="standard"/>
        <c:varyColors val="0"/>
        <c:ser>
          <c:idx val="3"/>
          <c:order val="3"/>
          <c:tx>
            <c:v>Goal</c:v>
          </c:tx>
          <c:spPr>
            <a:ln w="25400">
              <a:solidFill>
                <a:srgbClr val="000000"/>
              </a:solidFill>
              <a:prstDash val="solid"/>
            </a:ln>
          </c:spPr>
          <c:marker>
            <c:symbol val="none"/>
          </c:marker>
          <c:cat>
            <c:numRef>
              <c:f>AukeCr!$A$8:$A$42</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'Catch_Escapement Data'!$F$7:$F$42</c:f>
              <c:numCache>
                <c:formatCode>#,##0</c:formatCode>
                <c:ptCount val="36"/>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numCache>
            </c:numRef>
          </c:val>
          <c:smooth val="0"/>
        </c:ser>
        <c:ser>
          <c:idx val="4"/>
          <c:order val="4"/>
          <c:tx>
            <c:v>Goal Bounds</c:v>
          </c:tx>
          <c:spPr>
            <a:ln w="25400">
              <a:solidFill>
                <a:srgbClr val="000000"/>
              </a:solidFill>
              <a:prstDash val="solid"/>
            </a:ln>
          </c:spPr>
          <c:marker>
            <c:symbol val="none"/>
          </c:marker>
          <c:cat>
            <c:numRef>
              <c:f>AukeCr!$A$8:$A$42</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'Catch_Escapement Data'!$E$7:$E$42</c:f>
              <c:numCache>
                <c:formatCode>#,##0</c:formatCode>
                <c:ptCount val="36"/>
                <c:pt idx="0">
                  <c:v>200</c:v>
                </c:pt>
                <c:pt idx="1">
                  <c:v>200</c:v>
                </c:pt>
                <c:pt idx="2">
                  <c:v>200</c:v>
                </c:pt>
                <c:pt idx="3">
                  <c:v>200</c:v>
                </c:pt>
                <c:pt idx="4">
                  <c:v>200</c:v>
                </c:pt>
                <c:pt idx="5">
                  <c:v>200</c:v>
                </c:pt>
                <c:pt idx="6">
                  <c:v>200</c:v>
                </c:pt>
                <c:pt idx="7">
                  <c:v>200</c:v>
                </c:pt>
                <c:pt idx="8">
                  <c:v>200</c:v>
                </c:pt>
                <c:pt idx="9">
                  <c:v>200</c:v>
                </c:pt>
                <c:pt idx="10">
                  <c:v>200</c:v>
                </c:pt>
                <c:pt idx="11">
                  <c:v>200</c:v>
                </c:pt>
                <c:pt idx="12">
                  <c:v>200</c:v>
                </c:pt>
                <c:pt idx="13">
                  <c:v>200</c:v>
                </c:pt>
                <c:pt idx="14">
                  <c:v>200</c:v>
                </c:pt>
                <c:pt idx="15">
                  <c:v>200</c:v>
                </c:pt>
                <c:pt idx="16">
                  <c:v>200</c:v>
                </c:pt>
                <c:pt idx="17">
                  <c:v>200</c:v>
                </c:pt>
                <c:pt idx="18">
                  <c:v>200</c:v>
                </c:pt>
                <c:pt idx="19">
                  <c:v>200</c:v>
                </c:pt>
                <c:pt idx="20">
                  <c:v>200</c:v>
                </c:pt>
                <c:pt idx="21">
                  <c:v>200</c:v>
                </c:pt>
                <c:pt idx="22">
                  <c:v>200</c:v>
                </c:pt>
                <c:pt idx="23">
                  <c:v>200</c:v>
                </c:pt>
                <c:pt idx="24">
                  <c:v>200</c:v>
                </c:pt>
                <c:pt idx="25">
                  <c:v>200</c:v>
                </c:pt>
                <c:pt idx="26">
                  <c:v>200</c:v>
                </c:pt>
                <c:pt idx="27">
                  <c:v>200</c:v>
                </c:pt>
                <c:pt idx="28">
                  <c:v>200</c:v>
                </c:pt>
                <c:pt idx="29">
                  <c:v>200</c:v>
                </c:pt>
                <c:pt idx="30">
                  <c:v>200</c:v>
                </c:pt>
                <c:pt idx="31">
                  <c:v>200</c:v>
                </c:pt>
                <c:pt idx="32">
                  <c:v>200</c:v>
                </c:pt>
                <c:pt idx="33">
                  <c:v>200</c:v>
                </c:pt>
                <c:pt idx="34">
                  <c:v>200</c:v>
                </c:pt>
                <c:pt idx="35">
                  <c:v>200</c:v>
                </c:pt>
              </c:numCache>
            </c:numRef>
          </c:val>
          <c:smooth val="0"/>
        </c:ser>
        <c:dLbls>
          <c:showLegendKey val="0"/>
          <c:showVal val="0"/>
          <c:showCatName val="0"/>
          <c:showSerName val="0"/>
          <c:showPercent val="0"/>
          <c:showBubbleSize val="0"/>
        </c:dLbls>
        <c:marker val="1"/>
        <c:smooth val="0"/>
        <c:axId val="216783488"/>
        <c:axId val="216793472"/>
      </c:lineChart>
      <c:catAx>
        <c:axId val="216783488"/>
        <c:scaling>
          <c:orientation val="minMax"/>
        </c:scaling>
        <c:delete val="0"/>
        <c:axPos val="b"/>
        <c:numFmt formatCode="0" sourceLinked="0"/>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16793472"/>
        <c:crosses val="autoZero"/>
        <c:auto val="0"/>
        <c:lblAlgn val="ctr"/>
        <c:lblOffset val="100"/>
        <c:tickLblSkip val="2"/>
        <c:tickMarkSkip val="1"/>
        <c:noMultiLvlLbl val="0"/>
      </c:catAx>
      <c:valAx>
        <c:axId val="216793472"/>
        <c:scaling>
          <c:orientation val="minMax"/>
          <c:max val="3100"/>
          <c:min val="0"/>
        </c:scaling>
        <c:delete val="0"/>
        <c:axPos val="l"/>
        <c:title>
          <c:tx>
            <c:rich>
              <a:bodyPr/>
              <a:lstStyle/>
              <a:p>
                <a:pPr>
                  <a:defRPr sz="1000" b="1" i="0" u="none" strike="noStrike" baseline="0">
                    <a:solidFill>
                      <a:srgbClr val="000000"/>
                    </a:solidFill>
                    <a:latin typeface="Arial"/>
                    <a:ea typeface="Arial"/>
                    <a:cs typeface="Arial"/>
                  </a:defRPr>
                </a:pPr>
                <a:r>
                  <a:rPr lang="en-US"/>
                  <a:t>Number of Coho Salmon</a:t>
                </a:r>
              </a:p>
            </c:rich>
          </c:tx>
          <c:layout>
            <c:manualLayout>
              <c:xMode val="edge"/>
              <c:yMode val="edge"/>
              <c:x val="1.6472579085509049E-2"/>
              <c:y val="0.2269715045949834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16783488"/>
        <c:crosses val="autoZero"/>
        <c:crossBetween val="between"/>
      </c:valAx>
      <c:spPr>
        <a:noFill/>
        <a:ln w="25400">
          <a:noFill/>
        </a:ln>
      </c:spPr>
    </c:plotArea>
    <c:legend>
      <c:legendPos val="r"/>
      <c:legendEntry>
        <c:idx val="3"/>
        <c:delete val="1"/>
      </c:legendEntry>
      <c:layout>
        <c:manualLayout>
          <c:xMode val="edge"/>
          <c:yMode val="edge"/>
          <c:x val="0.54590274899848046"/>
          <c:y val="0.10289928634953689"/>
          <c:w val="0.36633754662246165"/>
          <c:h val="0.26708661417322838"/>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Berners River</a:t>
            </a:r>
          </a:p>
        </c:rich>
      </c:tx>
      <c:layout>
        <c:manualLayout>
          <c:xMode val="edge"/>
          <c:yMode val="edge"/>
          <c:x val="0.4593645359547448"/>
          <c:y val="9.8661417322834649E-3"/>
        </c:manualLayout>
      </c:layout>
      <c:overlay val="0"/>
      <c:spPr>
        <a:noFill/>
        <a:ln w="25400">
          <a:noFill/>
        </a:ln>
      </c:spPr>
    </c:title>
    <c:autoTitleDeleted val="0"/>
    <c:plotArea>
      <c:layout>
        <c:manualLayout>
          <c:layoutTarget val="inner"/>
          <c:xMode val="edge"/>
          <c:yMode val="edge"/>
          <c:x val="0.26002356010614763"/>
          <c:y val="6.3118874846526549E-2"/>
          <c:w val="0.72140060364213288"/>
          <c:h val="0.79939742826264359"/>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multiLvlStrRef>
              <c:f>'Catch_Escapement Data'!#REF!</c:f>
            </c:multiLvlStrRef>
          </c:cat>
          <c:val>
            <c:numRef>
              <c:f>'Catch_Escapement Data'!$D$54:$D$89</c:f>
              <c:numCache>
                <c:formatCode>#,##0</c:formatCode>
                <c:ptCount val="36"/>
                <c:pt idx="0">
                  <c:v>7505</c:v>
                </c:pt>
                <c:pt idx="1">
                  <c:v>9840</c:v>
                </c:pt>
                <c:pt idx="2">
                  <c:v>2825</c:v>
                </c:pt>
                <c:pt idx="3">
                  <c:v>6169</c:v>
                </c:pt>
                <c:pt idx="4">
                  <c:v>1752</c:v>
                </c:pt>
                <c:pt idx="5">
                  <c:v>3260</c:v>
                </c:pt>
                <c:pt idx="6">
                  <c:v>2724</c:v>
                </c:pt>
                <c:pt idx="7">
                  <c:v>7509</c:v>
                </c:pt>
                <c:pt idx="8">
                  <c:v>11050</c:v>
                </c:pt>
                <c:pt idx="9">
                  <c:v>11530</c:v>
                </c:pt>
                <c:pt idx="10">
                  <c:v>15300</c:v>
                </c:pt>
                <c:pt idx="11">
                  <c:v>15670</c:v>
                </c:pt>
                <c:pt idx="12">
                  <c:v>15920</c:v>
                </c:pt>
                <c:pt idx="13">
                  <c:v>4945</c:v>
                </c:pt>
                <c:pt idx="14">
                  <c:v>6050</c:v>
                </c:pt>
                <c:pt idx="15">
                  <c:v>10050</c:v>
                </c:pt>
                <c:pt idx="16">
                  <c:v>6802</c:v>
                </c:pt>
                <c:pt idx="17">
                  <c:v>9920</c:v>
                </c:pt>
                <c:pt idx="18">
                  <c:v>10650</c:v>
                </c:pt>
                <c:pt idx="19">
                  <c:v>19290</c:v>
                </c:pt>
                <c:pt idx="20">
                  <c:v>27700</c:v>
                </c:pt>
                <c:pt idx="21">
                  <c:v>10110</c:v>
                </c:pt>
                <c:pt idx="22">
                  <c:v>14450</c:v>
                </c:pt>
                <c:pt idx="23">
                  <c:v>5220</c:v>
                </c:pt>
                <c:pt idx="24">
                  <c:v>5470</c:v>
                </c:pt>
                <c:pt idx="25">
                  <c:v>3915</c:v>
                </c:pt>
                <c:pt idx="26">
                  <c:v>6870</c:v>
                </c:pt>
                <c:pt idx="27">
                  <c:v>4230</c:v>
                </c:pt>
                <c:pt idx="28">
                  <c:v>7520</c:v>
                </c:pt>
                <c:pt idx="29">
                  <c:v>6050</c:v>
                </c:pt>
                <c:pt idx="30">
                  <c:v>5480</c:v>
                </c:pt>
                <c:pt idx="31">
                  <c:v>6280</c:v>
                </c:pt>
                <c:pt idx="32">
                  <c:v>15480</c:v>
                </c:pt>
                <c:pt idx="33">
                  <c:v>9940</c:v>
                </c:pt>
                <c:pt idx="34">
                  <c:v>6733</c:v>
                </c:pt>
                <c:pt idx="35">
                  <c:v>7040</c:v>
                </c:pt>
              </c:numCache>
            </c:numRef>
          </c:val>
        </c:ser>
        <c:ser>
          <c:idx val="0"/>
          <c:order val="1"/>
          <c:tx>
            <c:strRef>
              <c:f>#REF!</c:f>
            </c:strRef>
          </c:tx>
          <c:spPr>
            <a:solidFill>
              <a:srgbClr val="C0C0C0"/>
            </a:solidFill>
            <a:ln w="12700">
              <a:solidFill>
                <a:srgbClr val="000000"/>
              </a:solidFill>
              <a:prstDash val="solid"/>
            </a:ln>
          </c:spPr>
          <c:invertIfNegative val="0"/>
          <c:cat>
            <c:multiLvlStrRef>
              <c:f>'Catch_Escapement Data'!#REF!</c:f>
            </c:multiLvlStrRef>
          </c:cat>
          <c:val>
            <c:numRef>
              <c:f>'Catch_Escapement Data'!$C$54:$C$89</c:f>
              <c:numCache>
                <c:formatCode>#,##0</c:formatCode>
                <c:ptCount val="36"/>
                <c:pt idx="0">
                  <c:v>10964.724093749999</c:v>
                </c:pt>
                <c:pt idx="1">
                  <c:v>7398.0341876190532</c:v>
                </c:pt>
                <c:pt idx="3">
                  <c:v>7305.9263485714255</c:v>
                </c:pt>
                <c:pt idx="4">
                  <c:v>9370.0138746666598</c:v>
                </c:pt>
                <c:pt idx="5">
                  <c:v>3483.3823206451616</c:v>
                </c:pt>
                <c:pt idx="6">
                  <c:v>6363.9396100000022</c:v>
                </c:pt>
                <c:pt idx="7">
                  <c:v>1664.5295875675677</c:v>
                </c:pt>
                <c:pt idx="8">
                  <c:v>7903.7236924422314</c:v>
                </c:pt>
                <c:pt idx="9">
                  <c:v>17008.220035610553</c:v>
                </c:pt>
                <c:pt idx="10">
                  <c:v>15376.580432960342</c:v>
                </c:pt>
                <c:pt idx="11">
                  <c:v>14627.286861220649</c:v>
                </c:pt>
                <c:pt idx="12">
                  <c:v>30109.870411608859</c:v>
                </c:pt>
                <c:pt idx="13">
                  <c:v>15104.459928559276</c:v>
                </c:pt>
                <c:pt idx="14">
                  <c:v>7074.9686336538462</c:v>
                </c:pt>
                <c:pt idx="15">
                  <c:v>2781.3509854027516</c:v>
                </c:pt>
                <c:pt idx="16">
                  <c:v>5910.6912592145454</c:v>
                </c:pt>
                <c:pt idx="17">
                  <c:v>10348.749160845062</c:v>
                </c:pt>
                <c:pt idx="18">
                  <c:v>6004.0087996874972</c:v>
                </c:pt>
                <c:pt idx="19">
                  <c:v>4048.4054414634797</c:v>
                </c:pt>
                <c:pt idx="20">
                  <c:v>13468.621889380582</c:v>
                </c:pt>
                <c:pt idx="21">
                  <c:v>12178.241481890531</c:v>
                </c:pt>
                <c:pt idx="22">
                  <c:v>7932.1244014004769</c:v>
                </c:pt>
                <c:pt idx="23">
                  <c:v>2899.1893495575223</c:v>
                </c:pt>
                <c:pt idx="24">
                  <c:v>6270.6875726886228</c:v>
                </c:pt>
                <c:pt idx="25">
                  <c:v>1869.0850097283762</c:v>
                </c:pt>
                <c:pt idx="26">
                  <c:v>3618.5646731159577</c:v>
                </c:pt>
                <c:pt idx="27">
                  <c:v>2280.7571149367091</c:v>
                </c:pt>
                <c:pt idx="28">
                  <c:v>7845.4991998376936</c:v>
                </c:pt>
                <c:pt idx="29">
                  <c:v>2257.4466386363638</c:v>
                </c:pt>
                <c:pt idx="30">
                  <c:v>979.64220288319086</c:v>
                </c:pt>
                <c:pt idx="31">
                  <c:v>7266.9495325000007</c:v>
                </c:pt>
                <c:pt idx="32">
                  <c:v>6867.170445164742</c:v>
                </c:pt>
                <c:pt idx="33">
                  <c:v>2166</c:v>
                </c:pt>
                <c:pt idx="34">
                  <c:v>2295.8126686792439</c:v>
                </c:pt>
                <c:pt idx="35">
                  <c:v>2803</c:v>
                </c:pt>
              </c:numCache>
            </c:numRef>
          </c:val>
        </c:ser>
        <c:ser>
          <c:idx val="1"/>
          <c:order val="2"/>
          <c:tx>
            <c:strRef>
              <c:f>#REF!</c:f>
            </c:strRef>
          </c:tx>
          <c:spPr>
            <a:solidFill>
              <a:srgbClr val="FFFFFF"/>
            </a:solidFill>
            <a:ln w="12700">
              <a:solidFill>
                <a:srgbClr val="000000"/>
              </a:solidFill>
              <a:prstDash val="solid"/>
            </a:ln>
          </c:spPr>
          <c:invertIfNegative val="0"/>
          <c:cat>
            <c:numRef>
              <c:f>'Catch_Escapement Data'!$A$54:$A$89</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Data'!$B$54:$B$89</c:f>
              <c:numCache>
                <c:formatCode>#,##0</c:formatCode>
                <c:ptCount val="36"/>
                <c:pt idx="0">
                  <c:v>14139.742350000006</c:v>
                </c:pt>
                <c:pt idx="1">
                  <c:v>17176.461926666681</c:v>
                </c:pt>
                <c:pt idx="3">
                  <c:v>10861.480585714284</c:v>
                </c:pt>
                <c:pt idx="4">
                  <c:v>13565.22991599998</c:v>
                </c:pt>
                <c:pt idx="5">
                  <c:v>7210.7570332258092</c:v>
                </c:pt>
                <c:pt idx="6">
                  <c:v>6060.4003293750011</c:v>
                </c:pt>
                <c:pt idx="7">
                  <c:v>10582.789888648653</c:v>
                </c:pt>
                <c:pt idx="8">
                  <c:v>15006.906562552591</c:v>
                </c:pt>
                <c:pt idx="9">
                  <c:v>6448.5848185505256</c:v>
                </c:pt>
                <c:pt idx="10">
                  <c:v>15318.194687812569</c:v>
                </c:pt>
                <c:pt idx="11">
                  <c:v>19308.334788727647</c:v>
                </c:pt>
                <c:pt idx="12">
                  <c:v>27339.017989400378</c:v>
                </c:pt>
                <c:pt idx="13">
                  <c:v>8765.6907583897864</c:v>
                </c:pt>
                <c:pt idx="14">
                  <c:v>10528.730040144168</c:v>
                </c:pt>
                <c:pt idx="15">
                  <c:v>2452.8423084848455</c:v>
                </c:pt>
                <c:pt idx="16">
                  <c:v>10424.447558787861</c:v>
                </c:pt>
                <c:pt idx="17">
                  <c:v>12876.411924788617</c:v>
                </c:pt>
                <c:pt idx="18">
                  <c:v>4810.7035637946483</c:v>
                </c:pt>
                <c:pt idx="19">
                  <c:v>8814.3456853610987</c:v>
                </c:pt>
                <c:pt idx="20">
                  <c:v>8649.799148571401</c:v>
                </c:pt>
                <c:pt idx="21">
                  <c:v>6822.780148593728</c:v>
                </c:pt>
                <c:pt idx="22">
                  <c:v>10791.879529411573</c:v>
                </c:pt>
                <c:pt idx="23">
                  <c:v>4638.6855929203448</c:v>
                </c:pt>
                <c:pt idx="24">
                  <c:v>4081.5165299999962</c:v>
                </c:pt>
                <c:pt idx="25">
                  <c:v>2937.46540720339</c:v>
                </c:pt>
                <c:pt idx="26">
                  <c:v>3878.1945390909154</c:v>
                </c:pt>
                <c:pt idx="27">
                  <c:v>2806.6890000000003</c:v>
                </c:pt>
                <c:pt idx="28">
                  <c:v>6451.0321920064944</c:v>
                </c:pt>
                <c:pt idx="29">
                  <c:v>3721.6134204545397</c:v>
                </c:pt>
                <c:pt idx="30">
                  <c:v>2070.8644198484849</c:v>
                </c:pt>
                <c:pt idx="31">
                  <c:v>7520.6314891346174</c:v>
                </c:pt>
                <c:pt idx="32">
                  <c:v>4301.1241040387176</c:v>
                </c:pt>
                <c:pt idx="33">
                  <c:v>3543</c:v>
                </c:pt>
                <c:pt idx="34">
                  <c:v>919.40433610062894</c:v>
                </c:pt>
                <c:pt idx="35">
                  <c:v>4455</c:v>
                </c:pt>
              </c:numCache>
            </c:numRef>
          </c:val>
        </c:ser>
        <c:dLbls>
          <c:showLegendKey val="0"/>
          <c:showVal val="0"/>
          <c:showCatName val="0"/>
          <c:showSerName val="0"/>
          <c:showPercent val="0"/>
          <c:showBubbleSize val="0"/>
        </c:dLbls>
        <c:gapWidth val="80"/>
        <c:overlap val="100"/>
        <c:axId val="216838912"/>
        <c:axId val="216840448"/>
      </c:barChart>
      <c:lineChart>
        <c:grouping val="standard"/>
        <c:varyColors val="0"/>
        <c:ser>
          <c:idx val="3"/>
          <c:order val="3"/>
          <c:spPr>
            <a:ln w="25400">
              <a:solidFill>
                <a:srgbClr val="000000"/>
              </a:solidFill>
              <a:prstDash val="solid"/>
            </a:ln>
          </c:spPr>
          <c:marker>
            <c:symbol val="none"/>
          </c:marker>
          <c:cat>
            <c:multiLvlStrRef>
              <c:f>'Catch_Escapement Data'!#REF!</c:f>
            </c:multiLvlStrRef>
          </c:cat>
          <c:val>
            <c:numRef>
              <c:f>'Catch_Escapement Data'!$F$54:$F$89</c:f>
              <c:numCache>
                <c:formatCode>#,##0</c:formatCode>
                <c:ptCount val="36"/>
                <c:pt idx="0">
                  <c:v>8100</c:v>
                </c:pt>
                <c:pt idx="1">
                  <c:v>8100</c:v>
                </c:pt>
                <c:pt idx="2">
                  <c:v>8100</c:v>
                </c:pt>
                <c:pt idx="3">
                  <c:v>8100</c:v>
                </c:pt>
                <c:pt idx="4">
                  <c:v>8100</c:v>
                </c:pt>
                <c:pt idx="5">
                  <c:v>8100</c:v>
                </c:pt>
                <c:pt idx="6">
                  <c:v>8100</c:v>
                </c:pt>
                <c:pt idx="7">
                  <c:v>8100</c:v>
                </c:pt>
                <c:pt idx="8">
                  <c:v>8100</c:v>
                </c:pt>
                <c:pt idx="9">
                  <c:v>8100</c:v>
                </c:pt>
                <c:pt idx="10">
                  <c:v>8100</c:v>
                </c:pt>
                <c:pt idx="11">
                  <c:v>8100</c:v>
                </c:pt>
                <c:pt idx="12">
                  <c:v>8100</c:v>
                </c:pt>
                <c:pt idx="13">
                  <c:v>8100</c:v>
                </c:pt>
                <c:pt idx="14">
                  <c:v>8100</c:v>
                </c:pt>
                <c:pt idx="15">
                  <c:v>8100</c:v>
                </c:pt>
                <c:pt idx="16">
                  <c:v>8100</c:v>
                </c:pt>
                <c:pt idx="17">
                  <c:v>8100</c:v>
                </c:pt>
                <c:pt idx="18">
                  <c:v>8100</c:v>
                </c:pt>
                <c:pt idx="19">
                  <c:v>8100</c:v>
                </c:pt>
                <c:pt idx="20">
                  <c:v>8100</c:v>
                </c:pt>
                <c:pt idx="21">
                  <c:v>8100</c:v>
                </c:pt>
                <c:pt idx="22">
                  <c:v>8100</c:v>
                </c:pt>
                <c:pt idx="23">
                  <c:v>8100</c:v>
                </c:pt>
                <c:pt idx="24">
                  <c:v>8100</c:v>
                </c:pt>
                <c:pt idx="25">
                  <c:v>8100</c:v>
                </c:pt>
                <c:pt idx="26">
                  <c:v>8100</c:v>
                </c:pt>
                <c:pt idx="27">
                  <c:v>8100</c:v>
                </c:pt>
                <c:pt idx="28">
                  <c:v>8100</c:v>
                </c:pt>
                <c:pt idx="29">
                  <c:v>8100</c:v>
                </c:pt>
                <c:pt idx="30">
                  <c:v>8100</c:v>
                </c:pt>
                <c:pt idx="31">
                  <c:v>8100</c:v>
                </c:pt>
                <c:pt idx="32">
                  <c:v>8100</c:v>
                </c:pt>
                <c:pt idx="33">
                  <c:v>8100</c:v>
                </c:pt>
                <c:pt idx="34">
                  <c:v>8100</c:v>
                </c:pt>
                <c:pt idx="35">
                  <c:v>8100</c:v>
                </c:pt>
              </c:numCache>
            </c:numRef>
          </c:val>
          <c:smooth val="0"/>
        </c:ser>
        <c:ser>
          <c:idx val="4"/>
          <c:order val="4"/>
          <c:spPr>
            <a:ln w="25400">
              <a:solidFill>
                <a:srgbClr val="000000"/>
              </a:solidFill>
              <a:prstDash val="solid"/>
            </a:ln>
          </c:spPr>
          <c:marker>
            <c:symbol val="none"/>
          </c:marker>
          <c:cat>
            <c:multiLvlStrRef>
              <c:f>'Catch_Escapement Data'!#REF!</c:f>
            </c:multiLvlStrRef>
          </c:cat>
          <c:val>
            <c:numRef>
              <c:f>'Catch_Escapement Data'!$E$54:$E$89</c:f>
              <c:numCache>
                <c:formatCode>#,##0</c:formatCode>
                <c:ptCount val="36"/>
                <c:pt idx="0">
                  <c:v>3600</c:v>
                </c:pt>
                <c:pt idx="1">
                  <c:v>3600</c:v>
                </c:pt>
                <c:pt idx="2">
                  <c:v>3600</c:v>
                </c:pt>
                <c:pt idx="3">
                  <c:v>3600</c:v>
                </c:pt>
                <c:pt idx="4">
                  <c:v>3600</c:v>
                </c:pt>
                <c:pt idx="5">
                  <c:v>3600</c:v>
                </c:pt>
                <c:pt idx="6">
                  <c:v>3600</c:v>
                </c:pt>
                <c:pt idx="7">
                  <c:v>3600</c:v>
                </c:pt>
                <c:pt idx="8">
                  <c:v>3600</c:v>
                </c:pt>
                <c:pt idx="9">
                  <c:v>3600</c:v>
                </c:pt>
                <c:pt idx="10">
                  <c:v>3600</c:v>
                </c:pt>
                <c:pt idx="11">
                  <c:v>3600</c:v>
                </c:pt>
                <c:pt idx="12">
                  <c:v>3600</c:v>
                </c:pt>
                <c:pt idx="13">
                  <c:v>3600</c:v>
                </c:pt>
                <c:pt idx="14">
                  <c:v>3600</c:v>
                </c:pt>
                <c:pt idx="15">
                  <c:v>3600</c:v>
                </c:pt>
                <c:pt idx="16">
                  <c:v>3600</c:v>
                </c:pt>
                <c:pt idx="17">
                  <c:v>3600</c:v>
                </c:pt>
                <c:pt idx="18">
                  <c:v>3600</c:v>
                </c:pt>
                <c:pt idx="19">
                  <c:v>3600</c:v>
                </c:pt>
                <c:pt idx="20">
                  <c:v>3600</c:v>
                </c:pt>
                <c:pt idx="21">
                  <c:v>3600</c:v>
                </c:pt>
                <c:pt idx="22">
                  <c:v>3600</c:v>
                </c:pt>
                <c:pt idx="23">
                  <c:v>3600</c:v>
                </c:pt>
                <c:pt idx="24">
                  <c:v>3600</c:v>
                </c:pt>
                <c:pt idx="25">
                  <c:v>3600</c:v>
                </c:pt>
                <c:pt idx="26">
                  <c:v>3600</c:v>
                </c:pt>
                <c:pt idx="27">
                  <c:v>3600</c:v>
                </c:pt>
                <c:pt idx="28">
                  <c:v>3600</c:v>
                </c:pt>
                <c:pt idx="29">
                  <c:v>3600</c:v>
                </c:pt>
                <c:pt idx="30">
                  <c:v>3600</c:v>
                </c:pt>
                <c:pt idx="31">
                  <c:v>3600</c:v>
                </c:pt>
                <c:pt idx="32">
                  <c:v>3600</c:v>
                </c:pt>
                <c:pt idx="33">
                  <c:v>3600</c:v>
                </c:pt>
                <c:pt idx="34">
                  <c:v>3600</c:v>
                </c:pt>
                <c:pt idx="35">
                  <c:v>3600</c:v>
                </c:pt>
              </c:numCache>
            </c:numRef>
          </c:val>
          <c:smooth val="0"/>
        </c:ser>
        <c:dLbls>
          <c:showLegendKey val="0"/>
          <c:showVal val="0"/>
          <c:showCatName val="0"/>
          <c:showSerName val="0"/>
          <c:showPercent val="0"/>
          <c:showBubbleSize val="0"/>
        </c:dLbls>
        <c:marker val="1"/>
        <c:smooth val="0"/>
        <c:axId val="216838912"/>
        <c:axId val="216840448"/>
      </c:lineChart>
      <c:catAx>
        <c:axId val="21683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16840448"/>
        <c:crosses val="autoZero"/>
        <c:auto val="0"/>
        <c:lblAlgn val="ctr"/>
        <c:lblOffset val="100"/>
        <c:tickLblSkip val="2"/>
        <c:tickMarkSkip val="1"/>
        <c:noMultiLvlLbl val="0"/>
      </c:catAx>
      <c:valAx>
        <c:axId val="216840448"/>
        <c:scaling>
          <c:orientation val="minMax"/>
          <c:max val="75000"/>
          <c:min val="0"/>
        </c:scaling>
        <c:delete val="0"/>
        <c:axPos val="l"/>
        <c:title>
          <c:tx>
            <c:rich>
              <a:bodyPr/>
              <a:lstStyle/>
              <a:p>
                <a:pPr>
                  <a:defRPr sz="1000" b="1" i="0" u="none" strike="noStrike" baseline="0">
                    <a:solidFill>
                      <a:srgbClr val="000000"/>
                    </a:solidFill>
                    <a:latin typeface="Arial"/>
                    <a:ea typeface="Arial"/>
                    <a:cs typeface="Arial"/>
                  </a:defRPr>
                </a:pPr>
                <a:r>
                  <a:rPr lang="en-US"/>
                  <a:t>Number of Coho Salmon</a:t>
                </a:r>
              </a:p>
            </c:rich>
          </c:tx>
          <c:layout>
            <c:manualLayout>
              <c:xMode val="edge"/>
              <c:yMode val="edge"/>
              <c:x val="4.0247795112567451E-2"/>
              <c:y val="0.2163277923592884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1683891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userShapes r:id="rId1"/>
</c:chartSpace>
</file>

<file path=xl/charts/chart9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Hugh Smith Lake</a:t>
            </a:r>
          </a:p>
        </c:rich>
      </c:tx>
      <c:layout>
        <c:manualLayout>
          <c:xMode val="edge"/>
          <c:yMode val="edge"/>
          <c:x val="0.40729546421376228"/>
          <c:y val="2.254981763643181E-2"/>
        </c:manualLayout>
      </c:layout>
      <c:overlay val="0"/>
      <c:spPr>
        <a:noFill/>
        <a:ln w="25400">
          <a:noFill/>
        </a:ln>
      </c:spPr>
    </c:title>
    <c:autoTitleDeleted val="0"/>
    <c:plotArea>
      <c:layout>
        <c:manualLayout>
          <c:layoutTarget val="inner"/>
          <c:xMode val="edge"/>
          <c:yMode val="edge"/>
          <c:x val="0.26851916658565822"/>
          <c:y val="0.10473533995911177"/>
          <c:w val="0.71913797000979585"/>
          <c:h val="0.74801665216012525"/>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Data'!$D$130:$D$165</c:f>
              <c:numCache>
                <c:formatCode>#,##0</c:formatCode>
                <c:ptCount val="36"/>
                <c:pt idx="0">
                  <c:v>2144</c:v>
                </c:pt>
                <c:pt idx="1">
                  <c:v>1487</c:v>
                </c:pt>
                <c:pt idx="2">
                  <c:v>1407</c:v>
                </c:pt>
                <c:pt idx="3">
                  <c:v>903</c:v>
                </c:pt>
                <c:pt idx="4">
                  <c:v>1782</c:v>
                </c:pt>
                <c:pt idx="5">
                  <c:v>1117</c:v>
                </c:pt>
                <c:pt idx="6">
                  <c:v>513</c:v>
                </c:pt>
                <c:pt idx="7">
                  <c:v>433</c:v>
                </c:pt>
                <c:pt idx="8">
                  <c:v>870</c:v>
                </c:pt>
                <c:pt idx="9">
                  <c:v>1836</c:v>
                </c:pt>
                <c:pt idx="10">
                  <c:v>1426</c:v>
                </c:pt>
                <c:pt idx="11">
                  <c:v>832</c:v>
                </c:pt>
                <c:pt idx="12">
                  <c:v>1753</c:v>
                </c:pt>
                <c:pt idx="13">
                  <c:v>1781</c:v>
                </c:pt>
                <c:pt idx="14">
                  <c:v>950</c:v>
                </c:pt>
                <c:pt idx="15">
                  <c:v>732</c:v>
                </c:pt>
                <c:pt idx="16">
                  <c:v>983</c:v>
                </c:pt>
                <c:pt idx="17">
                  <c:v>1246</c:v>
                </c:pt>
                <c:pt idx="18">
                  <c:v>600</c:v>
                </c:pt>
                <c:pt idx="19">
                  <c:v>1580</c:v>
                </c:pt>
                <c:pt idx="20">
                  <c:v>3291</c:v>
                </c:pt>
                <c:pt idx="21">
                  <c:v>1510</c:v>
                </c:pt>
                <c:pt idx="22">
                  <c:v>840</c:v>
                </c:pt>
                <c:pt idx="23">
                  <c:v>1732</c:v>
                </c:pt>
                <c:pt idx="24">
                  <c:v>891</c:v>
                </c:pt>
                <c:pt idx="25">
                  <c:v>1244</c:v>
                </c:pt>
                <c:pt idx="26">
                  <c:v>1741</c:v>
                </c:pt>
                <c:pt idx="27">
                  <c:v>2281</c:v>
                </c:pt>
                <c:pt idx="28">
                  <c:v>2878</c:v>
                </c:pt>
                <c:pt idx="29">
                  <c:v>2137</c:v>
                </c:pt>
                <c:pt idx="30">
                  <c:v>1908</c:v>
                </c:pt>
                <c:pt idx="31">
                  <c:v>3048</c:v>
                </c:pt>
                <c:pt idx="32">
                  <c:v>4110</c:v>
                </c:pt>
                <c:pt idx="33">
                  <c:v>956</c:v>
                </c:pt>
                <c:pt idx="34">
                  <c:v>948</c:v>
                </c:pt>
                <c:pt idx="35">
                  <c:v>1266</c:v>
                </c:pt>
              </c:numCache>
            </c:numRef>
          </c:val>
        </c:ser>
        <c:ser>
          <c:idx val="0"/>
          <c:order val="1"/>
          <c:tx>
            <c:strRef>
              <c:f>#REF!</c:f>
            </c:strRef>
          </c:tx>
          <c:spPr>
            <a:solidFill>
              <a:srgbClr val="C0C0C0"/>
            </a:solidFill>
            <a:ln w="12700">
              <a:solidFill>
                <a:srgbClr val="000000"/>
              </a:solidFill>
              <a:prstDash val="solid"/>
            </a:ln>
          </c:spPr>
          <c:invertIfNegative val="0"/>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Data'!$C$130:$C$165</c:f>
              <c:numCache>
                <c:formatCode>_(* #,##0_);_(* \(#,##0\);_(* "-"??_);_(@_)</c:formatCode>
                <c:ptCount val="36"/>
                <c:pt idx="0">
                  <c:v>1230.5753876470587</c:v>
                </c:pt>
                <c:pt idx="1">
                  <c:v>1014.0181963656697</c:v>
                </c:pt>
                <c:pt idx="2">
                  <c:v>1350.6595404477289</c:v>
                </c:pt>
                <c:pt idx="3">
                  <c:v>669.11447398568021</c:v>
                </c:pt>
                <c:pt idx="4">
                  <c:v>985.58798862262915</c:v>
                </c:pt>
                <c:pt idx="5">
                  <c:v>469.47551346153847</c:v>
                </c:pt>
                <c:pt idx="6">
                  <c:v>553.92087272727258</c:v>
                </c:pt>
                <c:pt idx="7">
                  <c:v>754.4066980392156</c:v>
                </c:pt>
                <c:pt idx="8">
                  <c:v>2120.3495905882355</c:v>
                </c:pt>
                <c:pt idx="9">
                  <c:v>1827.4302368728897</c:v>
                </c:pt>
                <c:pt idx="10">
                  <c:v>1614.2097813915841</c:v>
                </c:pt>
                <c:pt idx="11">
                  <c:v>1182.6648083720929</c:v>
                </c:pt>
                <c:pt idx="12">
                  <c:v>3377.7121766470227</c:v>
                </c:pt>
                <c:pt idx="13">
                  <c:v>2908.8830356149738</c:v>
                </c:pt>
                <c:pt idx="14">
                  <c:v>1412.5816924618321</c:v>
                </c:pt>
                <c:pt idx="15">
                  <c:v>642.27624729458887</c:v>
                </c:pt>
                <c:pt idx="16">
                  <c:v>1616.7849101565732</c:v>
                </c:pt>
                <c:pt idx="17">
                  <c:v>1218.5799839416054</c:v>
                </c:pt>
                <c:pt idx="18">
                  <c:v>257.86700695530726</c:v>
                </c:pt>
                <c:pt idx="19">
                  <c:v>842.97839427618123</c:v>
                </c:pt>
                <c:pt idx="20">
                  <c:v>1223.4342523664409</c:v>
                </c:pt>
                <c:pt idx="21">
                  <c:v>1271.9577179381895</c:v>
                </c:pt>
                <c:pt idx="22">
                  <c:v>634.97066169912546</c:v>
                </c:pt>
                <c:pt idx="23">
                  <c:v>757.39708332706766</c:v>
                </c:pt>
                <c:pt idx="24">
                  <c:v>332.29241843391799</c:v>
                </c:pt>
                <c:pt idx="25">
                  <c:v>802.88434478455508</c:v>
                </c:pt>
                <c:pt idx="26">
                  <c:v>1319</c:v>
                </c:pt>
                <c:pt idx="27">
                  <c:v>1053</c:v>
                </c:pt>
                <c:pt idx="28">
                  <c:v>1334</c:v>
                </c:pt>
                <c:pt idx="29">
                  <c:v>1022</c:v>
                </c:pt>
                <c:pt idx="30">
                  <c:v>1434</c:v>
                </c:pt>
                <c:pt idx="31">
                  <c:v>2104</c:v>
                </c:pt>
                <c:pt idx="32">
                  <c:v>1724</c:v>
                </c:pt>
                <c:pt idx="33">
                  <c:v>528</c:v>
                </c:pt>
                <c:pt idx="34">
                  <c:v>751</c:v>
                </c:pt>
                <c:pt idx="35">
                  <c:v>485</c:v>
                </c:pt>
              </c:numCache>
            </c:numRef>
          </c:val>
        </c:ser>
        <c:ser>
          <c:idx val="1"/>
          <c:order val="2"/>
          <c:tx>
            <c:strRef>
              <c:f>#REF!</c:f>
            </c:strRef>
          </c:tx>
          <c:spPr>
            <a:solidFill>
              <a:srgbClr val="FFFFFF"/>
            </a:solidFill>
            <a:ln w="12700">
              <a:solidFill>
                <a:srgbClr val="000000"/>
              </a:solidFill>
              <a:prstDash val="solid"/>
            </a:ln>
          </c:spPr>
          <c:invertIfNegative val="0"/>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Data'!$B$130:$B$165</c:f>
              <c:numCache>
                <c:formatCode>_(* #,##0_);_(* \(#,##0\);_(* "-"??_);_(@_)</c:formatCode>
                <c:ptCount val="36"/>
                <c:pt idx="0">
                  <c:v>2757.8227129411762</c:v>
                </c:pt>
                <c:pt idx="1">
                  <c:v>1373.619409225608</c:v>
                </c:pt>
                <c:pt idx="2">
                  <c:v>1266.002262812432</c:v>
                </c:pt>
                <c:pt idx="3">
                  <c:v>867.94892823388955</c:v>
                </c:pt>
                <c:pt idx="4">
                  <c:v>1597.6548065454551</c:v>
                </c:pt>
                <c:pt idx="5">
                  <c:v>657.25781161538475</c:v>
                </c:pt>
                <c:pt idx="6">
                  <c:v>405.92055454545448</c:v>
                </c:pt>
                <c:pt idx="7">
                  <c:v>1216.7415215686278</c:v>
                </c:pt>
                <c:pt idx="8">
                  <c:v>1803.2502211764713</c:v>
                </c:pt>
                <c:pt idx="9">
                  <c:v>2103.3371628347909</c:v>
                </c:pt>
                <c:pt idx="10">
                  <c:v>1854.4718550844138</c:v>
                </c:pt>
                <c:pt idx="11">
                  <c:v>2227.1374611627898</c:v>
                </c:pt>
                <c:pt idx="12">
                  <c:v>4333.0464887241487</c:v>
                </c:pt>
                <c:pt idx="13">
                  <c:v>2018.3078434224599</c:v>
                </c:pt>
                <c:pt idx="14">
                  <c:v>1585.4382060305347</c:v>
                </c:pt>
                <c:pt idx="15">
                  <c:v>1321.3277620440876</c:v>
                </c:pt>
                <c:pt idx="16">
                  <c:v>1771.4823739124367</c:v>
                </c:pt>
                <c:pt idx="17">
                  <c:v>1756.6023003284683</c:v>
                </c:pt>
                <c:pt idx="18">
                  <c:v>488.56200189944082</c:v>
                </c:pt>
                <c:pt idx="19">
                  <c:v>696.43144301589678</c:v>
                </c:pt>
                <c:pt idx="20">
                  <c:v>891.5136973965391</c:v>
                </c:pt>
                <c:pt idx="21">
                  <c:v>894.44455078994667</c:v>
                </c:pt>
                <c:pt idx="22">
                  <c:v>1016.5876905103869</c:v>
                </c:pt>
                <c:pt idx="23">
                  <c:v>1162.8187437705315</c:v>
                </c:pt>
                <c:pt idx="24">
                  <c:v>702.58882001747122</c:v>
                </c:pt>
                <c:pt idx="25">
                  <c:v>1262.171751366167</c:v>
                </c:pt>
                <c:pt idx="26">
                  <c:v>716</c:v>
                </c:pt>
                <c:pt idx="27">
                  <c:v>1049</c:v>
                </c:pt>
                <c:pt idx="28">
                  <c:v>1205</c:v>
                </c:pt>
                <c:pt idx="29">
                  <c:v>778</c:v>
                </c:pt>
                <c:pt idx="30">
                  <c:v>821</c:v>
                </c:pt>
                <c:pt idx="31">
                  <c:v>1754</c:v>
                </c:pt>
                <c:pt idx="32">
                  <c:v>1873</c:v>
                </c:pt>
                <c:pt idx="33">
                  <c:v>470</c:v>
                </c:pt>
                <c:pt idx="34">
                  <c:v>767</c:v>
                </c:pt>
                <c:pt idx="35">
                  <c:v>674</c:v>
                </c:pt>
              </c:numCache>
            </c:numRef>
          </c:val>
        </c:ser>
        <c:dLbls>
          <c:showLegendKey val="0"/>
          <c:showVal val="0"/>
          <c:showCatName val="0"/>
          <c:showSerName val="0"/>
          <c:showPercent val="0"/>
          <c:showBubbleSize val="0"/>
        </c:dLbls>
        <c:gapWidth val="80"/>
        <c:overlap val="100"/>
        <c:axId val="216894464"/>
        <c:axId val="216908928"/>
      </c:barChart>
      <c:lineChart>
        <c:grouping val="standard"/>
        <c:varyColors val="0"/>
        <c:ser>
          <c:idx val="3"/>
          <c:order val="3"/>
          <c:spPr>
            <a:ln w="25400">
              <a:solidFill>
                <a:srgbClr val="000000"/>
              </a:solidFill>
              <a:prstDash val="solid"/>
            </a:ln>
          </c:spPr>
          <c:marker>
            <c:symbol val="none"/>
          </c:marker>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Data'!$F$130:$F$165</c:f>
              <c:numCache>
                <c:formatCode>#,##0</c:formatCode>
                <c:ptCount val="36"/>
                <c:pt idx="0">
                  <c:v>1600</c:v>
                </c:pt>
                <c:pt idx="1">
                  <c:v>1600</c:v>
                </c:pt>
                <c:pt idx="2">
                  <c:v>1600</c:v>
                </c:pt>
                <c:pt idx="3">
                  <c:v>1600</c:v>
                </c:pt>
                <c:pt idx="4">
                  <c:v>1600</c:v>
                </c:pt>
                <c:pt idx="5">
                  <c:v>1600</c:v>
                </c:pt>
                <c:pt idx="6">
                  <c:v>1600</c:v>
                </c:pt>
                <c:pt idx="7">
                  <c:v>1600</c:v>
                </c:pt>
                <c:pt idx="8">
                  <c:v>1600</c:v>
                </c:pt>
                <c:pt idx="9">
                  <c:v>1600</c:v>
                </c:pt>
                <c:pt idx="10">
                  <c:v>1600</c:v>
                </c:pt>
                <c:pt idx="11">
                  <c:v>1600</c:v>
                </c:pt>
                <c:pt idx="12">
                  <c:v>1600</c:v>
                </c:pt>
                <c:pt idx="13">
                  <c:v>1600</c:v>
                </c:pt>
                <c:pt idx="14">
                  <c:v>1600</c:v>
                </c:pt>
                <c:pt idx="15">
                  <c:v>1600</c:v>
                </c:pt>
                <c:pt idx="16">
                  <c:v>1600</c:v>
                </c:pt>
                <c:pt idx="17">
                  <c:v>1600</c:v>
                </c:pt>
                <c:pt idx="18">
                  <c:v>1600</c:v>
                </c:pt>
                <c:pt idx="19">
                  <c:v>1600</c:v>
                </c:pt>
                <c:pt idx="20">
                  <c:v>1600</c:v>
                </c:pt>
                <c:pt idx="21">
                  <c:v>1600</c:v>
                </c:pt>
                <c:pt idx="22">
                  <c:v>1600</c:v>
                </c:pt>
                <c:pt idx="23">
                  <c:v>1600</c:v>
                </c:pt>
                <c:pt idx="24">
                  <c:v>1600</c:v>
                </c:pt>
                <c:pt idx="25">
                  <c:v>1600</c:v>
                </c:pt>
                <c:pt idx="26">
                  <c:v>1600</c:v>
                </c:pt>
                <c:pt idx="27">
                  <c:v>1600</c:v>
                </c:pt>
                <c:pt idx="28">
                  <c:v>1600</c:v>
                </c:pt>
                <c:pt idx="29">
                  <c:v>1600</c:v>
                </c:pt>
                <c:pt idx="30">
                  <c:v>1600</c:v>
                </c:pt>
                <c:pt idx="31">
                  <c:v>1600</c:v>
                </c:pt>
                <c:pt idx="32">
                  <c:v>1600</c:v>
                </c:pt>
                <c:pt idx="33">
                  <c:v>1600</c:v>
                </c:pt>
                <c:pt idx="34">
                  <c:v>1600</c:v>
                </c:pt>
                <c:pt idx="35">
                  <c:v>1600</c:v>
                </c:pt>
              </c:numCache>
            </c:numRef>
          </c:val>
          <c:smooth val="0"/>
        </c:ser>
        <c:ser>
          <c:idx val="4"/>
          <c:order val="4"/>
          <c:spPr>
            <a:ln w="25400">
              <a:solidFill>
                <a:srgbClr val="000000"/>
              </a:solidFill>
              <a:prstDash val="solid"/>
            </a:ln>
          </c:spPr>
          <c:marker>
            <c:symbol val="none"/>
          </c:marker>
          <c:cat>
            <c:numRef>
              <c:f>'Catch_Escapement Data'!$A$130:$A$165</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Data'!$E$130:$E$165</c:f>
              <c:numCache>
                <c:formatCode>#,##0</c:formatCode>
                <c:ptCount val="36"/>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numCache>
            </c:numRef>
          </c:val>
          <c:smooth val="0"/>
        </c:ser>
        <c:dLbls>
          <c:showLegendKey val="0"/>
          <c:showVal val="0"/>
          <c:showCatName val="0"/>
          <c:showSerName val="0"/>
          <c:showPercent val="0"/>
          <c:showBubbleSize val="0"/>
        </c:dLbls>
        <c:marker val="1"/>
        <c:smooth val="0"/>
        <c:axId val="216894464"/>
        <c:axId val="216908928"/>
      </c:lineChart>
      <c:catAx>
        <c:axId val="21689446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5467263839726455"/>
              <c:y val="0.94978354978354973"/>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16908928"/>
        <c:crosses val="autoZero"/>
        <c:auto val="0"/>
        <c:lblAlgn val="ctr"/>
        <c:lblOffset val="100"/>
        <c:tickLblSkip val="2"/>
        <c:tickMarkSkip val="1"/>
        <c:noMultiLvlLbl val="0"/>
      </c:catAx>
      <c:valAx>
        <c:axId val="216908928"/>
        <c:scaling>
          <c:orientation val="minMax"/>
          <c:max val="9500"/>
          <c:min val="0"/>
        </c:scaling>
        <c:delete val="0"/>
        <c:axPos val="l"/>
        <c:title>
          <c:tx>
            <c:rich>
              <a:bodyPr/>
              <a:lstStyle/>
              <a:p>
                <a:pPr>
                  <a:defRPr sz="1000" b="1" i="0" u="none" strike="noStrike" baseline="0">
                    <a:solidFill>
                      <a:srgbClr val="000000"/>
                    </a:solidFill>
                    <a:latin typeface="Arial"/>
                    <a:ea typeface="Arial"/>
                    <a:cs typeface="Arial"/>
                  </a:defRPr>
                </a:pPr>
                <a:r>
                  <a:rPr lang="en-US"/>
                  <a:t>Number of Coho Salmon</a:t>
                </a:r>
              </a:p>
            </c:rich>
          </c:tx>
          <c:layout>
            <c:manualLayout>
              <c:xMode val="edge"/>
              <c:yMode val="edge"/>
              <c:x val="6.0586738584282471E-2"/>
              <c:y val="0.2740746497596891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16894464"/>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Taku River</a:t>
            </a:r>
          </a:p>
        </c:rich>
      </c:tx>
      <c:layout>
        <c:manualLayout>
          <c:xMode val="edge"/>
          <c:yMode val="edge"/>
          <c:x val="0.48895932172516288"/>
          <c:y val="4.9822064056939501E-2"/>
        </c:manualLayout>
      </c:layout>
      <c:overlay val="0"/>
      <c:spPr>
        <a:noFill/>
        <a:ln w="25400">
          <a:noFill/>
        </a:ln>
      </c:spPr>
    </c:title>
    <c:autoTitleDeleted val="0"/>
    <c:plotArea>
      <c:layout>
        <c:manualLayout>
          <c:layoutTarget val="inner"/>
          <c:xMode val="edge"/>
          <c:yMode val="edge"/>
          <c:x val="0.14511052185291326"/>
          <c:y val="5.6939501779359428E-2"/>
          <c:w val="0.83280821237324121"/>
          <c:h val="0.52313167259786475"/>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Table'!$H$6:$H$36</c:f>
              <c:numCache>
                <c:formatCode>#,##0</c:formatCode>
                <c:ptCount val="31"/>
                <c:pt idx="0">
                  <c:v>55457</c:v>
                </c:pt>
                <c:pt idx="1">
                  <c:v>39450</c:v>
                </c:pt>
                <c:pt idx="2">
                  <c:v>56808</c:v>
                </c:pt>
                <c:pt idx="3">
                  <c:v>72196</c:v>
                </c:pt>
                <c:pt idx="4">
                  <c:v>127484</c:v>
                </c:pt>
                <c:pt idx="5">
                  <c:v>83729</c:v>
                </c:pt>
                <c:pt idx="6">
                  <c:v>119330</c:v>
                </c:pt>
                <c:pt idx="7">
                  <c:v>96343</c:v>
                </c:pt>
                <c:pt idx="8">
                  <c:v>55710</c:v>
                </c:pt>
                <c:pt idx="9">
                  <c:v>44635</c:v>
                </c:pt>
                <c:pt idx="10">
                  <c:v>32345</c:v>
                </c:pt>
                <c:pt idx="11">
                  <c:v>61382</c:v>
                </c:pt>
                <c:pt idx="12">
                  <c:v>60768</c:v>
                </c:pt>
                <c:pt idx="13">
                  <c:v>64700</c:v>
                </c:pt>
                <c:pt idx="14">
                  <c:v>104394</c:v>
                </c:pt>
                <c:pt idx="15">
                  <c:v>219360</c:v>
                </c:pt>
                <c:pt idx="16">
                  <c:v>183112</c:v>
                </c:pt>
                <c:pt idx="17">
                  <c:v>129327</c:v>
                </c:pt>
                <c:pt idx="18">
                  <c:v>135558</c:v>
                </c:pt>
                <c:pt idx="19">
                  <c:v>122384</c:v>
                </c:pt>
                <c:pt idx="20">
                  <c:v>74246</c:v>
                </c:pt>
                <c:pt idx="21">
                  <c:v>95226</c:v>
                </c:pt>
                <c:pt idx="22">
                  <c:v>103950</c:v>
                </c:pt>
                <c:pt idx="23">
                  <c:v>126830</c:v>
                </c:pt>
                <c:pt idx="24">
                  <c:v>70871</c:v>
                </c:pt>
                <c:pt idx="25">
                  <c:v>70775</c:v>
                </c:pt>
                <c:pt idx="26">
                  <c:v>68117</c:v>
                </c:pt>
                <c:pt idx="27">
                  <c:v>124171</c:v>
                </c:pt>
                <c:pt idx="28">
                  <c:v>60178</c:v>
                </c:pt>
                <c:pt idx="29">
                  <c:v>87704</c:v>
                </c:pt>
                <c:pt idx="30">
                  <c:v>57868</c:v>
                </c:pt>
              </c:numCache>
            </c:numRef>
          </c:val>
        </c:ser>
        <c:ser>
          <c:idx val="4"/>
          <c:order val="1"/>
          <c:tx>
            <c:v/>
          </c:tx>
          <c:spPr>
            <a:solidFill>
              <a:srgbClr val="969696"/>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Table'!$F$6:$F$36</c:f>
              <c:numCache>
                <c:formatCode>#,##0</c:formatCode>
                <c:ptCount val="31"/>
                <c:pt idx="0">
                  <c:v>6519</c:v>
                </c:pt>
                <c:pt idx="1">
                  <c:v>3643</c:v>
                </c:pt>
                <c:pt idx="2">
                  <c:v>4033</c:v>
                </c:pt>
                <c:pt idx="3">
                  <c:v>3685</c:v>
                </c:pt>
                <c:pt idx="4">
                  <c:v>5439</c:v>
                </c:pt>
                <c:pt idx="5">
                  <c:v>5629</c:v>
                </c:pt>
                <c:pt idx="6">
                  <c:v>4659</c:v>
                </c:pt>
                <c:pt idx="7">
                  <c:v>14786</c:v>
                </c:pt>
                <c:pt idx="8">
                  <c:v>13835</c:v>
                </c:pt>
                <c:pt idx="9">
                  <c:v>5119</c:v>
                </c:pt>
                <c:pt idx="10">
                  <c:v>2717</c:v>
                </c:pt>
                <c:pt idx="11">
                  <c:v>5176</c:v>
                </c:pt>
                <c:pt idx="12">
                  <c:v>5619</c:v>
                </c:pt>
                <c:pt idx="13">
                  <c:v>5478</c:v>
                </c:pt>
                <c:pt idx="14">
                  <c:v>3121</c:v>
                </c:pt>
                <c:pt idx="15">
                  <c:v>3870</c:v>
                </c:pt>
                <c:pt idx="16">
                  <c:v>3702</c:v>
                </c:pt>
                <c:pt idx="17">
                  <c:v>9804</c:v>
                </c:pt>
                <c:pt idx="18">
                  <c:v>8393</c:v>
                </c:pt>
                <c:pt idx="19">
                  <c:v>11803</c:v>
                </c:pt>
                <c:pt idx="20">
                  <c:v>8133</c:v>
                </c:pt>
                <c:pt idx="21">
                  <c:v>4064</c:v>
                </c:pt>
                <c:pt idx="22">
                  <c:v>10006</c:v>
                </c:pt>
                <c:pt idx="23">
                  <c:v>14666</c:v>
                </c:pt>
                <c:pt idx="24">
                  <c:v>12702</c:v>
                </c:pt>
                <c:pt idx="25">
                  <c:v>14204</c:v>
                </c:pt>
                <c:pt idx="26">
                  <c:v>10613</c:v>
                </c:pt>
                <c:pt idx="27">
                  <c:v>16792</c:v>
                </c:pt>
                <c:pt idx="28">
                  <c:v>10434</c:v>
                </c:pt>
                <c:pt idx="29">
                  <c:v>11720</c:v>
                </c:pt>
                <c:pt idx="30">
                  <c:v>7960</c:v>
                </c:pt>
              </c:numCache>
            </c:numRef>
          </c:val>
        </c:ser>
        <c:ser>
          <c:idx val="0"/>
          <c:order val="2"/>
          <c:tx>
            <c:v/>
          </c:tx>
          <c:spPr>
            <a:solidFill>
              <a:srgbClr val="C0C0C0"/>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Table'!$O$6:$O$36</c:f>
              <c:numCache>
                <c:formatCode>General_)</c:formatCode>
                <c:ptCount val="31"/>
              </c:numCache>
            </c:numRef>
          </c:val>
        </c:ser>
        <c:ser>
          <c:idx val="1"/>
          <c:order val="3"/>
          <c:tx>
            <c:v/>
          </c:tx>
          <c:spPr>
            <a:solidFill>
              <a:srgbClr val="FFFFFF"/>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Table'!$B$6:$B$36</c:f>
              <c:numCache>
                <c:formatCode>#,##0</c:formatCode>
                <c:ptCount val="31"/>
                <c:pt idx="0">
                  <c:v>0</c:v>
                </c:pt>
                <c:pt idx="1">
                  <c:v>0</c:v>
                </c:pt>
                <c:pt idx="2">
                  <c:v>0</c:v>
                </c:pt>
                <c:pt idx="3">
                  <c:v>0</c:v>
                </c:pt>
                <c:pt idx="4">
                  <c:v>0</c:v>
                </c:pt>
                <c:pt idx="5">
                  <c:v>41713</c:v>
                </c:pt>
                <c:pt idx="6">
                  <c:v>78371</c:v>
                </c:pt>
                <c:pt idx="7">
                  <c:v>97039</c:v>
                </c:pt>
                <c:pt idx="8">
                  <c:v>45041</c:v>
                </c:pt>
                <c:pt idx="9">
                  <c:v>24779</c:v>
                </c:pt>
                <c:pt idx="10">
                  <c:v>8822</c:v>
                </c:pt>
                <c:pt idx="11">
                  <c:v>28827</c:v>
                </c:pt>
                <c:pt idx="12">
                  <c:v>36231</c:v>
                </c:pt>
                <c:pt idx="13">
                  <c:v>21236</c:v>
                </c:pt>
                <c:pt idx="14">
                  <c:v>38326</c:v>
                </c:pt>
                <c:pt idx="15">
                  <c:v>39053</c:v>
                </c:pt>
                <c:pt idx="16">
                  <c:v>36433</c:v>
                </c:pt>
                <c:pt idx="17">
                  <c:v>62002</c:v>
                </c:pt>
                <c:pt idx="18">
                  <c:v>46521</c:v>
                </c:pt>
                <c:pt idx="19">
                  <c:v>49394</c:v>
                </c:pt>
                <c:pt idx="20">
                  <c:v>23519</c:v>
                </c:pt>
                <c:pt idx="21">
                  <c:v>47996.923700581407</c:v>
                </c:pt>
                <c:pt idx="22">
                  <c:v>51748.07419336708</c:v>
                </c:pt>
                <c:pt idx="23">
                  <c:v>34553.563312988241</c:v>
                </c:pt>
                <c:pt idx="24">
                  <c:v>23825.245316706063</c:v>
                </c:pt>
                <c:pt idx="25">
                  <c:v>14647.586530633618</c:v>
                </c:pt>
                <c:pt idx="26">
                  <c:v>34849.481399449214</c:v>
                </c:pt>
                <c:pt idx="27">
                  <c:v>12118</c:v>
                </c:pt>
                <c:pt idx="28">
                  <c:v>16355.093115063042</c:v>
                </c:pt>
                <c:pt idx="29">
                  <c:v>9801.0815198392684</c:v>
                </c:pt>
                <c:pt idx="30">
                  <c:v>19552</c:v>
                </c:pt>
              </c:numCache>
            </c:numRef>
          </c:val>
        </c:ser>
        <c:dLbls>
          <c:showLegendKey val="0"/>
          <c:showVal val="0"/>
          <c:showCatName val="0"/>
          <c:showSerName val="0"/>
          <c:showPercent val="0"/>
          <c:showBubbleSize val="0"/>
        </c:dLbls>
        <c:gapWidth val="80"/>
        <c:overlap val="100"/>
        <c:axId val="216946176"/>
        <c:axId val="216948096"/>
      </c:barChart>
      <c:lineChart>
        <c:grouping val="standard"/>
        <c:varyColors val="0"/>
        <c:ser>
          <c:idx val="3"/>
          <c:order val="4"/>
          <c:tx>
            <c:v/>
          </c:tx>
          <c:spPr>
            <a:ln w="25400">
              <a:solidFill>
                <a:srgbClr val="000000"/>
              </a:solidFill>
              <a:prstDash val="solid"/>
            </a:ln>
          </c:spPr>
          <c:marker>
            <c:symbol val="none"/>
          </c:marker>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Table'!$K$6:$K$36</c:f>
              <c:numCache>
                <c:formatCode>#,##0</c:formatCode>
                <c:ptCount val="31"/>
                <c:pt idx="0">
                  <c:v>50000</c:v>
                </c:pt>
                <c:pt idx="1">
                  <c:v>50000</c:v>
                </c:pt>
                <c:pt idx="2">
                  <c:v>50000</c:v>
                </c:pt>
                <c:pt idx="3">
                  <c:v>50000</c:v>
                </c:pt>
                <c:pt idx="4">
                  <c:v>50000</c:v>
                </c:pt>
                <c:pt idx="5">
                  <c:v>50000</c:v>
                </c:pt>
                <c:pt idx="6">
                  <c:v>50000</c:v>
                </c:pt>
                <c:pt idx="7">
                  <c:v>50000</c:v>
                </c:pt>
                <c:pt idx="8">
                  <c:v>50000</c:v>
                </c:pt>
                <c:pt idx="9">
                  <c:v>50000</c:v>
                </c:pt>
                <c:pt idx="10">
                  <c:v>50000</c:v>
                </c:pt>
                <c:pt idx="11">
                  <c:v>50000</c:v>
                </c:pt>
                <c:pt idx="12">
                  <c:v>50000</c:v>
                </c:pt>
                <c:pt idx="13">
                  <c:v>50000</c:v>
                </c:pt>
                <c:pt idx="14">
                  <c:v>50000</c:v>
                </c:pt>
                <c:pt idx="15">
                  <c:v>50000</c:v>
                </c:pt>
                <c:pt idx="16">
                  <c:v>50000</c:v>
                </c:pt>
                <c:pt idx="17">
                  <c:v>50000</c:v>
                </c:pt>
                <c:pt idx="18">
                  <c:v>50000</c:v>
                </c:pt>
                <c:pt idx="19">
                  <c:v>50000</c:v>
                </c:pt>
                <c:pt idx="20">
                  <c:v>50000</c:v>
                </c:pt>
                <c:pt idx="21">
                  <c:v>50000</c:v>
                </c:pt>
                <c:pt idx="22">
                  <c:v>50000</c:v>
                </c:pt>
                <c:pt idx="23">
                  <c:v>50000</c:v>
                </c:pt>
                <c:pt idx="24">
                  <c:v>50000</c:v>
                </c:pt>
                <c:pt idx="25">
                  <c:v>50000</c:v>
                </c:pt>
                <c:pt idx="26">
                  <c:v>50000</c:v>
                </c:pt>
                <c:pt idx="27">
                  <c:v>50000</c:v>
                </c:pt>
                <c:pt idx="28">
                  <c:v>50000</c:v>
                </c:pt>
                <c:pt idx="29">
                  <c:v>50000</c:v>
                </c:pt>
                <c:pt idx="30">
                  <c:v>50000</c:v>
                </c:pt>
              </c:numCache>
            </c:numRef>
          </c:val>
          <c:smooth val="0"/>
        </c:ser>
        <c:ser>
          <c:idx val="5"/>
          <c:order val="5"/>
          <c:tx>
            <c:v/>
          </c:tx>
          <c:spPr>
            <a:ln w="25400">
              <a:solidFill>
                <a:srgbClr val="000000"/>
              </a:solidFill>
            </a:ln>
          </c:spPr>
          <c:marker>
            <c:symbol val="none"/>
          </c:marker>
          <c:val>
            <c:numRef>
              <c:f>'Taku Table'!$L$6:$L$36</c:f>
              <c:numCache>
                <c:formatCode>#,##0</c:formatCode>
                <c:ptCount val="31"/>
                <c:pt idx="0">
                  <c:v>90000</c:v>
                </c:pt>
                <c:pt idx="1">
                  <c:v>90000</c:v>
                </c:pt>
                <c:pt idx="2">
                  <c:v>90000</c:v>
                </c:pt>
                <c:pt idx="3">
                  <c:v>90000</c:v>
                </c:pt>
                <c:pt idx="4">
                  <c:v>90000</c:v>
                </c:pt>
                <c:pt idx="5">
                  <c:v>90000</c:v>
                </c:pt>
                <c:pt idx="6">
                  <c:v>90000</c:v>
                </c:pt>
                <c:pt idx="7">
                  <c:v>90000</c:v>
                </c:pt>
                <c:pt idx="8">
                  <c:v>90000</c:v>
                </c:pt>
                <c:pt idx="9">
                  <c:v>90000</c:v>
                </c:pt>
                <c:pt idx="10">
                  <c:v>90000</c:v>
                </c:pt>
                <c:pt idx="11">
                  <c:v>90000</c:v>
                </c:pt>
                <c:pt idx="12">
                  <c:v>90000</c:v>
                </c:pt>
                <c:pt idx="13">
                  <c:v>90000</c:v>
                </c:pt>
                <c:pt idx="14">
                  <c:v>90000</c:v>
                </c:pt>
                <c:pt idx="15">
                  <c:v>90000</c:v>
                </c:pt>
                <c:pt idx="16">
                  <c:v>90000</c:v>
                </c:pt>
                <c:pt idx="17">
                  <c:v>90000</c:v>
                </c:pt>
                <c:pt idx="18">
                  <c:v>90000</c:v>
                </c:pt>
                <c:pt idx="19">
                  <c:v>90000</c:v>
                </c:pt>
                <c:pt idx="20">
                  <c:v>90000</c:v>
                </c:pt>
                <c:pt idx="21">
                  <c:v>90000</c:v>
                </c:pt>
                <c:pt idx="22">
                  <c:v>90000</c:v>
                </c:pt>
                <c:pt idx="23">
                  <c:v>90000</c:v>
                </c:pt>
                <c:pt idx="24">
                  <c:v>90000</c:v>
                </c:pt>
                <c:pt idx="25">
                  <c:v>90000</c:v>
                </c:pt>
                <c:pt idx="26">
                  <c:v>90000</c:v>
                </c:pt>
                <c:pt idx="27">
                  <c:v>90000</c:v>
                </c:pt>
                <c:pt idx="28">
                  <c:v>90000</c:v>
                </c:pt>
                <c:pt idx="29">
                  <c:v>90000</c:v>
                </c:pt>
                <c:pt idx="30">
                  <c:v>90000</c:v>
                </c:pt>
              </c:numCache>
            </c:numRef>
          </c:val>
          <c:smooth val="0"/>
        </c:ser>
        <c:dLbls>
          <c:showLegendKey val="0"/>
          <c:showVal val="0"/>
          <c:showCatName val="0"/>
          <c:showSerName val="0"/>
          <c:showPercent val="0"/>
          <c:showBubbleSize val="0"/>
        </c:dLbls>
        <c:marker val="1"/>
        <c:smooth val="0"/>
        <c:axId val="216946176"/>
        <c:axId val="216948096"/>
      </c:lineChart>
      <c:catAx>
        <c:axId val="216946176"/>
        <c:scaling>
          <c:orientation val="minMax"/>
        </c:scaling>
        <c:delete val="0"/>
        <c:axPos val="b"/>
        <c:title>
          <c:tx>
            <c:rich>
              <a:bodyPr/>
              <a:lstStyle/>
              <a:p>
                <a:pPr>
                  <a:defRPr sz="1100" b="0" i="0" u="none" strike="noStrike" baseline="0">
                    <a:solidFill>
                      <a:srgbClr val="000000"/>
                    </a:solidFill>
                    <a:latin typeface="Arial"/>
                    <a:ea typeface="Arial"/>
                    <a:cs typeface="Arial"/>
                  </a:defRPr>
                </a:pPr>
                <a:r>
                  <a:rPr lang="en-US" b="0"/>
                  <a:t>Year</a:t>
                </a:r>
              </a:p>
            </c:rich>
          </c:tx>
          <c:layout>
            <c:manualLayout>
              <c:xMode val="edge"/>
              <c:yMode val="edge"/>
              <c:x val="0.53470064664629857"/>
              <c:y val="0.71886120996441283"/>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216948096"/>
        <c:crosses val="autoZero"/>
        <c:auto val="0"/>
        <c:lblAlgn val="ctr"/>
        <c:lblOffset val="100"/>
        <c:tickLblSkip val="1"/>
        <c:tickMarkSkip val="1"/>
        <c:noMultiLvlLbl val="0"/>
      </c:catAx>
      <c:valAx>
        <c:axId val="216948096"/>
        <c:scaling>
          <c:orientation val="minMax"/>
          <c:max val="400000"/>
          <c:min val="0"/>
        </c:scaling>
        <c:delete val="0"/>
        <c:axPos val="l"/>
        <c:title>
          <c:tx>
            <c:rich>
              <a:bodyPr/>
              <a:lstStyle/>
              <a:p>
                <a:pPr>
                  <a:defRPr sz="1100" b="0" i="0" u="none" strike="noStrike" baseline="0">
                    <a:solidFill>
                      <a:srgbClr val="000000"/>
                    </a:solidFill>
                    <a:latin typeface="Arial"/>
                    <a:ea typeface="Arial"/>
                    <a:cs typeface="Arial"/>
                  </a:defRPr>
                </a:pPr>
                <a:r>
                  <a:rPr lang="en-US" b="0"/>
                  <a:t>No. of Coho Salmon</a:t>
                </a:r>
              </a:p>
            </c:rich>
          </c:tx>
          <c:layout>
            <c:manualLayout>
              <c:xMode val="edge"/>
              <c:yMode val="edge"/>
              <c:x val="7.8864353312302835E-3"/>
              <c:y val="9.9644128113879002E-2"/>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16946176"/>
        <c:crosses val="autoZero"/>
        <c:crossBetween val="between"/>
        <c:majorUnit val="100000"/>
      </c:valAx>
      <c:spPr>
        <a:noFill/>
        <a:ln w="25400">
          <a:noFill/>
        </a:ln>
      </c:spPr>
    </c:plotArea>
    <c:legend>
      <c:legendPos val="r"/>
      <c:legendEntry>
        <c:idx val="5"/>
        <c:delete val="1"/>
      </c:legendEntry>
      <c:layout>
        <c:manualLayout>
          <c:xMode val="edge"/>
          <c:yMode val="edge"/>
          <c:x val="0.16456361724500526"/>
          <c:y val="0.79715302491103202"/>
          <c:w val="0.75273537180092243"/>
          <c:h val="0.20284697508896798"/>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9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Chilkat River</a:t>
            </a:r>
          </a:p>
        </c:rich>
      </c:tx>
      <c:layout>
        <c:manualLayout>
          <c:xMode val="edge"/>
          <c:yMode val="edge"/>
          <c:x val="0.49448818897637797"/>
          <c:y val="2.1248339973439574E-2"/>
        </c:manualLayout>
      </c:layout>
      <c:overlay val="0"/>
      <c:spPr>
        <a:noFill/>
        <a:ln w="25400">
          <a:noFill/>
        </a:ln>
      </c:spPr>
    </c:title>
    <c:autoTitleDeleted val="0"/>
    <c:plotArea>
      <c:layout>
        <c:manualLayout>
          <c:layoutTarget val="inner"/>
          <c:xMode val="edge"/>
          <c:yMode val="edge"/>
          <c:x val="0.14803149606299212"/>
          <c:y val="6.3745019920318724E-2"/>
          <c:w val="0.82992125984251963"/>
          <c:h val="0.58565737051792832"/>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ChilkatTable!$O$6:$O$36</c:f>
              <c:numCache>
                <c:formatCode>#,##0</c:formatCode>
                <c:ptCount val="31"/>
                <c:pt idx="0">
                  <c:v>37432.148331849698</c:v>
                </c:pt>
                <c:pt idx="1">
                  <c:v>29495.053088079232</c:v>
                </c:pt>
                <c:pt idx="2">
                  <c:v>48833.314804892871</c:v>
                </c:pt>
                <c:pt idx="3">
                  <c:v>79807</c:v>
                </c:pt>
                <c:pt idx="4">
                  <c:v>84516.611642352465</c:v>
                </c:pt>
                <c:pt idx="5">
                  <c:v>77588.469183807058</c:v>
                </c:pt>
                <c:pt idx="6">
                  <c:v>58216.575707485921</c:v>
                </c:pt>
                <c:pt idx="7">
                  <c:v>194425.20171286893</c:v>
                </c:pt>
                <c:pt idx="8">
                  <c:v>56736.778289155831</c:v>
                </c:pt>
                <c:pt idx="9">
                  <c:v>37331.253053327193</c:v>
                </c:pt>
                <c:pt idx="10">
                  <c:v>43519.496802707559</c:v>
                </c:pt>
                <c:pt idx="11">
                  <c:v>50758</c:v>
                </c:pt>
                <c:pt idx="12">
                  <c:v>57140.359403245857</c:v>
                </c:pt>
                <c:pt idx="13">
                  <c:v>84843</c:v>
                </c:pt>
                <c:pt idx="14">
                  <c:v>107697</c:v>
                </c:pt>
                <c:pt idx="15">
                  <c:v>204925</c:v>
                </c:pt>
                <c:pt idx="16">
                  <c:v>133109</c:v>
                </c:pt>
                <c:pt idx="17">
                  <c:v>67053</c:v>
                </c:pt>
                <c:pt idx="18">
                  <c:v>34575</c:v>
                </c:pt>
                <c:pt idx="19">
                  <c:v>79050</c:v>
                </c:pt>
                <c:pt idx="20">
                  <c:v>24770</c:v>
                </c:pt>
                <c:pt idx="21">
                  <c:v>56369</c:v>
                </c:pt>
                <c:pt idx="22">
                  <c:v>47911</c:v>
                </c:pt>
                <c:pt idx="23">
                  <c:v>84909</c:v>
                </c:pt>
                <c:pt idx="24">
                  <c:v>61099</c:v>
                </c:pt>
                <c:pt idx="25">
                  <c:v>36961</c:v>
                </c:pt>
                <c:pt idx="26">
                  <c:v>51324</c:v>
                </c:pt>
                <c:pt idx="27">
                  <c:v>130200</c:v>
                </c:pt>
                <c:pt idx="28">
                  <c:v>47372</c:v>
                </c:pt>
                <c:pt idx="29">
                  <c:v>26280</c:v>
                </c:pt>
                <c:pt idx="30">
                  <c:v>34482</c:v>
                </c:pt>
              </c:numCache>
            </c:numRef>
          </c:val>
        </c:ser>
        <c:ser>
          <c:idx val="0"/>
          <c:order val="1"/>
          <c:tx>
            <c:v/>
          </c:tx>
          <c:spPr>
            <a:solidFill>
              <a:srgbClr val="C0C0C0"/>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ChilkatTable!$N$6:$N$36</c:f>
              <c:numCache>
                <c:formatCode>General_)</c:formatCode>
                <c:ptCount val="31"/>
                <c:pt idx="13" formatCode="#,##0">
                  <c:v>20347</c:v>
                </c:pt>
                <c:pt idx="14" formatCode="#,##0">
                  <c:v>17703</c:v>
                </c:pt>
                <c:pt idx="15" formatCode="#,##0">
                  <c:v>73335</c:v>
                </c:pt>
                <c:pt idx="16" formatCode="#,##0">
                  <c:v>34376</c:v>
                </c:pt>
                <c:pt idx="17" formatCode="#,##0">
                  <c:v>45369</c:v>
                </c:pt>
                <c:pt idx="18" formatCode="#,##0">
                  <c:v>13216</c:v>
                </c:pt>
                <c:pt idx="19" formatCode="#,##0">
                  <c:v>29157</c:v>
                </c:pt>
                <c:pt idx="20" formatCode="#,##0">
                  <c:v>4193</c:v>
                </c:pt>
                <c:pt idx="21" formatCode="#,##0">
                  <c:v>30773</c:v>
                </c:pt>
                <c:pt idx="22" formatCode="#,##0">
                  <c:v>18254</c:v>
                </c:pt>
                <c:pt idx="23" formatCode="#,##0">
                  <c:v>40405</c:v>
                </c:pt>
                <c:pt idx="24" formatCode="#,##0">
                  <c:v>17292</c:v>
                </c:pt>
                <c:pt idx="25" formatCode="#,##0">
                  <c:v>16715</c:v>
                </c:pt>
                <c:pt idx="26" formatCode="#,##0">
                  <c:v>44794</c:v>
                </c:pt>
                <c:pt idx="27" formatCode="#,##0">
                  <c:v>15453</c:v>
                </c:pt>
                <c:pt idx="28" formatCode="#,##0">
                  <c:v>13886</c:v>
                </c:pt>
                <c:pt idx="29" formatCode="#,##0">
                  <c:v>11830</c:v>
                </c:pt>
                <c:pt idx="30" formatCode="#,##0">
                  <c:v>12197</c:v>
                </c:pt>
              </c:numCache>
            </c:numRef>
          </c:val>
        </c:ser>
        <c:ser>
          <c:idx val="1"/>
          <c:order val="2"/>
          <c:tx>
            <c:v/>
          </c:tx>
          <c:spPr>
            <a:solidFill>
              <a:srgbClr val="FFFFFF"/>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ChilkatTable!$M$6:$M$36</c:f>
              <c:numCache>
                <c:formatCode>General_)</c:formatCode>
                <c:ptCount val="31"/>
                <c:pt idx="13" formatCode="#,##0">
                  <c:v>19988</c:v>
                </c:pt>
                <c:pt idx="14" formatCode="#,##0">
                  <c:v>30465</c:v>
                </c:pt>
                <c:pt idx="15" formatCode="#,##0">
                  <c:v>61724</c:v>
                </c:pt>
                <c:pt idx="16" formatCode="#,##0">
                  <c:v>51629</c:v>
                </c:pt>
                <c:pt idx="17" formatCode="#,##0">
                  <c:v>82827</c:v>
                </c:pt>
                <c:pt idx="18" formatCode="#,##0">
                  <c:v>17409</c:v>
                </c:pt>
                <c:pt idx="19" formatCode="#,##0">
                  <c:v>37077</c:v>
                </c:pt>
                <c:pt idx="20" formatCode="#,##0">
                  <c:v>9307</c:v>
                </c:pt>
                <c:pt idx="21" formatCode="#,##0">
                  <c:v>20999</c:v>
                </c:pt>
                <c:pt idx="22" formatCode="#,##0">
                  <c:v>11931</c:v>
                </c:pt>
                <c:pt idx="23" formatCode="#,##0">
                  <c:v>29028</c:v>
                </c:pt>
                <c:pt idx="24" formatCode="#,##0">
                  <c:v>19329</c:v>
                </c:pt>
                <c:pt idx="25" formatCode="#,##0">
                  <c:v>11421</c:v>
                </c:pt>
                <c:pt idx="26" formatCode="#,##0">
                  <c:v>25419</c:v>
                </c:pt>
                <c:pt idx="27" formatCode="#,##0">
                  <c:v>10792</c:v>
                </c:pt>
                <c:pt idx="28" formatCode="#,##0">
                  <c:v>10558</c:v>
                </c:pt>
                <c:pt idx="29" formatCode="#,##0">
                  <c:v>2412</c:v>
                </c:pt>
                <c:pt idx="30" formatCode="#,##0">
                  <c:v>5868</c:v>
                </c:pt>
              </c:numCache>
            </c:numRef>
          </c:val>
        </c:ser>
        <c:dLbls>
          <c:showLegendKey val="0"/>
          <c:showVal val="0"/>
          <c:showCatName val="0"/>
          <c:showSerName val="0"/>
          <c:showPercent val="0"/>
          <c:showBubbleSize val="0"/>
        </c:dLbls>
        <c:gapWidth val="80"/>
        <c:overlap val="100"/>
        <c:axId val="218389888"/>
        <c:axId val="218408448"/>
      </c:barChart>
      <c:lineChart>
        <c:grouping val="standard"/>
        <c:varyColors val="0"/>
        <c:ser>
          <c:idx val="3"/>
          <c:order val="3"/>
          <c:tx>
            <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ChilkatTable!$P$6:$P$36</c:f>
              <c:numCache>
                <c:formatCode>#,##0</c:formatCode>
                <c:ptCount val="31"/>
                <c:pt idx="0">
                  <c:v>30000</c:v>
                </c:pt>
                <c:pt idx="1">
                  <c:v>30000</c:v>
                </c:pt>
                <c:pt idx="2">
                  <c:v>30000</c:v>
                </c:pt>
                <c:pt idx="3">
                  <c:v>30000</c:v>
                </c:pt>
                <c:pt idx="4">
                  <c:v>30000</c:v>
                </c:pt>
                <c:pt idx="5">
                  <c:v>30000</c:v>
                </c:pt>
                <c:pt idx="6">
                  <c:v>30000</c:v>
                </c:pt>
                <c:pt idx="7">
                  <c:v>30000</c:v>
                </c:pt>
                <c:pt idx="8">
                  <c:v>30000</c:v>
                </c:pt>
                <c:pt idx="9">
                  <c:v>30000</c:v>
                </c:pt>
                <c:pt idx="10">
                  <c:v>30000</c:v>
                </c:pt>
                <c:pt idx="11">
                  <c:v>30000</c:v>
                </c:pt>
                <c:pt idx="12">
                  <c:v>30000</c:v>
                </c:pt>
                <c:pt idx="13">
                  <c:v>30000</c:v>
                </c:pt>
                <c:pt idx="14">
                  <c:v>30000</c:v>
                </c:pt>
                <c:pt idx="15">
                  <c:v>30000</c:v>
                </c:pt>
                <c:pt idx="16">
                  <c:v>30000</c:v>
                </c:pt>
                <c:pt idx="17">
                  <c:v>30000</c:v>
                </c:pt>
                <c:pt idx="18">
                  <c:v>30000</c:v>
                </c:pt>
                <c:pt idx="19">
                  <c:v>30000</c:v>
                </c:pt>
                <c:pt idx="20">
                  <c:v>30000</c:v>
                </c:pt>
                <c:pt idx="21">
                  <c:v>30000</c:v>
                </c:pt>
                <c:pt idx="22">
                  <c:v>30000</c:v>
                </c:pt>
                <c:pt idx="23">
                  <c:v>30000</c:v>
                </c:pt>
                <c:pt idx="24">
                  <c:v>30000</c:v>
                </c:pt>
                <c:pt idx="25">
                  <c:v>30000</c:v>
                </c:pt>
                <c:pt idx="26">
                  <c:v>30000</c:v>
                </c:pt>
                <c:pt idx="27">
                  <c:v>30000</c:v>
                </c:pt>
                <c:pt idx="28">
                  <c:v>30000</c:v>
                </c:pt>
                <c:pt idx="29">
                  <c:v>30000</c:v>
                </c:pt>
                <c:pt idx="30">
                  <c:v>30000</c:v>
                </c:pt>
              </c:numCache>
            </c:numRef>
          </c:val>
          <c:smooth val="0"/>
        </c:ser>
        <c:ser>
          <c:idx val="4"/>
          <c:order val="4"/>
          <c:tx>
            <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ChilkatTable!$Q$6:$Q$36</c:f>
              <c:numCache>
                <c:formatCode>#,##0</c:formatCode>
                <c:ptCount val="31"/>
                <c:pt idx="0">
                  <c:v>70000</c:v>
                </c:pt>
                <c:pt idx="1">
                  <c:v>70000</c:v>
                </c:pt>
                <c:pt idx="2">
                  <c:v>70000</c:v>
                </c:pt>
                <c:pt idx="3">
                  <c:v>70000</c:v>
                </c:pt>
                <c:pt idx="4">
                  <c:v>70000</c:v>
                </c:pt>
                <c:pt idx="5">
                  <c:v>70000</c:v>
                </c:pt>
                <c:pt idx="6">
                  <c:v>70000</c:v>
                </c:pt>
                <c:pt idx="7">
                  <c:v>70000</c:v>
                </c:pt>
                <c:pt idx="8">
                  <c:v>70000</c:v>
                </c:pt>
                <c:pt idx="9">
                  <c:v>70000</c:v>
                </c:pt>
                <c:pt idx="10">
                  <c:v>70000</c:v>
                </c:pt>
                <c:pt idx="11">
                  <c:v>70000</c:v>
                </c:pt>
                <c:pt idx="12">
                  <c:v>70000</c:v>
                </c:pt>
                <c:pt idx="13">
                  <c:v>70000</c:v>
                </c:pt>
                <c:pt idx="14">
                  <c:v>70000</c:v>
                </c:pt>
                <c:pt idx="15">
                  <c:v>70000</c:v>
                </c:pt>
                <c:pt idx="16">
                  <c:v>70000</c:v>
                </c:pt>
                <c:pt idx="17">
                  <c:v>70000</c:v>
                </c:pt>
                <c:pt idx="18">
                  <c:v>70000</c:v>
                </c:pt>
                <c:pt idx="19">
                  <c:v>70000</c:v>
                </c:pt>
                <c:pt idx="20">
                  <c:v>70000</c:v>
                </c:pt>
                <c:pt idx="21">
                  <c:v>70000</c:v>
                </c:pt>
                <c:pt idx="22">
                  <c:v>70000</c:v>
                </c:pt>
                <c:pt idx="23">
                  <c:v>70000</c:v>
                </c:pt>
                <c:pt idx="24">
                  <c:v>70000</c:v>
                </c:pt>
                <c:pt idx="25">
                  <c:v>70000</c:v>
                </c:pt>
                <c:pt idx="26">
                  <c:v>70000</c:v>
                </c:pt>
                <c:pt idx="27">
                  <c:v>70000</c:v>
                </c:pt>
                <c:pt idx="28">
                  <c:v>70000</c:v>
                </c:pt>
                <c:pt idx="29">
                  <c:v>70000</c:v>
                </c:pt>
                <c:pt idx="30">
                  <c:v>70000</c:v>
                </c:pt>
              </c:numCache>
            </c:numRef>
          </c:val>
          <c:smooth val="0"/>
        </c:ser>
        <c:dLbls>
          <c:showLegendKey val="0"/>
          <c:showVal val="0"/>
          <c:showCatName val="0"/>
          <c:showSerName val="0"/>
          <c:showPercent val="0"/>
          <c:showBubbleSize val="0"/>
        </c:dLbls>
        <c:marker val="1"/>
        <c:smooth val="0"/>
        <c:axId val="218389888"/>
        <c:axId val="218408448"/>
      </c:lineChart>
      <c:catAx>
        <c:axId val="218389888"/>
        <c:scaling>
          <c:orientation val="minMax"/>
        </c:scaling>
        <c:delete val="0"/>
        <c:axPos val="b"/>
        <c:title>
          <c:tx>
            <c:rich>
              <a:bodyPr/>
              <a:lstStyle/>
              <a:p>
                <a:pPr>
                  <a:defRPr sz="1100" b="0" i="0" u="none" strike="noStrike" baseline="0">
                    <a:solidFill>
                      <a:srgbClr val="000000"/>
                    </a:solidFill>
                    <a:latin typeface="Arial"/>
                    <a:ea typeface="Arial"/>
                    <a:cs typeface="Arial"/>
                  </a:defRPr>
                </a:pPr>
                <a:r>
                  <a:rPr lang="en-US" b="0"/>
                  <a:t>Year</a:t>
                </a:r>
              </a:p>
            </c:rich>
          </c:tx>
          <c:layout>
            <c:manualLayout>
              <c:xMode val="edge"/>
              <c:yMode val="edge"/>
              <c:x val="0.53543307086614178"/>
              <c:y val="0.80876494023904377"/>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218408448"/>
        <c:crosses val="autoZero"/>
        <c:auto val="0"/>
        <c:lblAlgn val="ctr"/>
        <c:lblOffset val="100"/>
        <c:tickLblSkip val="1"/>
        <c:tickMarkSkip val="1"/>
        <c:noMultiLvlLbl val="0"/>
      </c:catAx>
      <c:valAx>
        <c:axId val="218408448"/>
        <c:scaling>
          <c:orientation val="minMax"/>
          <c:max val="400000"/>
          <c:min val="0"/>
        </c:scaling>
        <c:delete val="0"/>
        <c:axPos val="l"/>
        <c:title>
          <c:tx>
            <c:rich>
              <a:bodyPr/>
              <a:lstStyle/>
              <a:p>
                <a:pPr>
                  <a:defRPr sz="1100" b="0" i="0" u="none" strike="noStrike" baseline="0">
                    <a:solidFill>
                      <a:srgbClr val="000000"/>
                    </a:solidFill>
                    <a:latin typeface="Arial"/>
                    <a:ea typeface="Arial"/>
                    <a:cs typeface="Arial"/>
                  </a:defRPr>
                </a:pPr>
                <a:r>
                  <a:rPr lang="en-US" b="0"/>
                  <a:t>No. of Coho Salmon</a:t>
                </a:r>
              </a:p>
            </c:rich>
          </c:tx>
          <c:layout>
            <c:manualLayout>
              <c:xMode val="edge"/>
              <c:yMode val="edge"/>
              <c:x val="7.874015748031496E-3"/>
              <c:y val="0.11553784860557768"/>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18389888"/>
        <c:crosses val="autoZero"/>
        <c:crossBetween val="between"/>
        <c:majorUnit val="100000"/>
      </c:valAx>
      <c:spPr>
        <a:noFill/>
        <a:ln w="25400">
          <a:noFill/>
        </a:ln>
      </c:spPr>
    </c:plotArea>
    <c:legend>
      <c:legendPos val="r"/>
      <c:legendEntry>
        <c:idx val="4"/>
        <c:delete val="1"/>
      </c:legendEntry>
      <c:layout>
        <c:manualLayout>
          <c:xMode val="edge"/>
          <c:yMode val="edge"/>
          <c:x val="7.5065616797900261E-2"/>
          <c:y val="0.89243027888446214"/>
          <c:w val="0.9223097112860893"/>
          <c:h val="8.3665338645418363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9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Berners River</a:t>
            </a:r>
          </a:p>
        </c:rich>
      </c:tx>
      <c:layout>
        <c:manualLayout>
          <c:xMode val="edge"/>
          <c:yMode val="edge"/>
          <c:x val="0.49367088607594939"/>
          <c:y val="8.9285714285714288E-2"/>
        </c:manualLayout>
      </c:layout>
      <c:overlay val="0"/>
      <c:spPr>
        <a:noFill/>
        <a:ln w="25400">
          <a:noFill/>
        </a:ln>
      </c:spPr>
    </c:title>
    <c:autoTitleDeleted val="0"/>
    <c:plotArea>
      <c:layout>
        <c:manualLayout>
          <c:layoutTarget val="inner"/>
          <c:xMode val="edge"/>
          <c:yMode val="edge"/>
          <c:x val="0.15189873417721519"/>
          <c:y val="5.7142956792265609E-2"/>
          <c:w val="0.82594936708860756"/>
          <c:h val="0.62500108991540515"/>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'Catch_Escapement Data'!$A$59:$A$89</c:f>
              <c:numCache>
                <c:formatCode>General</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'Catch_Escapement Data'!$I$59:$I$89</c:f>
              <c:numCache>
                <c:formatCode>General_)</c:formatCode>
                <c:ptCount val="31"/>
                <c:pt idx="2" formatCode="#,##0">
                  <c:v>9320</c:v>
                </c:pt>
                <c:pt idx="3" formatCode="#,##0">
                  <c:v>13715</c:v>
                </c:pt>
                <c:pt idx="4" formatCode="#,##0">
                  <c:v>14311</c:v>
                </c:pt>
                <c:pt idx="5" formatCode="#,##0">
                  <c:v>18991</c:v>
                </c:pt>
                <c:pt idx="6" formatCode="#,##0">
                  <c:v>19450</c:v>
                </c:pt>
                <c:pt idx="7" formatCode="#,##0">
                  <c:v>19760</c:v>
                </c:pt>
                <c:pt idx="8" formatCode="#,##0">
                  <c:v>6138</c:v>
                </c:pt>
                <c:pt idx="9" formatCode="#,##0">
                  <c:v>7509</c:v>
                </c:pt>
                <c:pt idx="10" formatCode="#,##0">
                  <c:v>12474</c:v>
                </c:pt>
                <c:pt idx="11" formatCode="#,##0">
                  <c:v>8443</c:v>
                </c:pt>
                <c:pt idx="12" formatCode="#,##0">
                  <c:v>12313</c:v>
                </c:pt>
                <c:pt idx="13" formatCode="#,##0">
                  <c:v>13219</c:v>
                </c:pt>
                <c:pt idx="14" formatCode="#,##0">
                  <c:v>23943</c:v>
                </c:pt>
                <c:pt idx="15" formatCode="#,##0">
                  <c:v>34382</c:v>
                </c:pt>
                <c:pt idx="16" formatCode="#,##0">
                  <c:v>12549</c:v>
                </c:pt>
                <c:pt idx="17" formatCode="#,##0">
                  <c:v>17936</c:v>
                </c:pt>
                <c:pt idx="18" formatCode="#,##0">
                  <c:v>6479</c:v>
                </c:pt>
                <c:pt idx="19" formatCode="#,##0">
                  <c:v>6789</c:v>
                </c:pt>
                <c:pt idx="20" formatCode="#,##0">
                  <c:v>4859</c:v>
                </c:pt>
                <c:pt idx="21" formatCode="#,##0">
                  <c:v>8527</c:v>
                </c:pt>
                <c:pt idx="22" formatCode="#,##0">
                  <c:v>5250</c:v>
                </c:pt>
                <c:pt idx="23" formatCode="#,##0">
                  <c:v>9334</c:v>
                </c:pt>
                <c:pt idx="24" formatCode="#,##0">
                  <c:v>7509</c:v>
                </c:pt>
                <c:pt idx="25" formatCode="#,##0">
                  <c:v>6802</c:v>
                </c:pt>
                <c:pt idx="26" formatCode="#,##0">
                  <c:v>7795</c:v>
                </c:pt>
                <c:pt idx="27" formatCode="#,##0">
                  <c:v>19214</c:v>
                </c:pt>
                <c:pt idx="28" formatCode="#,##0">
                  <c:v>12338</c:v>
                </c:pt>
                <c:pt idx="29" formatCode="#,##0">
                  <c:v>8357</c:v>
                </c:pt>
                <c:pt idx="30" formatCode="#,##0">
                  <c:v>8738</c:v>
                </c:pt>
              </c:numCache>
            </c:numRef>
          </c:val>
        </c:ser>
        <c:ser>
          <c:idx val="0"/>
          <c:order val="1"/>
          <c:tx>
            <c:v/>
          </c:tx>
          <c:spPr>
            <a:solidFill>
              <a:srgbClr val="C0C0C0"/>
            </a:solidFill>
            <a:ln w="12700">
              <a:solidFill>
                <a:srgbClr val="000000"/>
              </a:solidFill>
              <a:prstDash val="solid"/>
            </a:ln>
          </c:spPr>
          <c:invertIfNegative val="0"/>
          <c:cat>
            <c:numRef>
              <c:f>'Catch_Escapement Data'!$A$59:$A$89</c:f>
              <c:numCache>
                <c:formatCode>General</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'Catch_Escapement Data'!$M$59:$M$89</c:f>
              <c:numCache>
                <c:formatCode>#,##0</c:formatCode>
                <c:ptCount val="31"/>
                <c:pt idx="2">
                  <c:v>1664.5295875675677</c:v>
                </c:pt>
                <c:pt idx="3">
                  <c:v>7903.7236924422314</c:v>
                </c:pt>
                <c:pt idx="4">
                  <c:v>17008.220035610553</c:v>
                </c:pt>
                <c:pt idx="5">
                  <c:v>15376.580432960342</c:v>
                </c:pt>
                <c:pt idx="6">
                  <c:v>14627.286861220649</c:v>
                </c:pt>
                <c:pt idx="7">
                  <c:v>30109.870411608859</c:v>
                </c:pt>
                <c:pt idx="8">
                  <c:v>15104.459928559276</c:v>
                </c:pt>
                <c:pt idx="9">
                  <c:v>7074.9686336538462</c:v>
                </c:pt>
                <c:pt idx="10">
                  <c:v>2781.3509854027516</c:v>
                </c:pt>
                <c:pt idx="11">
                  <c:v>5910.6912592145454</c:v>
                </c:pt>
                <c:pt idx="12">
                  <c:v>10348.749160845062</c:v>
                </c:pt>
                <c:pt idx="13">
                  <c:v>6004.0087996874972</c:v>
                </c:pt>
                <c:pt idx="14">
                  <c:v>4048.4054414634797</c:v>
                </c:pt>
                <c:pt idx="15">
                  <c:v>13468.621889380582</c:v>
                </c:pt>
                <c:pt idx="16">
                  <c:v>12178.241481890531</c:v>
                </c:pt>
                <c:pt idx="17">
                  <c:v>7932.1244014004769</c:v>
                </c:pt>
                <c:pt idx="18">
                  <c:v>2899.1893495575223</c:v>
                </c:pt>
                <c:pt idx="19">
                  <c:v>6270.6875726886228</c:v>
                </c:pt>
                <c:pt idx="20">
                  <c:v>1869.0850097283762</c:v>
                </c:pt>
                <c:pt idx="21">
                  <c:v>3618.5646731159577</c:v>
                </c:pt>
                <c:pt idx="22">
                  <c:v>2280.7571149367091</c:v>
                </c:pt>
                <c:pt idx="23">
                  <c:v>7845.4991998376936</c:v>
                </c:pt>
                <c:pt idx="24">
                  <c:v>2257.4466386363638</c:v>
                </c:pt>
                <c:pt idx="25">
                  <c:v>979.64220288319086</c:v>
                </c:pt>
                <c:pt idx="26">
                  <c:v>7266.9495325000007</c:v>
                </c:pt>
                <c:pt idx="27">
                  <c:v>6867.170445164742</c:v>
                </c:pt>
                <c:pt idx="28">
                  <c:v>2166</c:v>
                </c:pt>
                <c:pt idx="29">
                  <c:v>2295.8126686792439</c:v>
                </c:pt>
                <c:pt idx="30">
                  <c:v>2803</c:v>
                </c:pt>
              </c:numCache>
            </c:numRef>
          </c:val>
        </c:ser>
        <c:ser>
          <c:idx val="1"/>
          <c:order val="2"/>
          <c:tx>
            <c:v/>
          </c:tx>
          <c:spPr>
            <a:solidFill>
              <a:srgbClr val="FFFFFF"/>
            </a:solidFill>
            <a:ln w="12700">
              <a:solidFill>
                <a:srgbClr val="000000"/>
              </a:solidFill>
              <a:prstDash val="solid"/>
            </a:ln>
          </c:spPr>
          <c:invertIfNegative val="0"/>
          <c:cat>
            <c:numRef>
              <c:f>'Catch_Escapement Data'!$A$59:$A$89</c:f>
              <c:numCache>
                <c:formatCode>General</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'Catch_Escapement Data'!$L$59:$L$89</c:f>
              <c:numCache>
                <c:formatCode>#,##0</c:formatCode>
                <c:ptCount val="31"/>
                <c:pt idx="2">
                  <c:v>10582.789888648653</c:v>
                </c:pt>
                <c:pt idx="3">
                  <c:v>15006.906562552591</c:v>
                </c:pt>
                <c:pt idx="4">
                  <c:v>6448.5848185505256</c:v>
                </c:pt>
                <c:pt idx="5">
                  <c:v>15318.194687812569</c:v>
                </c:pt>
                <c:pt idx="6">
                  <c:v>19308.334788727647</c:v>
                </c:pt>
                <c:pt idx="7">
                  <c:v>27339.017989400378</c:v>
                </c:pt>
                <c:pt idx="8">
                  <c:v>8765.6907583897864</c:v>
                </c:pt>
                <c:pt idx="9">
                  <c:v>10528.730040144168</c:v>
                </c:pt>
                <c:pt idx="10">
                  <c:v>2452.8423084848455</c:v>
                </c:pt>
                <c:pt idx="11">
                  <c:v>10424.447558787861</c:v>
                </c:pt>
                <c:pt idx="12">
                  <c:v>12876.411924788617</c:v>
                </c:pt>
                <c:pt idx="13">
                  <c:v>4810.7035637946483</c:v>
                </c:pt>
                <c:pt idx="14">
                  <c:v>8814.3456853610987</c:v>
                </c:pt>
                <c:pt idx="15">
                  <c:v>8649.799148571401</c:v>
                </c:pt>
                <c:pt idx="16">
                  <c:v>6822.780148593728</c:v>
                </c:pt>
                <c:pt idx="17">
                  <c:v>10791.879529411573</c:v>
                </c:pt>
                <c:pt idx="18">
                  <c:v>4638.6855929203448</c:v>
                </c:pt>
                <c:pt idx="19">
                  <c:v>4081.5165299999962</c:v>
                </c:pt>
                <c:pt idx="20">
                  <c:v>2937.46540720339</c:v>
                </c:pt>
                <c:pt idx="21">
                  <c:v>3878.1945390909154</c:v>
                </c:pt>
                <c:pt idx="22">
                  <c:v>2806.6890000000003</c:v>
                </c:pt>
                <c:pt idx="23">
                  <c:v>6451.0321920064944</c:v>
                </c:pt>
                <c:pt idx="24">
                  <c:v>3721.6134204545397</c:v>
                </c:pt>
                <c:pt idx="25">
                  <c:v>2070.8644198484849</c:v>
                </c:pt>
                <c:pt idx="26">
                  <c:v>7520.6314891346174</c:v>
                </c:pt>
                <c:pt idx="27">
                  <c:v>4301.1241040387176</c:v>
                </c:pt>
                <c:pt idx="28">
                  <c:v>3543</c:v>
                </c:pt>
                <c:pt idx="29">
                  <c:v>919.40433610062894</c:v>
                </c:pt>
                <c:pt idx="30">
                  <c:v>4455</c:v>
                </c:pt>
              </c:numCache>
            </c:numRef>
          </c:val>
        </c:ser>
        <c:dLbls>
          <c:showLegendKey val="0"/>
          <c:showVal val="0"/>
          <c:showCatName val="0"/>
          <c:showSerName val="0"/>
          <c:showPercent val="0"/>
          <c:showBubbleSize val="0"/>
        </c:dLbls>
        <c:gapWidth val="80"/>
        <c:overlap val="100"/>
        <c:axId val="218465408"/>
        <c:axId val="218467328"/>
      </c:barChart>
      <c:lineChart>
        <c:grouping val="standard"/>
        <c:varyColors val="0"/>
        <c:ser>
          <c:idx val="3"/>
          <c:order val="3"/>
          <c:tx>
            <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'Catch_Escapement Data'!$J$59:$J$89</c:f>
              <c:numCache>
                <c:formatCode>#,##0</c:formatCode>
                <c:ptCount val="31"/>
                <c:pt idx="2">
                  <c:v>4500</c:v>
                </c:pt>
                <c:pt idx="3">
                  <c:v>4500</c:v>
                </c:pt>
                <c:pt idx="4">
                  <c:v>4500</c:v>
                </c:pt>
                <c:pt idx="5">
                  <c:v>4500</c:v>
                </c:pt>
                <c:pt idx="6">
                  <c:v>4500</c:v>
                </c:pt>
                <c:pt idx="7">
                  <c:v>4500</c:v>
                </c:pt>
                <c:pt idx="8">
                  <c:v>4500</c:v>
                </c:pt>
                <c:pt idx="9">
                  <c:v>4500</c:v>
                </c:pt>
                <c:pt idx="10">
                  <c:v>4500</c:v>
                </c:pt>
                <c:pt idx="11">
                  <c:v>4500</c:v>
                </c:pt>
                <c:pt idx="12">
                  <c:v>4500</c:v>
                </c:pt>
                <c:pt idx="13">
                  <c:v>4500</c:v>
                </c:pt>
                <c:pt idx="14">
                  <c:v>4500</c:v>
                </c:pt>
                <c:pt idx="15">
                  <c:v>4500</c:v>
                </c:pt>
                <c:pt idx="16">
                  <c:v>4500</c:v>
                </c:pt>
                <c:pt idx="17">
                  <c:v>4500</c:v>
                </c:pt>
                <c:pt idx="18">
                  <c:v>4500</c:v>
                </c:pt>
                <c:pt idx="19">
                  <c:v>4500</c:v>
                </c:pt>
                <c:pt idx="20">
                  <c:v>4500</c:v>
                </c:pt>
                <c:pt idx="21">
                  <c:v>4500</c:v>
                </c:pt>
                <c:pt idx="22">
                  <c:v>4500</c:v>
                </c:pt>
                <c:pt idx="23">
                  <c:v>4500</c:v>
                </c:pt>
                <c:pt idx="24">
                  <c:v>4500</c:v>
                </c:pt>
                <c:pt idx="25">
                  <c:v>4500</c:v>
                </c:pt>
                <c:pt idx="26">
                  <c:v>4500</c:v>
                </c:pt>
                <c:pt idx="27">
                  <c:v>4500</c:v>
                </c:pt>
                <c:pt idx="28">
                  <c:v>4500</c:v>
                </c:pt>
                <c:pt idx="29">
                  <c:v>4500</c:v>
                </c:pt>
                <c:pt idx="30">
                  <c:v>4500</c:v>
                </c:pt>
              </c:numCache>
            </c:numRef>
          </c:val>
          <c:smooth val="0"/>
        </c:ser>
        <c:ser>
          <c:idx val="4"/>
          <c:order val="4"/>
          <c:tx>
            <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'Catch_Escapement Data'!$K$59:$K$89</c:f>
              <c:numCache>
                <c:formatCode>#,##0</c:formatCode>
                <c:ptCount val="31"/>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10000</c:v>
                </c:pt>
                <c:pt idx="16">
                  <c:v>10000</c:v>
                </c:pt>
                <c:pt idx="17">
                  <c:v>10000</c:v>
                </c:pt>
                <c:pt idx="18">
                  <c:v>10000</c:v>
                </c:pt>
                <c:pt idx="19">
                  <c:v>10000</c:v>
                </c:pt>
                <c:pt idx="20">
                  <c:v>10000</c:v>
                </c:pt>
                <c:pt idx="21">
                  <c:v>10000</c:v>
                </c:pt>
                <c:pt idx="22">
                  <c:v>10000</c:v>
                </c:pt>
                <c:pt idx="23">
                  <c:v>10000</c:v>
                </c:pt>
                <c:pt idx="24">
                  <c:v>10000</c:v>
                </c:pt>
                <c:pt idx="25">
                  <c:v>10000</c:v>
                </c:pt>
                <c:pt idx="26">
                  <c:v>10000</c:v>
                </c:pt>
                <c:pt idx="27">
                  <c:v>10000</c:v>
                </c:pt>
                <c:pt idx="28">
                  <c:v>10000</c:v>
                </c:pt>
                <c:pt idx="29">
                  <c:v>10000</c:v>
                </c:pt>
                <c:pt idx="30">
                  <c:v>10000</c:v>
                </c:pt>
              </c:numCache>
            </c:numRef>
          </c:val>
          <c:smooth val="0"/>
        </c:ser>
        <c:dLbls>
          <c:showLegendKey val="0"/>
          <c:showVal val="0"/>
          <c:showCatName val="0"/>
          <c:showSerName val="0"/>
          <c:showPercent val="0"/>
          <c:showBubbleSize val="0"/>
        </c:dLbls>
        <c:marker val="1"/>
        <c:smooth val="0"/>
        <c:axId val="218465408"/>
        <c:axId val="218467328"/>
      </c:lineChart>
      <c:catAx>
        <c:axId val="218465408"/>
        <c:scaling>
          <c:orientation val="minMax"/>
        </c:scaling>
        <c:delete val="0"/>
        <c:axPos val="b"/>
        <c:title>
          <c:tx>
            <c:rich>
              <a:bodyPr/>
              <a:lstStyle/>
              <a:p>
                <a:pPr>
                  <a:defRPr sz="1100" b="0" i="0" u="none" strike="noStrike" baseline="0">
                    <a:solidFill>
                      <a:srgbClr val="000000"/>
                    </a:solidFill>
                    <a:latin typeface="Arial"/>
                    <a:ea typeface="Arial"/>
                    <a:cs typeface="Arial"/>
                  </a:defRPr>
                </a:pPr>
                <a:r>
                  <a:rPr lang="en-US" b="0"/>
                  <a:t>Year</a:t>
                </a:r>
              </a:p>
            </c:rich>
          </c:tx>
          <c:layout>
            <c:manualLayout>
              <c:xMode val="edge"/>
              <c:yMode val="edge"/>
              <c:x val="0.53797468354430378"/>
              <c:y val="0.82500149981252335"/>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218467328"/>
        <c:crosses val="autoZero"/>
        <c:auto val="0"/>
        <c:lblAlgn val="ctr"/>
        <c:lblOffset val="100"/>
        <c:tickLblSkip val="1"/>
        <c:tickMarkSkip val="1"/>
        <c:noMultiLvlLbl val="0"/>
      </c:catAx>
      <c:valAx>
        <c:axId val="218467328"/>
        <c:scaling>
          <c:orientation val="minMax"/>
          <c:max val="77300"/>
          <c:min val="0"/>
        </c:scaling>
        <c:delete val="0"/>
        <c:axPos val="l"/>
        <c:title>
          <c:tx>
            <c:rich>
              <a:bodyPr/>
              <a:lstStyle/>
              <a:p>
                <a:pPr>
                  <a:defRPr sz="1100" b="0" i="0" u="none" strike="noStrike" baseline="0">
                    <a:solidFill>
                      <a:srgbClr val="000000"/>
                    </a:solidFill>
                    <a:latin typeface="Arial"/>
                    <a:ea typeface="Arial"/>
                    <a:cs typeface="Arial"/>
                  </a:defRPr>
                </a:pPr>
                <a:r>
                  <a:rPr lang="en-US" b="0"/>
                  <a:t>No. of Coho Salmon</a:t>
                </a:r>
              </a:p>
            </c:rich>
          </c:tx>
          <c:layout>
            <c:manualLayout>
              <c:xMode val="edge"/>
              <c:yMode val="edge"/>
              <c:x val="7.9113924050632917E-3"/>
              <c:y val="0.1535718035245594"/>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18465408"/>
        <c:crosses val="autoZero"/>
        <c:crossBetween val="between"/>
        <c:majorUnit val="20000"/>
      </c:valAx>
      <c:spPr>
        <a:noFill/>
        <a:ln w="25400">
          <a:noFill/>
        </a:ln>
      </c:spPr>
    </c:plotArea>
    <c:legend>
      <c:legendPos val="r"/>
      <c:legendEntry>
        <c:idx val="4"/>
        <c:delete val="1"/>
      </c:legendEntry>
      <c:layout>
        <c:manualLayout>
          <c:xMode val="edge"/>
          <c:yMode val="edge"/>
          <c:x val="7.0147679324894519E-2"/>
          <c:y val="0.90357292838395198"/>
          <c:w val="0.92827004219409281"/>
          <c:h val="7.0238095238095211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9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36499233028746"/>
          <c:y val="3.8004794672277076E-2"/>
          <c:w val="0.85534722531450491"/>
          <c:h val="0.7814668999708364"/>
        </c:manualLayout>
      </c:layout>
      <c:barChart>
        <c:barDir val="col"/>
        <c:grouping val="stacked"/>
        <c:varyColors val="0"/>
        <c:ser>
          <c:idx val="2"/>
          <c:order val="0"/>
          <c:tx>
            <c:strRef>
              <c:f>#REF!</c:f>
            </c:strRef>
          </c:tx>
          <c:spPr>
            <a:solidFill>
              <a:srgbClr val="FF0000"/>
            </a:solidFill>
            <a:ln w="12700">
              <a:solidFill>
                <a:srgbClr val="000000"/>
              </a:solidFill>
              <a:prstDash val="solid"/>
            </a:ln>
          </c:spPr>
          <c:invertIfNegative val="0"/>
          <c:cat>
            <c:numRef>
              <c:f>'Catch_Escapement Data'!$A$62:$A$86</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'Catch_Escapement Data'!$D$62:$D$86</c:f>
              <c:numCache>
                <c:formatCode>#,##0</c:formatCode>
                <c:ptCount val="25"/>
                <c:pt idx="0">
                  <c:v>11050</c:v>
                </c:pt>
                <c:pt idx="1">
                  <c:v>11530</c:v>
                </c:pt>
                <c:pt idx="2">
                  <c:v>15300</c:v>
                </c:pt>
                <c:pt idx="3">
                  <c:v>15670</c:v>
                </c:pt>
                <c:pt idx="4">
                  <c:v>15920</c:v>
                </c:pt>
                <c:pt idx="5">
                  <c:v>4945</c:v>
                </c:pt>
                <c:pt idx="6">
                  <c:v>6050</c:v>
                </c:pt>
                <c:pt idx="7">
                  <c:v>10050</c:v>
                </c:pt>
                <c:pt idx="8">
                  <c:v>6802</c:v>
                </c:pt>
                <c:pt idx="9">
                  <c:v>9920</c:v>
                </c:pt>
                <c:pt idx="10">
                  <c:v>10650</c:v>
                </c:pt>
                <c:pt idx="11">
                  <c:v>19290</c:v>
                </c:pt>
                <c:pt idx="12">
                  <c:v>27700</c:v>
                </c:pt>
                <c:pt idx="13">
                  <c:v>10110</c:v>
                </c:pt>
                <c:pt idx="14">
                  <c:v>14450</c:v>
                </c:pt>
                <c:pt idx="15">
                  <c:v>5220</c:v>
                </c:pt>
                <c:pt idx="16">
                  <c:v>5470</c:v>
                </c:pt>
                <c:pt idx="17">
                  <c:v>3915</c:v>
                </c:pt>
                <c:pt idx="18">
                  <c:v>6870</c:v>
                </c:pt>
                <c:pt idx="19">
                  <c:v>4230</c:v>
                </c:pt>
                <c:pt idx="20">
                  <c:v>7520</c:v>
                </c:pt>
                <c:pt idx="21">
                  <c:v>6050</c:v>
                </c:pt>
                <c:pt idx="22">
                  <c:v>5480</c:v>
                </c:pt>
                <c:pt idx="23">
                  <c:v>6280</c:v>
                </c:pt>
                <c:pt idx="24">
                  <c:v>15480</c:v>
                </c:pt>
              </c:numCache>
            </c:numRef>
          </c:val>
        </c:ser>
        <c:ser>
          <c:idx val="0"/>
          <c:order val="1"/>
          <c:tx>
            <c:v/>
          </c:tx>
          <c:spPr>
            <a:solidFill>
              <a:srgbClr val="66FFFF"/>
            </a:solidFill>
            <a:ln w="12700">
              <a:solidFill>
                <a:srgbClr val="000000"/>
              </a:solidFill>
              <a:prstDash val="solid"/>
            </a:ln>
          </c:spPr>
          <c:invertIfNegative val="0"/>
          <c:cat>
            <c:numRef>
              <c:f>'Catch_Escapement Data'!$A$62:$A$86</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'Catch_Escapement Data'!#REF!</c:f>
            </c:numRef>
          </c:val>
        </c:ser>
        <c:ser>
          <c:idx val="5"/>
          <c:order val="2"/>
          <c:tx>
            <c:v/>
          </c:tx>
          <c:spPr>
            <a:solidFill>
              <a:srgbClr val="00B0F0"/>
            </a:solidFill>
            <a:ln>
              <a:solidFill>
                <a:schemeClr val="tx1"/>
              </a:solidFill>
            </a:ln>
          </c:spPr>
          <c:invertIfNegative val="0"/>
          <c:cat>
            <c:numRef>
              <c:f>'Catch_Escapement Data'!$A$62:$A$86</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'Catch_Escapement Data'!#REF!</c:f>
            </c:numRef>
          </c:val>
        </c:ser>
        <c:ser>
          <c:idx val="1"/>
          <c:order val="3"/>
          <c:tx>
            <c:strRef>
              <c:f>#REF!</c:f>
            </c:strRef>
          </c:tx>
          <c:spPr>
            <a:solidFill>
              <a:srgbClr val="F5FAB0"/>
            </a:solidFill>
            <a:ln w="12700">
              <a:solidFill>
                <a:srgbClr val="000000"/>
              </a:solidFill>
              <a:prstDash val="solid"/>
            </a:ln>
          </c:spPr>
          <c:invertIfNegative val="0"/>
          <c:cat>
            <c:numRef>
              <c:f>'Catch_Escapement Data'!$A$62:$A$86</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'Catch_Escapement Data'!$B$62:$B$86</c:f>
              <c:numCache>
                <c:formatCode>#,##0</c:formatCode>
                <c:ptCount val="25"/>
                <c:pt idx="0">
                  <c:v>15006.906562552591</c:v>
                </c:pt>
                <c:pt idx="1">
                  <c:v>6448.5848185505256</c:v>
                </c:pt>
                <c:pt idx="2">
                  <c:v>15318.194687812569</c:v>
                </c:pt>
                <c:pt idx="3">
                  <c:v>19308.334788727647</c:v>
                </c:pt>
                <c:pt idx="4">
                  <c:v>27339.017989400378</c:v>
                </c:pt>
                <c:pt idx="5">
                  <c:v>8765.6907583897864</c:v>
                </c:pt>
                <c:pt idx="6">
                  <c:v>10528.730040144168</c:v>
                </c:pt>
                <c:pt idx="7">
                  <c:v>2452.8423084848455</c:v>
                </c:pt>
                <c:pt idx="8">
                  <c:v>10424.447558787861</c:v>
                </c:pt>
                <c:pt idx="9">
                  <c:v>12876.411924788617</c:v>
                </c:pt>
                <c:pt idx="10">
                  <c:v>4810.7035637946483</c:v>
                </c:pt>
                <c:pt idx="11">
                  <c:v>8814.3456853610987</c:v>
                </c:pt>
                <c:pt idx="12">
                  <c:v>8649.799148571401</c:v>
                </c:pt>
                <c:pt idx="13">
                  <c:v>6822.780148593728</c:v>
                </c:pt>
                <c:pt idx="14">
                  <c:v>10791.879529411573</c:v>
                </c:pt>
                <c:pt idx="15">
                  <c:v>4638.6855929203448</c:v>
                </c:pt>
                <c:pt idx="16">
                  <c:v>4081.5165299999962</c:v>
                </c:pt>
                <c:pt idx="17">
                  <c:v>2937.46540720339</c:v>
                </c:pt>
                <c:pt idx="18">
                  <c:v>3878.1945390909154</c:v>
                </c:pt>
                <c:pt idx="19">
                  <c:v>2806.6890000000003</c:v>
                </c:pt>
                <c:pt idx="20">
                  <c:v>6451.0321920064944</c:v>
                </c:pt>
                <c:pt idx="21">
                  <c:v>3721.6134204545397</c:v>
                </c:pt>
                <c:pt idx="22">
                  <c:v>2070.8644198484849</c:v>
                </c:pt>
                <c:pt idx="23">
                  <c:v>7520.6314891346174</c:v>
                </c:pt>
                <c:pt idx="24">
                  <c:v>4301.1241040387176</c:v>
                </c:pt>
              </c:numCache>
            </c:numRef>
          </c:val>
        </c:ser>
        <c:dLbls>
          <c:showLegendKey val="0"/>
          <c:showVal val="0"/>
          <c:showCatName val="0"/>
          <c:showSerName val="0"/>
          <c:showPercent val="0"/>
          <c:showBubbleSize val="0"/>
        </c:dLbls>
        <c:gapWidth val="150"/>
        <c:overlap val="100"/>
        <c:axId val="218548480"/>
        <c:axId val="218558848"/>
      </c:barChart>
      <c:lineChart>
        <c:grouping val="standard"/>
        <c:varyColors val="0"/>
        <c:ser>
          <c:idx val="3"/>
          <c:order val="4"/>
          <c:tx>
            <c:v/>
          </c:tx>
          <c:spPr>
            <a:ln w="25400">
              <a:solidFill>
                <a:schemeClr val="tx1"/>
              </a:solidFill>
              <a:prstDash val="solid"/>
            </a:ln>
          </c:spPr>
          <c:marker>
            <c:symbol val="none"/>
          </c:marker>
          <c:cat>
            <c:multiLvlStrRef>
              <c:f>'Catch_Escapement Data'!#REF!</c:f>
            </c:multiLvlStrRef>
          </c:cat>
          <c:val>
            <c:numRef>
              <c:f>'Catch_Escapement Data'!$F$62:$F$86</c:f>
              <c:numCache>
                <c:formatCode>#,##0</c:formatCode>
                <c:ptCount val="25"/>
                <c:pt idx="0">
                  <c:v>8100</c:v>
                </c:pt>
                <c:pt idx="1">
                  <c:v>8100</c:v>
                </c:pt>
                <c:pt idx="2">
                  <c:v>8100</c:v>
                </c:pt>
                <c:pt idx="3">
                  <c:v>8100</c:v>
                </c:pt>
                <c:pt idx="4">
                  <c:v>8100</c:v>
                </c:pt>
                <c:pt idx="5">
                  <c:v>8100</c:v>
                </c:pt>
                <c:pt idx="6">
                  <c:v>8100</c:v>
                </c:pt>
                <c:pt idx="7">
                  <c:v>8100</c:v>
                </c:pt>
                <c:pt idx="8">
                  <c:v>8100</c:v>
                </c:pt>
                <c:pt idx="9">
                  <c:v>8100</c:v>
                </c:pt>
                <c:pt idx="10">
                  <c:v>8100</c:v>
                </c:pt>
                <c:pt idx="11">
                  <c:v>8100</c:v>
                </c:pt>
                <c:pt idx="12">
                  <c:v>8100</c:v>
                </c:pt>
                <c:pt idx="13">
                  <c:v>8100</c:v>
                </c:pt>
                <c:pt idx="14">
                  <c:v>8100</c:v>
                </c:pt>
                <c:pt idx="15">
                  <c:v>8100</c:v>
                </c:pt>
                <c:pt idx="16">
                  <c:v>8100</c:v>
                </c:pt>
                <c:pt idx="17">
                  <c:v>8100</c:v>
                </c:pt>
                <c:pt idx="18">
                  <c:v>8100</c:v>
                </c:pt>
                <c:pt idx="19">
                  <c:v>8100</c:v>
                </c:pt>
                <c:pt idx="20">
                  <c:v>8100</c:v>
                </c:pt>
                <c:pt idx="21">
                  <c:v>8100</c:v>
                </c:pt>
                <c:pt idx="22">
                  <c:v>8100</c:v>
                </c:pt>
                <c:pt idx="23">
                  <c:v>8100</c:v>
                </c:pt>
                <c:pt idx="24">
                  <c:v>8100</c:v>
                </c:pt>
              </c:numCache>
            </c:numRef>
          </c:val>
          <c:smooth val="0"/>
        </c:ser>
        <c:ser>
          <c:idx val="4"/>
          <c:order val="5"/>
          <c:spPr>
            <a:ln w="25400">
              <a:solidFill>
                <a:schemeClr val="tx1"/>
              </a:solidFill>
              <a:prstDash val="solid"/>
            </a:ln>
          </c:spPr>
          <c:marker>
            <c:symbol val="none"/>
          </c:marker>
          <c:cat>
            <c:multiLvlStrRef>
              <c:f>'Catch_Escapement Data'!#REF!</c:f>
            </c:multiLvlStrRef>
          </c:cat>
          <c:val>
            <c:numRef>
              <c:f>'Catch_Escapement Data'!$E$62:$E$86</c:f>
              <c:numCache>
                <c:formatCode>#,##0</c:formatCode>
                <c:ptCount val="25"/>
                <c:pt idx="0">
                  <c:v>3600</c:v>
                </c:pt>
                <c:pt idx="1">
                  <c:v>3600</c:v>
                </c:pt>
                <c:pt idx="2">
                  <c:v>3600</c:v>
                </c:pt>
                <c:pt idx="3">
                  <c:v>3600</c:v>
                </c:pt>
                <c:pt idx="4">
                  <c:v>3600</c:v>
                </c:pt>
                <c:pt idx="5">
                  <c:v>3600</c:v>
                </c:pt>
                <c:pt idx="6">
                  <c:v>3600</c:v>
                </c:pt>
                <c:pt idx="7">
                  <c:v>3600</c:v>
                </c:pt>
                <c:pt idx="8">
                  <c:v>3600</c:v>
                </c:pt>
                <c:pt idx="9">
                  <c:v>3600</c:v>
                </c:pt>
                <c:pt idx="10">
                  <c:v>3600</c:v>
                </c:pt>
                <c:pt idx="11">
                  <c:v>3600</c:v>
                </c:pt>
                <c:pt idx="12">
                  <c:v>3600</c:v>
                </c:pt>
                <c:pt idx="13">
                  <c:v>3600</c:v>
                </c:pt>
                <c:pt idx="14">
                  <c:v>3600</c:v>
                </c:pt>
                <c:pt idx="15">
                  <c:v>3600</c:v>
                </c:pt>
                <c:pt idx="16">
                  <c:v>3600</c:v>
                </c:pt>
                <c:pt idx="17">
                  <c:v>3600</c:v>
                </c:pt>
                <c:pt idx="18">
                  <c:v>3600</c:v>
                </c:pt>
                <c:pt idx="19">
                  <c:v>3600</c:v>
                </c:pt>
                <c:pt idx="20">
                  <c:v>3600</c:v>
                </c:pt>
                <c:pt idx="21">
                  <c:v>3600</c:v>
                </c:pt>
                <c:pt idx="22">
                  <c:v>3600</c:v>
                </c:pt>
                <c:pt idx="23">
                  <c:v>3600</c:v>
                </c:pt>
                <c:pt idx="24">
                  <c:v>3600</c:v>
                </c:pt>
              </c:numCache>
            </c:numRef>
          </c:val>
          <c:smooth val="0"/>
        </c:ser>
        <c:dLbls>
          <c:showLegendKey val="0"/>
          <c:showVal val="0"/>
          <c:showCatName val="0"/>
          <c:showSerName val="0"/>
          <c:showPercent val="0"/>
          <c:showBubbleSize val="0"/>
        </c:dLbls>
        <c:marker val="1"/>
        <c:smooth val="0"/>
        <c:axId val="218548480"/>
        <c:axId val="218558848"/>
      </c:lineChart>
      <c:catAx>
        <c:axId val="218548480"/>
        <c:scaling>
          <c:orientation val="minMax"/>
        </c:scaling>
        <c:delete val="0"/>
        <c:axPos val="b"/>
        <c:title>
          <c:tx>
            <c:rich>
              <a:bodyPr/>
              <a:lstStyle/>
              <a:p>
                <a:pPr>
                  <a:defRPr sz="1100" b="0" i="0" u="none" strike="noStrike" baseline="0">
                    <a:solidFill>
                      <a:srgbClr val="000000"/>
                    </a:solidFill>
                    <a:latin typeface="Arial"/>
                    <a:ea typeface="Arial"/>
                    <a:cs typeface="Arial"/>
                  </a:defRPr>
                </a:pPr>
                <a:r>
                  <a:rPr lang="en-US"/>
                  <a:t>Year</a:t>
                </a:r>
              </a:p>
            </c:rich>
          </c:tx>
          <c:layout>
            <c:manualLayout>
              <c:xMode val="edge"/>
              <c:yMode val="edge"/>
              <c:x val="0.53300543593188288"/>
              <c:y val="0.94182201583776393"/>
            </c:manualLayout>
          </c:layout>
          <c:overlay val="0"/>
        </c:title>
        <c:numFmt formatCode="General" sourceLinked="1"/>
        <c:majorTickMark val="out"/>
        <c:minorTickMark val="none"/>
        <c:tickLblPos val="nextTo"/>
        <c:spPr>
          <a:ln w="3175">
            <a:solidFill>
              <a:schemeClr val="tx1"/>
            </a:solidFill>
            <a:prstDash val="solid"/>
          </a:ln>
        </c:spPr>
        <c:txPr>
          <a:bodyPr rot="-5400000" vert="horz"/>
          <a:lstStyle/>
          <a:p>
            <a:pPr>
              <a:defRPr sz="1100" b="0" i="0" u="none" strike="noStrike" baseline="0">
                <a:solidFill>
                  <a:srgbClr val="000000"/>
                </a:solidFill>
                <a:latin typeface="Arial"/>
                <a:ea typeface="Arial"/>
                <a:cs typeface="Arial"/>
              </a:defRPr>
            </a:pPr>
            <a:endParaRPr lang="en-US"/>
          </a:p>
        </c:txPr>
        <c:crossAx val="218558848"/>
        <c:crosses val="autoZero"/>
        <c:auto val="0"/>
        <c:lblAlgn val="ctr"/>
        <c:lblOffset val="100"/>
        <c:tickLblSkip val="1"/>
        <c:tickMarkSkip val="1"/>
        <c:noMultiLvlLbl val="0"/>
      </c:catAx>
      <c:valAx>
        <c:axId val="218558848"/>
        <c:scaling>
          <c:orientation val="minMax"/>
          <c:max val="75000"/>
          <c:min val="0"/>
        </c:scaling>
        <c:delete val="0"/>
        <c:axPos val="l"/>
        <c:title>
          <c:tx>
            <c:rich>
              <a:bodyPr/>
              <a:lstStyle/>
              <a:p>
                <a:pPr>
                  <a:defRPr sz="1100" b="0" i="0" u="none" strike="noStrike" baseline="0">
                    <a:solidFill>
                      <a:srgbClr val="000000"/>
                    </a:solidFill>
                    <a:latin typeface="Arial"/>
                    <a:ea typeface="Arial"/>
                    <a:cs typeface="Arial"/>
                  </a:defRPr>
                </a:pPr>
                <a:r>
                  <a:rPr lang="en-US"/>
                  <a:t>Number of Coho Salmon</a:t>
                </a:r>
              </a:p>
            </c:rich>
          </c:tx>
          <c:layout>
            <c:manualLayout>
              <c:xMode val="edge"/>
              <c:yMode val="edge"/>
              <c:x val="7.8615765446380815E-3"/>
              <c:y val="0.26128294860578322"/>
            </c:manualLayout>
          </c:layout>
          <c:overlay val="0"/>
          <c:spPr>
            <a:noFill/>
            <a:ln w="25400">
              <a:noFill/>
            </a:ln>
          </c:spPr>
        </c:title>
        <c:numFmt formatCode="#,##0" sourceLinked="1"/>
        <c:majorTickMark val="out"/>
        <c:minorTickMark val="none"/>
        <c:tickLblPos val="nextTo"/>
        <c:spPr>
          <a:ln w="3175">
            <a:solidFill>
              <a:schemeClr val="tx1"/>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18548480"/>
        <c:crosses val="autoZero"/>
        <c:crossBetween val="between"/>
      </c:valAx>
      <c:spPr>
        <a:noFill/>
        <a:ln w="25400">
          <a:noFill/>
        </a:ln>
      </c:spPr>
    </c:plotArea>
    <c:legend>
      <c:legendPos val="r"/>
      <c:layout>
        <c:manualLayout>
          <c:xMode val="edge"/>
          <c:yMode val="edge"/>
          <c:x val="0.70837282780410749"/>
          <c:y val="0.13390021760100501"/>
          <c:w val="0.24318062137967356"/>
          <c:h val="0.3475841801826054"/>
        </c:manualLayout>
      </c:layout>
      <c:overlay val="1"/>
      <c:txPr>
        <a:bodyPr/>
        <a:lstStyle/>
        <a:p>
          <a:pPr>
            <a:defRPr sz="101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1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 footer="0.5"/>
    <c:pageSetup orientation="portrait"/>
  </c:printSettings>
  <c:userShapes r:id="rId1"/>
</c:chartSpace>
</file>

<file path=xl/charts/chart9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0" i="0" u="none" strike="noStrike" baseline="0">
                <a:solidFill>
                  <a:srgbClr val="000000"/>
                </a:solidFill>
                <a:latin typeface="Arial"/>
                <a:ea typeface="Arial"/>
                <a:cs typeface="Arial"/>
              </a:defRPr>
            </a:pPr>
            <a:r>
              <a:rPr lang="en-US"/>
              <a:t>Berners River</a:t>
            </a:r>
          </a:p>
        </c:rich>
      </c:tx>
      <c:layout>
        <c:manualLayout>
          <c:xMode val="edge"/>
          <c:yMode val="edge"/>
          <c:x val="0.44304793654347707"/>
          <c:y val="7.0788181180322766E-4"/>
        </c:manualLayout>
      </c:layout>
      <c:overlay val="0"/>
      <c:spPr>
        <a:noFill/>
        <a:ln w="25400">
          <a:noFill/>
        </a:ln>
      </c:spPr>
    </c:title>
    <c:autoTitleDeleted val="0"/>
    <c:plotArea>
      <c:layout>
        <c:manualLayout>
          <c:layoutTarget val="inner"/>
          <c:xMode val="edge"/>
          <c:yMode val="edge"/>
          <c:x val="0.15189873417721519"/>
          <c:y val="0.10973276855244579"/>
          <c:w val="0.83226845459483445"/>
          <c:h val="0.81923615983645603"/>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'Catch_Escapement Data'!$A$54:$A$86</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Data'!$D$54:$D$86</c:f>
              <c:numCache>
                <c:formatCode>#,##0</c:formatCode>
                <c:ptCount val="33"/>
                <c:pt idx="0">
                  <c:v>7505</c:v>
                </c:pt>
                <c:pt idx="1">
                  <c:v>9840</c:v>
                </c:pt>
                <c:pt idx="2">
                  <c:v>2825</c:v>
                </c:pt>
                <c:pt idx="3">
                  <c:v>6169</c:v>
                </c:pt>
                <c:pt idx="4">
                  <c:v>1752</c:v>
                </c:pt>
                <c:pt idx="5">
                  <c:v>3260</c:v>
                </c:pt>
                <c:pt idx="6">
                  <c:v>2724</c:v>
                </c:pt>
                <c:pt idx="7">
                  <c:v>7509</c:v>
                </c:pt>
                <c:pt idx="8">
                  <c:v>11050</c:v>
                </c:pt>
                <c:pt idx="9">
                  <c:v>11530</c:v>
                </c:pt>
                <c:pt idx="10">
                  <c:v>15300</c:v>
                </c:pt>
                <c:pt idx="11">
                  <c:v>15670</c:v>
                </c:pt>
                <c:pt idx="12">
                  <c:v>15920</c:v>
                </c:pt>
                <c:pt idx="13">
                  <c:v>4945</c:v>
                </c:pt>
                <c:pt idx="14">
                  <c:v>6050</c:v>
                </c:pt>
                <c:pt idx="15">
                  <c:v>10050</c:v>
                </c:pt>
                <c:pt idx="16">
                  <c:v>6802</c:v>
                </c:pt>
                <c:pt idx="17">
                  <c:v>9920</c:v>
                </c:pt>
                <c:pt idx="18">
                  <c:v>10650</c:v>
                </c:pt>
                <c:pt idx="19">
                  <c:v>19290</c:v>
                </c:pt>
                <c:pt idx="20">
                  <c:v>27700</c:v>
                </c:pt>
                <c:pt idx="21">
                  <c:v>10110</c:v>
                </c:pt>
                <c:pt idx="22">
                  <c:v>14450</c:v>
                </c:pt>
                <c:pt idx="23">
                  <c:v>5220</c:v>
                </c:pt>
                <c:pt idx="24">
                  <c:v>5470</c:v>
                </c:pt>
                <c:pt idx="25">
                  <c:v>3915</c:v>
                </c:pt>
                <c:pt idx="26">
                  <c:v>6870</c:v>
                </c:pt>
                <c:pt idx="27">
                  <c:v>4230</c:v>
                </c:pt>
                <c:pt idx="28">
                  <c:v>7520</c:v>
                </c:pt>
                <c:pt idx="29">
                  <c:v>6050</c:v>
                </c:pt>
                <c:pt idx="30">
                  <c:v>5480</c:v>
                </c:pt>
                <c:pt idx="31">
                  <c:v>6280</c:v>
                </c:pt>
                <c:pt idx="32">
                  <c:v>15480</c:v>
                </c:pt>
              </c:numCache>
            </c:numRef>
          </c:val>
        </c:ser>
        <c:ser>
          <c:idx val="0"/>
          <c:order val="1"/>
          <c:tx>
            <c:v/>
          </c:tx>
          <c:spPr>
            <a:solidFill>
              <a:srgbClr val="C0C0C0"/>
            </a:solidFill>
            <a:ln w="12700">
              <a:solidFill>
                <a:srgbClr val="000000"/>
              </a:solidFill>
              <a:prstDash val="solid"/>
            </a:ln>
          </c:spPr>
          <c:invertIfNegative val="0"/>
          <c:cat>
            <c:numRef>
              <c:f>'Catch_Escapement Data'!$A$54:$A$86</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Data'!$C$54:$C$86</c:f>
              <c:numCache>
                <c:formatCode>#,##0</c:formatCode>
                <c:ptCount val="33"/>
                <c:pt idx="0">
                  <c:v>10964.724093749999</c:v>
                </c:pt>
                <c:pt idx="1">
                  <c:v>7398.0341876190532</c:v>
                </c:pt>
                <c:pt idx="3">
                  <c:v>7305.9263485714255</c:v>
                </c:pt>
                <c:pt idx="4">
                  <c:v>9370.0138746666598</c:v>
                </c:pt>
                <c:pt idx="5">
                  <c:v>3483.3823206451616</c:v>
                </c:pt>
                <c:pt idx="6">
                  <c:v>6363.9396100000022</c:v>
                </c:pt>
                <c:pt idx="7">
                  <c:v>1664.5295875675677</c:v>
                </c:pt>
                <c:pt idx="8">
                  <c:v>7903.7236924422314</c:v>
                </c:pt>
                <c:pt idx="9">
                  <c:v>17008.220035610553</c:v>
                </c:pt>
                <c:pt idx="10">
                  <c:v>15376.580432960342</c:v>
                </c:pt>
                <c:pt idx="11">
                  <c:v>14627.286861220649</c:v>
                </c:pt>
                <c:pt idx="12">
                  <c:v>30109.870411608859</c:v>
                </c:pt>
                <c:pt idx="13">
                  <c:v>15104.459928559276</c:v>
                </c:pt>
                <c:pt idx="14">
                  <c:v>7074.9686336538462</c:v>
                </c:pt>
                <c:pt idx="15">
                  <c:v>2781.3509854027516</c:v>
                </c:pt>
                <c:pt idx="16">
                  <c:v>5910.6912592145454</c:v>
                </c:pt>
                <c:pt idx="17">
                  <c:v>10348.749160845062</c:v>
                </c:pt>
                <c:pt idx="18">
                  <c:v>6004.0087996874972</c:v>
                </c:pt>
                <c:pt idx="19">
                  <c:v>4048.4054414634797</c:v>
                </c:pt>
                <c:pt idx="20">
                  <c:v>13468.621889380582</c:v>
                </c:pt>
                <c:pt idx="21">
                  <c:v>12178.241481890531</c:v>
                </c:pt>
                <c:pt idx="22">
                  <c:v>7932.1244014004769</c:v>
                </c:pt>
                <c:pt idx="23">
                  <c:v>2899.1893495575223</c:v>
                </c:pt>
                <c:pt idx="24">
                  <c:v>6270.6875726886228</c:v>
                </c:pt>
                <c:pt idx="25">
                  <c:v>1869.0850097283762</c:v>
                </c:pt>
                <c:pt idx="26">
                  <c:v>3618.5646731159577</c:v>
                </c:pt>
                <c:pt idx="27">
                  <c:v>2280.7571149367091</c:v>
                </c:pt>
                <c:pt idx="28">
                  <c:v>7845.4991998376936</c:v>
                </c:pt>
                <c:pt idx="29">
                  <c:v>2257.4466386363638</c:v>
                </c:pt>
                <c:pt idx="30">
                  <c:v>979.64220288319086</c:v>
                </c:pt>
                <c:pt idx="31">
                  <c:v>7266.9495325000007</c:v>
                </c:pt>
                <c:pt idx="32">
                  <c:v>6867.170445164742</c:v>
                </c:pt>
              </c:numCache>
            </c:numRef>
          </c:val>
        </c:ser>
        <c:ser>
          <c:idx val="1"/>
          <c:order val="2"/>
          <c:tx>
            <c:v/>
          </c:tx>
          <c:spPr>
            <a:solidFill>
              <a:srgbClr val="FFFFFF"/>
            </a:solidFill>
            <a:ln w="12700">
              <a:solidFill>
                <a:srgbClr val="000000"/>
              </a:solidFill>
              <a:prstDash val="solid"/>
            </a:ln>
          </c:spPr>
          <c:invertIfNegative val="0"/>
          <c:cat>
            <c:numRef>
              <c:f>'Catch_Escapement Data'!$A$54:$A$86</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Data'!$B$54:$B$86</c:f>
              <c:numCache>
                <c:formatCode>#,##0</c:formatCode>
                <c:ptCount val="33"/>
                <c:pt idx="0">
                  <c:v>14139.742350000006</c:v>
                </c:pt>
                <c:pt idx="1">
                  <c:v>17176.461926666681</c:v>
                </c:pt>
                <c:pt idx="3">
                  <c:v>10861.480585714284</c:v>
                </c:pt>
                <c:pt idx="4">
                  <c:v>13565.22991599998</c:v>
                </c:pt>
                <c:pt idx="5">
                  <c:v>7210.7570332258092</c:v>
                </c:pt>
                <c:pt idx="6">
                  <c:v>6060.4003293750011</c:v>
                </c:pt>
                <c:pt idx="7">
                  <c:v>10582.789888648653</c:v>
                </c:pt>
                <c:pt idx="8">
                  <c:v>15006.906562552591</c:v>
                </c:pt>
                <c:pt idx="9">
                  <c:v>6448.5848185505256</c:v>
                </c:pt>
                <c:pt idx="10">
                  <c:v>15318.194687812569</c:v>
                </c:pt>
                <c:pt idx="11">
                  <c:v>19308.334788727647</c:v>
                </c:pt>
                <c:pt idx="12">
                  <c:v>27339.017989400378</c:v>
                </c:pt>
                <c:pt idx="13">
                  <c:v>8765.6907583897864</c:v>
                </c:pt>
                <c:pt idx="14">
                  <c:v>10528.730040144168</c:v>
                </c:pt>
                <c:pt idx="15">
                  <c:v>2452.8423084848455</c:v>
                </c:pt>
                <c:pt idx="16">
                  <c:v>10424.447558787861</c:v>
                </c:pt>
                <c:pt idx="17">
                  <c:v>12876.411924788617</c:v>
                </c:pt>
                <c:pt idx="18">
                  <c:v>4810.7035637946483</c:v>
                </c:pt>
                <c:pt idx="19">
                  <c:v>8814.3456853610987</c:v>
                </c:pt>
                <c:pt idx="20">
                  <c:v>8649.799148571401</c:v>
                </c:pt>
                <c:pt idx="21">
                  <c:v>6822.780148593728</c:v>
                </c:pt>
                <c:pt idx="22">
                  <c:v>10791.879529411573</c:v>
                </c:pt>
                <c:pt idx="23">
                  <c:v>4638.6855929203448</c:v>
                </c:pt>
                <c:pt idx="24">
                  <c:v>4081.5165299999962</c:v>
                </c:pt>
                <c:pt idx="25">
                  <c:v>2937.46540720339</c:v>
                </c:pt>
                <c:pt idx="26">
                  <c:v>3878.1945390909154</c:v>
                </c:pt>
                <c:pt idx="27">
                  <c:v>2806.6890000000003</c:v>
                </c:pt>
                <c:pt idx="28">
                  <c:v>6451.0321920064944</c:v>
                </c:pt>
                <c:pt idx="29">
                  <c:v>3721.6134204545397</c:v>
                </c:pt>
                <c:pt idx="30">
                  <c:v>2070.8644198484849</c:v>
                </c:pt>
                <c:pt idx="31">
                  <c:v>7520.6314891346174</c:v>
                </c:pt>
                <c:pt idx="32">
                  <c:v>4301.1241040387176</c:v>
                </c:pt>
              </c:numCache>
            </c:numRef>
          </c:val>
        </c:ser>
        <c:dLbls>
          <c:showLegendKey val="0"/>
          <c:showVal val="0"/>
          <c:showCatName val="0"/>
          <c:showSerName val="0"/>
          <c:showPercent val="0"/>
          <c:showBubbleSize val="0"/>
        </c:dLbls>
        <c:gapWidth val="80"/>
        <c:overlap val="100"/>
        <c:axId val="218674304"/>
        <c:axId val="218675840"/>
      </c:barChart>
      <c:lineChart>
        <c:grouping val="standard"/>
        <c:varyColors val="0"/>
        <c:ser>
          <c:idx val="3"/>
          <c:order val="3"/>
          <c:tx>
            <c:v/>
          </c:tx>
          <c:spPr>
            <a:ln w="25400">
              <a:solidFill>
                <a:srgbClr val="000000"/>
              </a:solidFill>
              <a:prstDash val="solid"/>
            </a:ln>
          </c:spPr>
          <c:marker>
            <c:symbol val="none"/>
          </c:marker>
          <c:cat>
            <c:strRef>
              <c:f>ChilkatTable!$A$3:$A$36</c:f>
              <c:strCache>
                <c:ptCount val="34"/>
                <c:pt idx="2">
                  <c:v>Year</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pt idx="27">
                  <c:v>2011</c:v>
                </c:pt>
                <c:pt idx="28">
                  <c:v>2012</c:v>
                </c:pt>
                <c:pt idx="29">
                  <c:v>2013</c:v>
                </c:pt>
                <c:pt idx="30">
                  <c:v>2014</c:v>
                </c:pt>
                <c:pt idx="31">
                  <c:v>2015</c:v>
                </c:pt>
                <c:pt idx="32">
                  <c:v>2016</c:v>
                </c:pt>
                <c:pt idx="33">
                  <c:v>2017</c:v>
                </c:pt>
              </c:strCache>
            </c:strRef>
          </c:cat>
          <c:val>
            <c:numRef>
              <c:f>'Catch_Escapement Data'!$E$54:$E$86</c:f>
              <c:numCache>
                <c:formatCode>#,##0</c:formatCode>
                <c:ptCount val="33"/>
                <c:pt idx="0">
                  <c:v>3600</c:v>
                </c:pt>
                <c:pt idx="1">
                  <c:v>3600</c:v>
                </c:pt>
                <c:pt idx="2">
                  <c:v>3600</c:v>
                </c:pt>
                <c:pt idx="3">
                  <c:v>3600</c:v>
                </c:pt>
                <c:pt idx="4">
                  <c:v>3600</c:v>
                </c:pt>
                <c:pt idx="5">
                  <c:v>3600</c:v>
                </c:pt>
                <c:pt idx="6">
                  <c:v>3600</c:v>
                </c:pt>
                <c:pt idx="7">
                  <c:v>3600</c:v>
                </c:pt>
                <c:pt idx="8">
                  <c:v>3600</c:v>
                </c:pt>
                <c:pt idx="9">
                  <c:v>3600</c:v>
                </c:pt>
                <c:pt idx="10">
                  <c:v>3600</c:v>
                </c:pt>
                <c:pt idx="11">
                  <c:v>3600</c:v>
                </c:pt>
                <c:pt idx="12">
                  <c:v>3600</c:v>
                </c:pt>
                <c:pt idx="13">
                  <c:v>3600</c:v>
                </c:pt>
                <c:pt idx="14">
                  <c:v>3600</c:v>
                </c:pt>
                <c:pt idx="15">
                  <c:v>3600</c:v>
                </c:pt>
                <c:pt idx="16">
                  <c:v>3600</c:v>
                </c:pt>
                <c:pt idx="17">
                  <c:v>3600</c:v>
                </c:pt>
                <c:pt idx="18">
                  <c:v>3600</c:v>
                </c:pt>
                <c:pt idx="19">
                  <c:v>3600</c:v>
                </c:pt>
                <c:pt idx="20">
                  <c:v>3600</c:v>
                </c:pt>
                <c:pt idx="21">
                  <c:v>3600</c:v>
                </c:pt>
                <c:pt idx="22">
                  <c:v>3600</c:v>
                </c:pt>
                <c:pt idx="23">
                  <c:v>3600</c:v>
                </c:pt>
                <c:pt idx="24">
                  <c:v>3600</c:v>
                </c:pt>
                <c:pt idx="25">
                  <c:v>3600</c:v>
                </c:pt>
                <c:pt idx="26">
                  <c:v>3600</c:v>
                </c:pt>
                <c:pt idx="27">
                  <c:v>3600</c:v>
                </c:pt>
                <c:pt idx="28">
                  <c:v>3600</c:v>
                </c:pt>
                <c:pt idx="29">
                  <c:v>3600</c:v>
                </c:pt>
                <c:pt idx="30">
                  <c:v>3600</c:v>
                </c:pt>
                <c:pt idx="31">
                  <c:v>3600</c:v>
                </c:pt>
                <c:pt idx="32">
                  <c:v>3600</c:v>
                </c:pt>
              </c:numCache>
            </c:numRef>
          </c:val>
          <c:smooth val="0"/>
        </c:ser>
        <c:ser>
          <c:idx val="4"/>
          <c:order val="4"/>
          <c:tx>
            <c:v/>
          </c:tx>
          <c:spPr>
            <a:ln w="25400">
              <a:solidFill>
                <a:srgbClr val="000000"/>
              </a:solidFill>
              <a:prstDash val="solid"/>
            </a:ln>
          </c:spPr>
          <c:marker>
            <c:symbol val="none"/>
          </c:marker>
          <c:cat>
            <c:strRef>
              <c:f>ChilkatTable!$A$3:$A$36</c:f>
              <c:strCache>
                <c:ptCount val="34"/>
                <c:pt idx="2">
                  <c:v>Year</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pt idx="27">
                  <c:v>2011</c:v>
                </c:pt>
                <c:pt idx="28">
                  <c:v>2012</c:v>
                </c:pt>
                <c:pt idx="29">
                  <c:v>2013</c:v>
                </c:pt>
                <c:pt idx="30">
                  <c:v>2014</c:v>
                </c:pt>
                <c:pt idx="31">
                  <c:v>2015</c:v>
                </c:pt>
                <c:pt idx="32">
                  <c:v>2016</c:v>
                </c:pt>
                <c:pt idx="33">
                  <c:v>2017</c:v>
                </c:pt>
              </c:strCache>
            </c:strRef>
          </c:cat>
          <c:val>
            <c:numRef>
              <c:f>'Catch_Escapement Data'!$F$54:$F$86</c:f>
              <c:numCache>
                <c:formatCode>#,##0</c:formatCode>
                <c:ptCount val="33"/>
                <c:pt idx="0">
                  <c:v>8100</c:v>
                </c:pt>
                <c:pt idx="1">
                  <c:v>8100</c:v>
                </c:pt>
                <c:pt idx="2">
                  <c:v>8100</c:v>
                </c:pt>
                <c:pt idx="3">
                  <c:v>8100</c:v>
                </c:pt>
                <c:pt idx="4">
                  <c:v>8100</c:v>
                </c:pt>
                <c:pt idx="5">
                  <c:v>8100</c:v>
                </c:pt>
                <c:pt idx="6">
                  <c:v>8100</c:v>
                </c:pt>
                <c:pt idx="7">
                  <c:v>8100</c:v>
                </c:pt>
                <c:pt idx="8">
                  <c:v>8100</c:v>
                </c:pt>
                <c:pt idx="9">
                  <c:v>8100</c:v>
                </c:pt>
                <c:pt idx="10">
                  <c:v>8100</c:v>
                </c:pt>
                <c:pt idx="11">
                  <c:v>8100</c:v>
                </c:pt>
                <c:pt idx="12">
                  <c:v>8100</c:v>
                </c:pt>
                <c:pt idx="13">
                  <c:v>8100</c:v>
                </c:pt>
                <c:pt idx="14">
                  <c:v>8100</c:v>
                </c:pt>
                <c:pt idx="15">
                  <c:v>8100</c:v>
                </c:pt>
                <c:pt idx="16">
                  <c:v>8100</c:v>
                </c:pt>
                <c:pt idx="17">
                  <c:v>8100</c:v>
                </c:pt>
                <c:pt idx="18">
                  <c:v>8100</c:v>
                </c:pt>
                <c:pt idx="19">
                  <c:v>8100</c:v>
                </c:pt>
                <c:pt idx="20">
                  <c:v>8100</c:v>
                </c:pt>
                <c:pt idx="21">
                  <c:v>8100</c:v>
                </c:pt>
                <c:pt idx="22">
                  <c:v>8100</c:v>
                </c:pt>
                <c:pt idx="23">
                  <c:v>8100</c:v>
                </c:pt>
                <c:pt idx="24">
                  <c:v>8100</c:v>
                </c:pt>
                <c:pt idx="25">
                  <c:v>8100</c:v>
                </c:pt>
                <c:pt idx="26">
                  <c:v>8100</c:v>
                </c:pt>
                <c:pt idx="27">
                  <c:v>8100</c:v>
                </c:pt>
                <c:pt idx="28">
                  <c:v>8100</c:v>
                </c:pt>
                <c:pt idx="29">
                  <c:v>8100</c:v>
                </c:pt>
                <c:pt idx="30">
                  <c:v>8100</c:v>
                </c:pt>
                <c:pt idx="31">
                  <c:v>8100</c:v>
                </c:pt>
                <c:pt idx="32">
                  <c:v>8100</c:v>
                </c:pt>
              </c:numCache>
            </c:numRef>
          </c:val>
          <c:smooth val="0"/>
        </c:ser>
        <c:dLbls>
          <c:showLegendKey val="0"/>
          <c:showVal val="0"/>
          <c:showCatName val="0"/>
          <c:showSerName val="0"/>
          <c:showPercent val="0"/>
          <c:showBubbleSize val="0"/>
        </c:dLbls>
        <c:marker val="1"/>
        <c:smooth val="0"/>
        <c:axId val="218674304"/>
        <c:axId val="218675840"/>
      </c:lineChart>
      <c:catAx>
        <c:axId val="218674304"/>
        <c:scaling>
          <c:orientation val="minMax"/>
        </c:scaling>
        <c:delete val="0"/>
        <c:axPos val="b"/>
        <c:numFmt formatCode="0" sourceLinked="0"/>
        <c:majorTickMark val="out"/>
        <c:minorTickMark val="none"/>
        <c:tickLblPos val="nextTo"/>
        <c:spPr>
          <a:ln w="12700">
            <a:solidFill>
              <a:srgbClr val="000000"/>
            </a:solidFill>
            <a:prstDash val="solid"/>
          </a:ln>
        </c:spPr>
        <c:txPr>
          <a:bodyPr rot="-5400000" vert="horz"/>
          <a:lstStyle/>
          <a:p>
            <a:pPr>
              <a:defRPr sz="500" b="1" i="0" u="none" strike="noStrike" baseline="0">
                <a:solidFill>
                  <a:srgbClr val="FFFFFF"/>
                </a:solidFill>
                <a:latin typeface="Arial"/>
                <a:ea typeface="Arial"/>
                <a:cs typeface="Arial"/>
              </a:defRPr>
            </a:pPr>
            <a:endParaRPr lang="en-US"/>
          </a:p>
        </c:txPr>
        <c:crossAx val="218675840"/>
        <c:crosses val="autoZero"/>
        <c:auto val="0"/>
        <c:lblAlgn val="ctr"/>
        <c:lblOffset val="100"/>
        <c:tickLblSkip val="1"/>
        <c:tickMarkSkip val="1"/>
        <c:noMultiLvlLbl val="0"/>
      </c:catAx>
      <c:valAx>
        <c:axId val="218675840"/>
        <c:scaling>
          <c:orientation val="minMax"/>
          <c:max val="750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1.5922180343570797E-3"/>
              <c:y val="0.25478201363443431"/>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18674304"/>
        <c:crosses val="autoZero"/>
        <c:crossBetween val="between"/>
        <c:majorUnit val="10000"/>
      </c:valAx>
      <c:spPr>
        <a:noFill/>
        <a:ln w="25400">
          <a:noFill/>
        </a:ln>
      </c:spPr>
    </c:plotArea>
    <c:legend>
      <c:legendPos val="r"/>
      <c:legendEntry>
        <c:idx val="4"/>
        <c:delete val="1"/>
      </c:legendEntry>
      <c:layout>
        <c:manualLayout>
          <c:xMode val="edge"/>
          <c:yMode val="edge"/>
          <c:x val="0.7431433866975159"/>
          <c:y val="9.6215101825143146E-2"/>
          <c:w val="0.25527418077479658"/>
          <c:h val="0.42768916261704903"/>
        </c:manualLayout>
      </c:layout>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22" r="0.75000000000000022" t="1" header="0.5" footer="0.5"/>
    <c:pageSetup/>
  </c:printSettings>
  <c:userShapes r:id="rId1"/>
</c:chartSpace>
</file>

<file path=xl/charts/chart9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0" i="0" u="none" strike="noStrike" baseline="0">
                <a:solidFill>
                  <a:srgbClr val="000000"/>
                </a:solidFill>
                <a:latin typeface="Arial"/>
                <a:ea typeface="Arial"/>
                <a:cs typeface="Arial"/>
              </a:defRPr>
            </a:pPr>
            <a:r>
              <a:rPr lang="en-US"/>
              <a:t>Chilkat River</a:t>
            </a:r>
          </a:p>
        </c:rich>
      </c:tx>
      <c:layout>
        <c:manualLayout>
          <c:xMode val="edge"/>
          <c:yMode val="edge"/>
          <c:x val="0.4503937007874016"/>
          <c:y val="1.4952910297977458E-3"/>
        </c:manualLayout>
      </c:layout>
      <c:overlay val="0"/>
      <c:spPr>
        <a:noFill/>
        <a:ln w="25400">
          <a:noFill/>
        </a:ln>
      </c:spPr>
    </c:title>
    <c:autoTitleDeleted val="0"/>
    <c:plotArea>
      <c:layout>
        <c:manualLayout>
          <c:layoutTarget val="inner"/>
          <c:xMode val="edge"/>
          <c:yMode val="edge"/>
          <c:x val="0.15223097112860892"/>
          <c:y val="3.1234373481092641E-2"/>
          <c:w val="0.82572178477690283"/>
          <c:h val="0.74128161757558086"/>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ChilkatTable!$O$6:$O$36</c:f>
              <c:numCache>
                <c:formatCode>#,##0</c:formatCode>
                <c:ptCount val="31"/>
                <c:pt idx="0">
                  <c:v>37432.148331849698</c:v>
                </c:pt>
                <c:pt idx="1">
                  <c:v>29495.053088079232</c:v>
                </c:pt>
                <c:pt idx="2">
                  <c:v>48833.314804892871</c:v>
                </c:pt>
                <c:pt idx="3">
                  <c:v>79807</c:v>
                </c:pt>
                <c:pt idx="4">
                  <c:v>84516.611642352465</c:v>
                </c:pt>
                <c:pt idx="5">
                  <c:v>77588.469183807058</c:v>
                </c:pt>
                <c:pt idx="6">
                  <c:v>58216.575707485921</c:v>
                </c:pt>
                <c:pt idx="7">
                  <c:v>194425.20171286893</c:v>
                </c:pt>
                <c:pt idx="8">
                  <c:v>56736.778289155831</c:v>
                </c:pt>
                <c:pt idx="9">
                  <c:v>37331.253053327193</c:v>
                </c:pt>
                <c:pt idx="10">
                  <c:v>43519.496802707559</c:v>
                </c:pt>
                <c:pt idx="11">
                  <c:v>50758</c:v>
                </c:pt>
                <c:pt idx="12">
                  <c:v>57140.359403245857</c:v>
                </c:pt>
                <c:pt idx="13">
                  <c:v>84843</c:v>
                </c:pt>
                <c:pt idx="14">
                  <c:v>107697</c:v>
                </c:pt>
                <c:pt idx="15">
                  <c:v>204925</c:v>
                </c:pt>
                <c:pt idx="16">
                  <c:v>133109</c:v>
                </c:pt>
                <c:pt idx="17">
                  <c:v>67053</c:v>
                </c:pt>
                <c:pt idx="18">
                  <c:v>34575</c:v>
                </c:pt>
                <c:pt idx="19">
                  <c:v>79050</c:v>
                </c:pt>
                <c:pt idx="20">
                  <c:v>24770</c:v>
                </c:pt>
                <c:pt idx="21">
                  <c:v>56369</c:v>
                </c:pt>
                <c:pt idx="22">
                  <c:v>47911</c:v>
                </c:pt>
                <c:pt idx="23">
                  <c:v>84909</c:v>
                </c:pt>
                <c:pt idx="24">
                  <c:v>61099</c:v>
                </c:pt>
                <c:pt idx="25">
                  <c:v>36961</c:v>
                </c:pt>
                <c:pt idx="26">
                  <c:v>51324</c:v>
                </c:pt>
                <c:pt idx="27">
                  <c:v>130200</c:v>
                </c:pt>
                <c:pt idx="28">
                  <c:v>47372</c:v>
                </c:pt>
                <c:pt idx="29">
                  <c:v>26280</c:v>
                </c:pt>
                <c:pt idx="30">
                  <c:v>34482</c:v>
                </c:pt>
              </c:numCache>
            </c:numRef>
          </c:val>
        </c:ser>
        <c:ser>
          <c:idx val="0"/>
          <c:order val="1"/>
          <c:tx>
            <c:v/>
          </c:tx>
          <c:spPr>
            <a:solidFill>
              <a:srgbClr val="C0C0C0"/>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ChilkatTable!$N$6:$N$36</c:f>
              <c:numCache>
                <c:formatCode>General_)</c:formatCode>
                <c:ptCount val="31"/>
                <c:pt idx="13" formatCode="#,##0">
                  <c:v>20347</c:v>
                </c:pt>
                <c:pt idx="14" formatCode="#,##0">
                  <c:v>17703</c:v>
                </c:pt>
                <c:pt idx="15" formatCode="#,##0">
                  <c:v>73335</c:v>
                </c:pt>
                <c:pt idx="16" formatCode="#,##0">
                  <c:v>34376</c:v>
                </c:pt>
                <c:pt idx="17" formatCode="#,##0">
                  <c:v>45369</c:v>
                </c:pt>
                <c:pt idx="18" formatCode="#,##0">
                  <c:v>13216</c:v>
                </c:pt>
                <c:pt idx="19" formatCode="#,##0">
                  <c:v>29157</c:v>
                </c:pt>
                <c:pt idx="20" formatCode="#,##0">
                  <c:v>4193</c:v>
                </c:pt>
                <c:pt idx="21" formatCode="#,##0">
                  <c:v>30773</c:v>
                </c:pt>
                <c:pt idx="22" formatCode="#,##0">
                  <c:v>18254</c:v>
                </c:pt>
                <c:pt idx="23" formatCode="#,##0">
                  <c:v>40405</c:v>
                </c:pt>
                <c:pt idx="24" formatCode="#,##0">
                  <c:v>17292</c:v>
                </c:pt>
                <c:pt idx="25" formatCode="#,##0">
                  <c:v>16715</c:v>
                </c:pt>
                <c:pt idx="26" formatCode="#,##0">
                  <c:v>44794</c:v>
                </c:pt>
                <c:pt idx="27" formatCode="#,##0">
                  <c:v>15453</c:v>
                </c:pt>
                <c:pt idx="28" formatCode="#,##0">
                  <c:v>13886</c:v>
                </c:pt>
                <c:pt idx="29" formatCode="#,##0">
                  <c:v>11830</c:v>
                </c:pt>
                <c:pt idx="30" formatCode="#,##0">
                  <c:v>12197</c:v>
                </c:pt>
              </c:numCache>
            </c:numRef>
          </c:val>
        </c:ser>
        <c:ser>
          <c:idx val="1"/>
          <c:order val="2"/>
          <c:tx>
            <c:v/>
          </c:tx>
          <c:spPr>
            <a:solidFill>
              <a:srgbClr val="FFFFFF"/>
            </a:solidFill>
            <a:ln w="12700">
              <a:solidFill>
                <a:srgbClr val="000000"/>
              </a:solidFill>
              <a:prstDash val="solid"/>
            </a:ln>
          </c:spPr>
          <c:invertIfNegative val="0"/>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ChilkatTable!$M$6:$M$36</c:f>
              <c:numCache>
                <c:formatCode>General_)</c:formatCode>
                <c:ptCount val="31"/>
                <c:pt idx="13" formatCode="#,##0">
                  <c:v>19988</c:v>
                </c:pt>
                <c:pt idx="14" formatCode="#,##0">
                  <c:v>30465</c:v>
                </c:pt>
                <c:pt idx="15" formatCode="#,##0">
                  <c:v>61724</c:v>
                </c:pt>
                <c:pt idx="16" formatCode="#,##0">
                  <c:v>51629</c:v>
                </c:pt>
                <c:pt idx="17" formatCode="#,##0">
                  <c:v>82827</c:v>
                </c:pt>
                <c:pt idx="18" formatCode="#,##0">
                  <c:v>17409</c:v>
                </c:pt>
                <c:pt idx="19" formatCode="#,##0">
                  <c:v>37077</c:v>
                </c:pt>
                <c:pt idx="20" formatCode="#,##0">
                  <c:v>9307</c:v>
                </c:pt>
                <c:pt idx="21" formatCode="#,##0">
                  <c:v>20999</c:v>
                </c:pt>
                <c:pt idx="22" formatCode="#,##0">
                  <c:v>11931</c:v>
                </c:pt>
                <c:pt idx="23" formatCode="#,##0">
                  <c:v>29028</c:v>
                </c:pt>
                <c:pt idx="24" formatCode="#,##0">
                  <c:v>19329</c:v>
                </c:pt>
                <c:pt idx="25" formatCode="#,##0">
                  <c:v>11421</c:v>
                </c:pt>
                <c:pt idx="26" formatCode="#,##0">
                  <c:v>25419</c:v>
                </c:pt>
                <c:pt idx="27" formatCode="#,##0">
                  <c:v>10792</c:v>
                </c:pt>
                <c:pt idx="28" formatCode="#,##0">
                  <c:v>10558</c:v>
                </c:pt>
                <c:pt idx="29" formatCode="#,##0">
                  <c:v>2412</c:v>
                </c:pt>
                <c:pt idx="30" formatCode="#,##0">
                  <c:v>5868</c:v>
                </c:pt>
              </c:numCache>
            </c:numRef>
          </c:val>
        </c:ser>
        <c:dLbls>
          <c:showLegendKey val="0"/>
          <c:showVal val="0"/>
          <c:showCatName val="0"/>
          <c:showSerName val="0"/>
          <c:showPercent val="0"/>
          <c:showBubbleSize val="0"/>
        </c:dLbls>
        <c:gapWidth val="80"/>
        <c:overlap val="100"/>
        <c:axId val="219141632"/>
        <c:axId val="219143552"/>
      </c:barChart>
      <c:lineChart>
        <c:grouping val="standard"/>
        <c:varyColors val="0"/>
        <c:ser>
          <c:idx val="3"/>
          <c:order val="3"/>
          <c:tx>
            <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ChilkatTable!$P$6:$P$36</c:f>
              <c:numCache>
                <c:formatCode>#,##0</c:formatCode>
                <c:ptCount val="31"/>
                <c:pt idx="0">
                  <c:v>30000</c:v>
                </c:pt>
                <c:pt idx="1">
                  <c:v>30000</c:v>
                </c:pt>
                <c:pt idx="2">
                  <c:v>30000</c:v>
                </c:pt>
                <c:pt idx="3">
                  <c:v>30000</c:v>
                </c:pt>
                <c:pt idx="4">
                  <c:v>30000</c:v>
                </c:pt>
                <c:pt idx="5">
                  <c:v>30000</c:v>
                </c:pt>
                <c:pt idx="6">
                  <c:v>30000</c:v>
                </c:pt>
                <c:pt idx="7">
                  <c:v>30000</c:v>
                </c:pt>
                <c:pt idx="8">
                  <c:v>30000</c:v>
                </c:pt>
                <c:pt idx="9">
                  <c:v>30000</c:v>
                </c:pt>
                <c:pt idx="10">
                  <c:v>30000</c:v>
                </c:pt>
                <c:pt idx="11">
                  <c:v>30000</c:v>
                </c:pt>
                <c:pt idx="12">
                  <c:v>30000</c:v>
                </c:pt>
                <c:pt idx="13">
                  <c:v>30000</c:v>
                </c:pt>
                <c:pt idx="14">
                  <c:v>30000</c:v>
                </c:pt>
                <c:pt idx="15">
                  <c:v>30000</c:v>
                </c:pt>
                <c:pt idx="16">
                  <c:v>30000</c:v>
                </c:pt>
                <c:pt idx="17">
                  <c:v>30000</c:v>
                </c:pt>
                <c:pt idx="18">
                  <c:v>30000</c:v>
                </c:pt>
                <c:pt idx="19">
                  <c:v>30000</c:v>
                </c:pt>
                <c:pt idx="20">
                  <c:v>30000</c:v>
                </c:pt>
                <c:pt idx="21">
                  <c:v>30000</c:v>
                </c:pt>
                <c:pt idx="22">
                  <c:v>30000</c:v>
                </c:pt>
                <c:pt idx="23">
                  <c:v>30000</c:v>
                </c:pt>
                <c:pt idx="24">
                  <c:v>30000</c:v>
                </c:pt>
                <c:pt idx="25">
                  <c:v>30000</c:v>
                </c:pt>
                <c:pt idx="26">
                  <c:v>30000</c:v>
                </c:pt>
                <c:pt idx="27">
                  <c:v>30000</c:v>
                </c:pt>
                <c:pt idx="28">
                  <c:v>30000</c:v>
                </c:pt>
                <c:pt idx="29">
                  <c:v>30000</c:v>
                </c:pt>
                <c:pt idx="30">
                  <c:v>30000</c:v>
                </c:pt>
              </c:numCache>
            </c:numRef>
          </c:val>
          <c:smooth val="0"/>
        </c:ser>
        <c:ser>
          <c:idx val="4"/>
          <c:order val="4"/>
          <c:tx>
            <c:v/>
          </c:tx>
          <c:spPr>
            <a:ln w="25400">
              <a:solidFill>
                <a:srgbClr val="000000"/>
              </a:solidFill>
              <a:prstDash val="solid"/>
            </a:ln>
          </c:spPr>
          <c:marker>
            <c:symbol val="none"/>
          </c:marker>
          <c:cat>
            <c:numRef>
              <c:f>ChilkatTable!$A$6:$A$36</c:f>
              <c:numCache>
                <c:formatCode>0</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ChilkatTable!$Q$6:$Q$36</c:f>
              <c:numCache>
                <c:formatCode>#,##0</c:formatCode>
                <c:ptCount val="31"/>
                <c:pt idx="0">
                  <c:v>70000</c:v>
                </c:pt>
                <c:pt idx="1">
                  <c:v>70000</c:v>
                </c:pt>
                <c:pt idx="2">
                  <c:v>70000</c:v>
                </c:pt>
                <c:pt idx="3">
                  <c:v>70000</c:v>
                </c:pt>
                <c:pt idx="4">
                  <c:v>70000</c:v>
                </c:pt>
                <c:pt idx="5">
                  <c:v>70000</c:v>
                </c:pt>
                <c:pt idx="6">
                  <c:v>70000</c:v>
                </c:pt>
                <c:pt idx="7">
                  <c:v>70000</c:v>
                </c:pt>
                <c:pt idx="8">
                  <c:v>70000</c:v>
                </c:pt>
                <c:pt idx="9">
                  <c:v>70000</c:v>
                </c:pt>
                <c:pt idx="10">
                  <c:v>70000</c:v>
                </c:pt>
                <c:pt idx="11">
                  <c:v>70000</c:v>
                </c:pt>
                <c:pt idx="12">
                  <c:v>70000</c:v>
                </c:pt>
                <c:pt idx="13">
                  <c:v>70000</c:v>
                </c:pt>
                <c:pt idx="14">
                  <c:v>70000</c:v>
                </c:pt>
                <c:pt idx="15">
                  <c:v>70000</c:v>
                </c:pt>
                <c:pt idx="16">
                  <c:v>70000</c:v>
                </c:pt>
                <c:pt idx="17">
                  <c:v>70000</c:v>
                </c:pt>
                <c:pt idx="18">
                  <c:v>70000</c:v>
                </c:pt>
                <c:pt idx="19">
                  <c:v>70000</c:v>
                </c:pt>
                <c:pt idx="20">
                  <c:v>70000</c:v>
                </c:pt>
                <c:pt idx="21">
                  <c:v>70000</c:v>
                </c:pt>
                <c:pt idx="22">
                  <c:v>70000</c:v>
                </c:pt>
                <c:pt idx="23">
                  <c:v>70000</c:v>
                </c:pt>
                <c:pt idx="24">
                  <c:v>70000</c:v>
                </c:pt>
                <c:pt idx="25">
                  <c:v>70000</c:v>
                </c:pt>
                <c:pt idx="26">
                  <c:v>70000</c:v>
                </c:pt>
                <c:pt idx="27">
                  <c:v>70000</c:v>
                </c:pt>
                <c:pt idx="28">
                  <c:v>70000</c:v>
                </c:pt>
                <c:pt idx="29">
                  <c:v>70000</c:v>
                </c:pt>
                <c:pt idx="30">
                  <c:v>70000</c:v>
                </c:pt>
              </c:numCache>
            </c:numRef>
          </c:val>
          <c:smooth val="0"/>
        </c:ser>
        <c:dLbls>
          <c:showLegendKey val="0"/>
          <c:showVal val="0"/>
          <c:showCatName val="0"/>
          <c:showSerName val="0"/>
          <c:showPercent val="0"/>
          <c:showBubbleSize val="0"/>
        </c:dLbls>
        <c:marker val="1"/>
        <c:smooth val="0"/>
        <c:axId val="219141632"/>
        <c:axId val="219143552"/>
      </c:lineChart>
      <c:catAx>
        <c:axId val="219141632"/>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a:t>Year</a:t>
                </a:r>
              </a:p>
            </c:rich>
          </c:tx>
          <c:layout>
            <c:manualLayout>
              <c:xMode val="edge"/>
              <c:yMode val="edge"/>
              <c:x val="0.53543307086614178"/>
              <c:y val="0.8950980392156862"/>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9143552"/>
        <c:crosses val="autoZero"/>
        <c:auto val="0"/>
        <c:lblAlgn val="ctr"/>
        <c:lblOffset val="100"/>
        <c:tickLblSkip val="1"/>
        <c:tickMarkSkip val="1"/>
        <c:noMultiLvlLbl val="0"/>
      </c:catAx>
      <c:valAx>
        <c:axId val="219143552"/>
        <c:scaling>
          <c:orientation val="minMax"/>
          <c:max val="4000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1.5748031496062992E-3"/>
              <c:y val="0.11553728578045391"/>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19141632"/>
        <c:crosses val="autoZero"/>
        <c:crossBetween val="between"/>
        <c:majorUnit val="100000"/>
      </c:valAx>
      <c:spPr>
        <a:noFill/>
        <a:ln w="25400">
          <a:noFill/>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22" r="0.75000000000000022" t="1" header="0.5" footer="0.5"/>
    <c:pageSetup/>
  </c:printSettings>
  <c:userShapes r:id="rId1"/>
</c:chartSpace>
</file>

<file path=xl/charts/chart9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82778630306993"/>
          <c:y val="2.0833339276885562E-2"/>
          <c:w val="0.85882937955439276"/>
          <c:h val="0.79697557827672549"/>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'Catch_Escapement Data'!$A$130:$A$162</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Data'!$D$130:$D$162</c:f>
              <c:numCache>
                <c:formatCode>#,##0</c:formatCode>
                <c:ptCount val="33"/>
                <c:pt idx="0">
                  <c:v>2144</c:v>
                </c:pt>
                <c:pt idx="1">
                  <c:v>1487</c:v>
                </c:pt>
                <c:pt idx="2">
                  <c:v>1407</c:v>
                </c:pt>
                <c:pt idx="3">
                  <c:v>903</c:v>
                </c:pt>
                <c:pt idx="4">
                  <c:v>1782</c:v>
                </c:pt>
                <c:pt idx="5">
                  <c:v>1117</c:v>
                </c:pt>
                <c:pt idx="6">
                  <c:v>513</c:v>
                </c:pt>
                <c:pt idx="7">
                  <c:v>433</c:v>
                </c:pt>
                <c:pt idx="8">
                  <c:v>870</c:v>
                </c:pt>
                <c:pt idx="9">
                  <c:v>1836</c:v>
                </c:pt>
                <c:pt idx="10">
                  <c:v>1426</c:v>
                </c:pt>
                <c:pt idx="11">
                  <c:v>832</c:v>
                </c:pt>
                <c:pt idx="12">
                  <c:v>1753</c:v>
                </c:pt>
                <c:pt idx="13">
                  <c:v>1781</c:v>
                </c:pt>
                <c:pt idx="14">
                  <c:v>950</c:v>
                </c:pt>
                <c:pt idx="15">
                  <c:v>732</c:v>
                </c:pt>
                <c:pt idx="16">
                  <c:v>983</c:v>
                </c:pt>
                <c:pt idx="17">
                  <c:v>1246</c:v>
                </c:pt>
                <c:pt idx="18">
                  <c:v>600</c:v>
                </c:pt>
                <c:pt idx="19">
                  <c:v>1580</c:v>
                </c:pt>
                <c:pt idx="20">
                  <c:v>3291</c:v>
                </c:pt>
                <c:pt idx="21">
                  <c:v>1510</c:v>
                </c:pt>
                <c:pt idx="22">
                  <c:v>840</c:v>
                </c:pt>
                <c:pt idx="23">
                  <c:v>1732</c:v>
                </c:pt>
                <c:pt idx="24">
                  <c:v>891</c:v>
                </c:pt>
                <c:pt idx="25">
                  <c:v>1244</c:v>
                </c:pt>
                <c:pt idx="26">
                  <c:v>1741</c:v>
                </c:pt>
                <c:pt idx="27">
                  <c:v>2281</c:v>
                </c:pt>
                <c:pt idx="28">
                  <c:v>2878</c:v>
                </c:pt>
                <c:pt idx="29">
                  <c:v>2137</c:v>
                </c:pt>
                <c:pt idx="30">
                  <c:v>1908</c:v>
                </c:pt>
                <c:pt idx="31">
                  <c:v>3048</c:v>
                </c:pt>
                <c:pt idx="32">
                  <c:v>4110</c:v>
                </c:pt>
              </c:numCache>
            </c:numRef>
          </c:val>
        </c:ser>
        <c:ser>
          <c:idx val="0"/>
          <c:order val="1"/>
          <c:tx>
            <c:strRef>
              <c:f>#REF!</c:f>
            </c:strRef>
          </c:tx>
          <c:spPr>
            <a:solidFill>
              <a:srgbClr val="C0C0C0"/>
            </a:solidFill>
            <a:ln w="12700">
              <a:solidFill>
                <a:srgbClr val="000000"/>
              </a:solidFill>
              <a:prstDash val="solid"/>
            </a:ln>
          </c:spPr>
          <c:invertIfNegative val="0"/>
          <c:cat>
            <c:numRef>
              <c:f>'Catch_Escapement Data'!$A$130:$A$162</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Data'!$C$130:$C$162</c:f>
              <c:numCache>
                <c:formatCode>_(* #,##0_);_(* \(#,##0\);_(* "-"??_);_(@_)</c:formatCode>
                <c:ptCount val="33"/>
                <c:pt idx="0">
                  <c:v>1230.5753876470587</c:v>
                </c:pt>
                <c:pt idx="1">
                  <c:v>1014.0181963656697</c:v>
                </c:pt>
                <c:pt idx="2">
                  <c:v>1350.6595404477289</c:v>
                </c:pt>
                <c:pt idx="3">
                  <c:v>669.11447398568021</c:v>
                </c:pt>
                <c:pt idx="4">
                  <c:v>985.58798862262915</c:v>
                </c:pt>
                <c:pt idx="5">
                  <c:v>469.47551346153847</c:v>
                </c:pt>
                <c:pt idx="6">
                  <c:v>553.92087272727258</c:v>
                </c:pt>
                <c:pt idx="7">
                  <c:v>754.4066980392156</c:v>
                </c:pt>
                <c:pt idx="8">
                  <c:v>2120.3495905882355</c:v>
                </c:pt>
                <c:pt idx="9">
                  <c:v>1827.4302368728897</c:v>
                </c:pt>
                <c:pt idx="10">
                  <c:v>1614.2097813915841</c:v>
                </c:pt>
                <c:pt idx="11">
                  <c:v>1182.6648083720929</c:v>
                </c:pt>
                <c:pt idx="12">
                  <c:v>3377.7121766470227</c:v>
                </c:pt>
                <c:pt idx="13">
                  <c:v>2908.8830356149738</c:v>
                </c:pt>
                <c:pt idx="14">
                  <c:v>1412.5816924618321</c:v>
                </c:pt>
                <c:pt idx="15">
                  <c:v>642.27624729458887</c:v>
                </c:pt>
                <c:pt idx="16">
                  <c:v>1616.7849101565732</c:v>
                </c:pt>
                <c:pt idx="17">
                  <c:v>1218.5799839416054</c:v>
                </c:pt>
                <c:pt idx="18">
                  <c:v>257.86700695530726</c:v>
                </c:pt>
                <c:pt idx="19">
                  <c:v>842.97839427618123</c:v>
                </c:pt>
                <c:pt idx="20">
                  <c:v>1223.4342523664409</c:v>
                </c:pt>
                <c:pt idx="21">
                  <c:v>1271.9577179381895</c:v>
                </c:pt>
                <c:pt idx="22">
                  <c:v>634.97066169912546</c:v>
                </c:pt>
                <c:pt idx="23">
                  <c:v>757.39708332706766</c:v>
                </c:pt>
                <c:pt idx="24">
                  <c:v>332.29241843391799</c:v>
                </c:pt>
                <c:pt idx="25">
                  <c:v>802.88434478455508</c:v>
                </c:pt>
                <c:pt idx="26">
                  <c:v>1319</c:v>
                </c:pt>
                <c:pt idx="27">
                  <c:v>1053</c:v>
                </c:pt>
                <c:pt idx="28">
                  <c:v>1334</c:v>
                </c:pt>
                <c:pt idx="29">
                  <c:v>1022</c:v>
                </c:pt>
                <c:pt idx="30">
                  <c:v>1434</c:v>
                </c:pt>
                <c:pt idx="31">
                  <c:v>2104</c:v>
                </c:pt>
                <c:pt idx="32">
                  <c:v>1724</c:v>
                </c:pt>
              </c:numCache>
            </c:numRef>
          </c:val>
        </c:ser>
        <c:ser>
          <c:idx val="1"/>
          <c:order val="2"/>
          <c:tx>
            <c:strRef>
              <c:f>#REF!</c:f>
            </c:strRef>
          </c:tx>
          <c:spPr>
            <a:solidFill>
              <a:srgbClr val="FFFFFF"/>
            </a:solidFill>
            <a:ln w="12700">
              <a:solidFill>
                <a:srgbClr val="000000"/>
              </a:solidFill>
              <a:prstDash val="solid"/>
            </a:ln>
          </c:spPr>
          <c:invertIfNegative val="0"/>
          <c:cat>
            <c:numRef>
              <c:f>'Catch_Escapement Data'!$A$130:$A$162</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Data'!$B$130:$B$162</c:f>
              <c:numCache>
                <c:formatCode>_(* #,##0_);_(* \(#,##0\);_(* "-"??_);_(@_)</c:formatCode>
                <c:ptCount val="33"/>
                <c:pt idx="0">
                  <c:v>2757.8227129411762</c:v>
                </c:pt>
                <c:pt idx="1">
                  <c:v>1373.619409225608</c:v>
                </c:pt>
                <c:pt idx="2">
                  <c:v>1266.002262812432</c:v>
                </c:pt>
                <c:pt idx="3">
                  <c:v>867.94892823388955</c:v>
                </c:pt>
                <c:pt idx="4">
                  <c:v>1597.6548065454551</c:v>
                </c:pt>
                <c:pt idx="5">
                  <c:v>657.25781161538475</c:v>
                </c:pt>
                <c:pt idx="6">
                  <c:v>405.92055454545448</c:v>
                </c:pt>
                <c:pt idx="7">
                  <c:v>1216.7415215686278</c:v>
                </c:pt>
                <c:pt idx="8">
                  <c:v>1803.2502211764713</c:v>
                </c:pt>
                <c:pt idx="9">
                  <c:v>2103.3371628347909</c:v>
                </c:pt>
                <c:pt idx="10">
                  <c:v>1854.4718550844138</c:v>
                </c:pt>
                <c:pt idx="11">
                  <c:v>2227.1374611627898</c:v>
                </c:pt>
                <c:pt idx="12">
                  <c:v>4333.0464887241487</c:v>
                </c:pt>
                <c:pt idx="13">
                  <c:v>2018.3078434224599</c:v>
                </c:pt>
                <c:pt idx="14">
                  <c:v>1585.4382060305347</c:v>
                </c:pt>
                <c:pt idx="15">
                  <c:v>1321.3277620440876</c:v>
                </c:pt>
                <c:pt idx="16">
                  <c:v>1771.4823739124367</c:v>
                </c:pt>
                <c:pt idx="17">
                  <c:v>1756.6023003284683</c:v>
                </c:pt>
                <c:pt idx="18">
                  <c:v>488.56200189944082</c:v>
                </c:pt>
                <c:pt idx="19">
                  <c:v>696.43144301589678</c:v>
                </c:pt>
                <c:pt idx="20">
                  <c:v>891.5136973965391</c:v>
                </c:pt>
                <c:pt idx="21">
                  <c:v>894.44455078994667</c:v>
                </c:pt>
                <c:pt idx="22">
                  <c:v>1016.5876905103869</c:v>
                </c:pt>
                <c:pt idx="23">
                  <c:v>1162.8187437705315</c:v>
                </c:pt>
                <c:pt idx="24">
                  <c:v>702.58882001747122</c:v>
                </c:pt>
                <c:pt idx="25">
                  <c:v>1262.171751366167</c:v>
                </c:pt>
                <c:pt idx="26">
                  <c:v>716</c:v>
                </c:pt>
                <c:pt idx="27">
                  <c:v>1049</c:v>
                </c:pt>
                <c:pt idx="28">
                  <c:v>1205</c:v>
                </c:pt>
                <c:pt idx="29">
                  <c:v>778</c:v>
                </c:pt>
                <c:pt idx="30">
                  <c:v>821</c:v>
                </c:pt>
                <c:pt idx="31">
                  <c:v>1754</c:v>
                </c:pt>
                <c:pt idx="32">
                  <c:v>1873</c:v>
                </c:pt>
              </c:numCache>
            </c:numRef>
          </c:val>
        </c:ser>
        <c:dLbls>
          <c:showLegendKey val="0"/>
          <c:showVal val="0"/>
          <c:showCatName val="0"/>
          <c:showSerName val="0"/>
          <c:showPercent val="0"/>
          <c:showBubbleSize val="0"/>
        </c:dLbls>
        <c:gapWidth val="80"/>
        <c:overlap val="100"/>
        <c:axId val="219208320"/>
        <c:axId val="219218688"/>
      </c:barChart>
      <c:lineChart>
        <c:grouping val="standard"/>
        <c:varyColors val="0"/>
        <c:ser>
          <c:idx val="3"/>
          <c:order val="3"/>
          <c:tx>
            <c:v/>
          </c:tx>
          <c:spPr>
            <a:ln w="25400">
              <a:solidFill>
                <a:srgbClr val="000000"/>
              </a:solidFill>
              <a:prstDash val="solid"/>
            </a:ln>
          </c:spPr>
          <c:marker>
            <c:symbol val="none"/>
          </c:marker>
          <c:cat>
            <c:numRef>
              <c:f>'Catch_Escapement Data'!$A$130:$A$162</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Data'!$F$130:$F$162</c:f>
              <c:numCache>
                <c:formatCode>#,##0</c:formatCode>
                <c:ptCount val="33"/>
                <c:pt idx="0">
                  <c:v>1600</c:v>
                </c:pt>
                <c:pt idx="1">
                  <c:v>1600</c:v>
                </c:pt>
                <c:pt idx="2">
                  <c:v>1600</c:v>
                </c:pt>
                <c:pt idx="3">
                  <c:v>1600</c:v>
                </c:pt>
                <c:pt idx="4">
                  <c:v>1600</c:v>
                </c:pt>
                <c:pt idx="5">
                  <c:v>1600</c:v>
                </c:pt>
                <c:pt idx="6">
                  <c:v>1600</c:v>
                </c:pt>
                <c:pt idx="7">
                  <c:v>1600</c:v>
                </c:pt>
                <c:pt idx="8">
                  <c:v>1600</c:v>
                </c:pt>
                <c:pt idx="9">
                  <c:v>1600</c:v>
                </c:pt>
                <c:pt idx="10">
                  <c:v>1600</c:v>
                </c:pt>
                <c:pt idx="11">
                  <c:v>1600</c:v>
                </c:pt>
                <c:pt idx="12">
                  <c:v>1600</c:v>
                </c:pt>
                <c:pt idx="13">
                  <c:v>1600</c:v>
                </c:pt>
                <c:pt idx="14">
                  <c:v>1600</c:v>
                </c:pt>
                <c:pt idx="15">
                  <c:v>1600</c:v>
                </c:pt>
                <c:pt idx="16">
                  <c:v>1600</c:v>
                </c:pt>
                <c:pt idx="17">
                  <c:v>1600</c:v>
                </c:pt>
                <c:pt idx="18">
                  <c:v>1600</c:v>
                </c:pt>
                <c:pt idx="19">
                  <c:v>1600</c:v>
                </c:pt>
                <c:pt idx="20">
                  <c:v>1600</c:v>
                </c:pt>
                <c:pt idx="21">
                  <c:v>1600</c:v>
                </c:pt>
                <c:pt idx="22">
                  <c:v>1600</c:v>
                </c:pt>
                <c:pt idx="23">
                  <c:v>1600</c:v>
                </c:pt>
                <c:pt idx="24">
                  <c:v>1600</c:v>
                </c:pt>
                <c:pt idx="25">
                  <c:v>1600</c:v>
                </c:pt>
                <c:pt idx="26">
                  <c:v>1600</c:v>
                </c:pt>
                <c:pt idx="27">
                  <c:v>1600</c:v>
                </c:pt>
                <c:pt idx="28">
                  <c:v>1600</c:v>
                </c:pt>
                <c:pt idx="29">
                  <c:v>1600</c:v>
                </c:pt>
                <c:pt idx="30">
                  <c:v>1600</c:v>
                </c:pt>
                <c:pt idx="31">
                  <c:v>1600</c:v>
                </c:pt>
                <c:pt idx="32">
                  <c:v>1600</c:v>
                </c:pt>
              </c:numCache>
            </c:numRef>
          </c:val>
          <c:smooth val="0"/>
        </c:ser>
        <c:ser>
          <c:idx val="4"/>
          <c:order val="4"/>
          <c:spPr>
            <a:ln w="25400">
              <a:solidFill>
                <a:srgbClr val="000000"/>
              </a:solidFill>
              <a:prstDash val="solid"/>
            </a:ln>
          </c:spPr>
          <c:marker>
            <c:symbol val="none"/>
          </c:marker>
          <c:cat>
            <c:numRef>
              <c:f>'Catch_Escapement Data'!$A$130:$A$162</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Data'!$E$130:$E$162</c:f>
              <c:numCache>
                <c:formatCode>#,##0</c:formatCode>
                <c:ptCount val="33"/>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numCache>
            </c:numRef>
          </c:val>
          <c:smooth val="0"/>
        </c:ser>
        <c:dLbls>
          <c:showLegendKey val="0"/>
          <c:showVal val="0"/>
          <c:showCatName val="0"/>
          <c:showSerName val="0"/>
          <c:showPercent val="0"/>
          <c:showBubbleSize val="0"/>
        </c:dLbls>
        <c:marker val="1"/>
        <c:smooth val="0"/>
        <c:axId val="219208320"/>
        <c:axId val="219218688"/>
      </c:lineChart>
      <c:catAx>
        <c:axId val="219208320"/>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a:t>Year</a:t>
                </a:r>
              </a:p>
            </c:rich>
          </c:tx>
          <c:layout>
            <c:manualLayout>
              <c:xMode val="edge"/>
              <c:yMode val="edge"/>
              <c:x val="0.53763326708762049"/>
              <c:y val="0.922463768115942"/>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9218688"/>
        <c:crosses val="autoZero"/>
        <c:auto val="0"/>
        <c:lblAlgn val="ctr"/>
        <c:lblOffset val="100"/>
        <c:tickLblSkip val="1"/>
        <c:tickMarkSkip val="1"/>
        <c:noMultiLvlLbl val="0"/>
      </c:catAx>
      <c:valAx>
        <c:axId val="219218688"/>
        <c:scaling>
          <c:orientation val="minMax"/>
          <c:max val="95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5.9319262408492868E-4"/>
              <c:y val="0.20983339039141846"/>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9208320"/>
        <c:crosses val="autoZero"/>
        <c:crossBetween val="between"/>
      </c:valAx>
      <c:spPr>
        <a:noFill/>
        <a:ln w="25400">
          <a:noFill/>
        </a:ln>
      </c:spPr>
    </c:plotArea>
    <c:legend>
      <c:legendPos val="r"/>
      <c:legendEntry>
        <c:idx val="4"/>
        <c:delete val="1"/>
      </c:legendEntry>
      <c:layout>
        <c:manualLayout>
          <c:xMode val="edge"/>
          <c:yMode val="edge"/>
          <c:x val="0.1818317358892439"/>
          <c:y val="1.3966107497432385E-2"/>
          <c:w val="0.21168272496289403"/>
          <c:h val="0.27936094944653656"/>
        </c:manualLayout>
      </c:layout>
      <c:overlay val="1"/>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22" r="0.75000000000000022" t="1" header="0.5" footer="0.5"/>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82778630306987"/>
          <c:y val="2.083333927688558E-2"/>
          <c:w val="0.8588293795543932"/>
          <c:h val="0.7969755782767256"/>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Data'!$D$93:$D$124</c:f>
              <c:numCache>
                <c:formatCode>#,##0</c:formatCode>
                <c:ptCount val="32"/>
                <c:pt idx="0">
                  <c:v>2655</c:v>
                </c:pt>
                <c:pt idx="1">
                  <c:v>1931</c:v>
                </c:pt>
                <c:pt idx="2">
                  <c:v>0</c:v>
                </c:pt>
                <c:pt idx="3">
                  <c:v>2324</c:v>
                </c:pt>
                <c:pt idx="4">
                  <c:v>1552</c:v>
                </c:pt>
                <c:pt idx="5">
                  <c:v>1694</c:v>
                </c:pt>
                <c:pt idx="6">
                  <c:v>3119</c:v>
                </c:pt>
                <c:pt idx="7">
                  <c:v>2176</c:v>
                </c:pt>
                <c:pt idx="8">
                  <c:v>2192</c:v>
                </c:pt>
                <c:pt idx="9">
                  <c:v>2761</c:v>
                </c:pt>
                <c:pt idx="10">
                  <c:v>3866</c:v>
                </c:pt>
                <c:pt idx="11">
                  <c:v>4202</c:v>
                </c:pt>
                <c:pt idx="12">
                  <c:v>3227</c:v>
                </c:pt>
                <c:pt idx="13">
                  <c:v>2446</c:v>
                </c:pt>
                <c:pt idx="14">
                  <c:v>2500</c:v>
                </c:pt>
                <c:pt idx="15">
                  <c:v>4718</c:v>
                </c:pt>
                <c:pt idx="16">
                  <c:v>7049</c:v>
                </c:pt>
                <c:pt idx="17">
                  <c:v>3800</c:v>
                </c:pt>
                <c:pt idx="18">
                  <c:v>2304</c:v>
                </c:pt>
                <c:pt idx="19">
                  <c:v>2209</c:v>
                </c:pt>
                <c:pt idx="20">
                  <c:v>7109</c:v>
                </c:pt>
                <c:pt idx="21">
                  <c:v>6789</c:v>
                </c:pt>
                <c:pt idx="22">
                  <c:v>3539</c:v>
                </c:pt>
                <c:pt idx="23">
                  <c:v>4257</c:v>
                </c:pt>
                <c:pt idx="24">
                  <c:v>4737</c:v>
                </c:pt>
                <c:pt idx="25">
                  <c:v>2567</c:v>
                </c:pt>
                <c:pt idx="26">
                  <c:v>5173</c:v>
                </c:pt>
                <c:pt idx="27">
                  <c:v>2181</c:v>
                </c:pt>
                <c:pt idx="28">
                  <c:v>1610</c:v>
                </c:pt>
                <c:pt idx="29">
                  <c:v>1908</c:v>
                </c:pt>
                <c:pt idx="30">
                  <c:v>2282</c:v>
                </c:pt>
                <c:pt idx="31">
                  <c:v>1573</c:v>
                </c:pt>
              </c:numCache>
            </c:numRef>
          </c:val>
        </c:ser>
        <c:ser>
          <c:idx val="0"/>
          <c:order val="1"/>
          <c:tx>
            <c:strRef>
              <c:f>#REF!</c:f>
            </c:strRef>
          </c:tx>
          <c:spPr>
            <a:solidFill>
              <a:srgbClr val="C0C0C0"/>
            </a:solidFill>
            <a:ln w="12700">
              <a:solidFill>
                <a:srgbClr val="000000"/>
              </a:solidFill>
              <a:prstDash val="solid"/>
            </a:ln>
          </c:spPr>
          <c:invertIfNegative val="0"/>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Data'!$C$93:$C$124</c:f>
              <c:numCache>
                <c:formatCode>#,##0</c:formatCode>
                <c:ptCount val="32"/>
                <c:pt idx="0">
                  <c:v>106</c:v>
                </c:pt>
                <c:pt idx="1">
                  <c:v>912</c:v>
                </c:pt>
                <c:pt idx="2">
                  <c:v>0</c:v>
                </c:pt>
                <c:pt idx="3">
                  <c:v>0</c:v>
                </c:pt>
                <c:pt idx="4">
                  <c:v>63</c:v>
                </c:pt>
                <c:pt idx="5">
                  <c:v>81</c:v>
                </c:pt>
                <c:pt idx="6">
                  <c:v>77</c:v>
                </c:pt>
                <c:pt idx="7">
                  <c:v>185</c:v>
                </c:pt>
                <c:pt idx="8">
                  <c:v>100</c:v>
                </c:pt>
                <c:pt idx="9">
                  <c:v>54</c:v>
                </c:pt>
                <c:pt idx="10">
                  <c:v>233</c:v>
                </c:pt>
                <c:pt idx="11">
                  <c:v>610</c:v>
                </c:pt>
                <c:pt idx="12">
                  <c:v>1404</c:v>
                </c:pt>
                <c:pt idx="13">
                  <c:v>759</c:v>
                </c:pt>
                <c:pt idx="14">
                  <c:v>281</c:v>
                </c:pt>
                <c:pt idx="15">
                  <c:v>351</c:v>
                </c:pt>
                <c:pt idx="16">
                  <c:v>1240</c:v>
                </c:pt>
                <c:pt idx="17">
                  <c:v>502</c:v>
                </c:pt>
                <c:pt idx="18">
                  <c:v>1141</c:v>
                </c:pt>
                <c:pt idx="19">
                  <c:v>595</c:v>
                </c:pt>
                <c:pt idx="20">
                  <c:v>2258</c:v>
                </c:pt>
                <c:pt idx="21">
                  <c:v>2274</c:v>
                </c:pt>
                <c:pt idx="22">
                  <c:v>843</c:v>
                </c:pt>
                <c:pt idx="23">
                  <c:v>732</c:v>
                </c:pt>
                <c:pt idx="24">
                  <c:v>1211</c:v>
                </c:pt>
                <c:pt idx="25">
                  <c:v>426</c:v>
                </c:pt>
                <c:pt idx="26">
                  <c:v>1324</c:v>
                </c:pt>
                <c:pt idx="27">
                  <c:v>341</c:v>
                </c:pt>
                <c:pt idx="28">
                  <c:v>702</c:v>
                </c:pt>
                <c:pt idx="29">
                  <c:v>6317</c:v>
                </c:pt>
                <c:pt idx="30">
                  <c:v>1013</c:v>
                </c:pt>
                <c:pt idx="31">
                  <c:v>2172</c:v>
                </c:pt>
              </c:numCache>
            </c:numRef>
          </c:val>
        </c:ser>
        <c:ser>
          <c:idx val="1"/>
          <c:order val="2"/>
          <c:tx>
            <c:strRef>
              <c:f>#REF!</c:f>
            </c:strRef>
          </c:tx>
          <c:spPr>
            <a:solidFill>
              <a:srgbClr val="FFFFFF"/>
            </a:solidFill>
            <a:ln w="12700">
              <a:solidFill>
                <a:srgbClr val="000000"/>
              </a:solidFill>
              <a:prstDash val="solid"/>
            </a:ln>
          </c:spPr>
          <c:invertIfNegative val="0"/>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Data'!$B$93:$B$124</c:f>
              <c:numCache>
                <c:formatCode>#,##0</c:formatCode>
                <c:ptCount val="32"/>
                <c:pt idx="0">
                  <c:v>1927</c:v>
                </c:pt>
                <c:pt idx="1">
                  <c:v>3344</c:v>
                </c:pt>
                <c:pt idx="2">
                  <c:v>0</c:v>
                </c:pt>
                <c:pt idx="3">
                  <c:v>2482</c:v>
                </c:pt>
                <c:pt idx="4">
                  <c:v>2483</c:v>
                </c:pt>
                <c:pt idx="5">
                  <c:v>1458</c:v>
                </c:pt>
                <c:pt idx="6">
                  <c:v>2816</c:v>
                </c:pt>
                <c:pt idx="7">
                  <c:v>3799</c:v>
                </c:pt>
                <c:pt idx="8">
                  <c:v>2982</c:v>
                </c:pt>
                <c:pt idx="9">
                  <c:v>3203</c:v>
                </c:pt>
                <c:pt idx="10">
                  <c:v>5252</c:v>
                </c:pt>
                <c:pt idx="11">
                  <c:v>7749</c:v>
                </c:pt>
                <c:pt idx="12">
                  <c:v>6856</c:v>
                </c:pt>
                <c:pt idx="13">
                  <c:v>3582</c:v>
                </c:pt>
                <c:pt idx="14">
                  <c:v>3083</c:v>
                </c:pt>
                <c:pt idx="15">
                  <c:v>4702</c:v>
                </c:pt>
                <c:pt idx="16">
                  <c:v>7835</c:v>
                </c:pt>
                <c:pt idx="17">
                  <c:v>5893</c:v>
                </c:pt>
                <c:pt idx="18">
                  <c:v>4604</c:v>
                </c:pt>
                <c:pt idx="19">
                  <c:v>5821</c:v>
                </c:pt>
                <c:pt idx="20">
                  <c:v>5751</c:v>
                </c:pt>
                <c:pt idx="21">
                  <c:v>4154</c:v>
                </c:pt>
                <c:pt idx="22">
                  <c:v>7722</c:v>
                </c:pt>
                <c:pt idx="23">
                  <c:v>5134</c:v>
                </c:pt>
                <c:pt idx="24">
                  <c:v>3866</c:v>
                </c:pt>
                <c:pt idx="25">
                  <c:v>5673</c:v>
                </c:pt>
                <c:pt idx="26">
                  <c:v>4563</c:v>
                </c:pt>
                <c:pt idx="27">
                  <c:v>4604</c:v>
                </c:pt>
                <c:pt idx="28">
                  <c:v>2151</c:v>
                </c:pt>
                <c:pt idx="29">
                  <c:v>2613</c:v>
                </c:pt>
                <c:pt idx="30">
                  <c:v>2884</c:v>
                </c:pt>
                <c:pt idx="31">
                  <c:v>3426</c:v>
                </c:pt>
              </c:numCache>
            </c:numRef>
          </c:val>
        </c:ser>
        <c:dLbls>
          <c:showLegendKey val="0"/>
          <c:showVal val="0"/>
          <c:showCatName val="0"/>
          <c:showSerName val="0"/>
          <c:showPercent val="0"/>
          <c:showBubbleSize val="0"/>
        </c:dLbls>
        <c:gapWidth val="80"/>
        <c:overlap val="100"/>
        <c:axId val="219267840"/>
        <c:axId val="219269760"/>
      </c:barChart>
      <c:lineChart>
        <c:grouping val="standard"/>
        <c:varyColors val="0"/>
        <c:ser>
          <c:idx val="3"/>
          <c:order val="3"/>
          <c:tx>
            <c:v/>
          </c:tx>
          <c:spPr>
            <a:ln w="25400">
              <a:solidFill>
                <a:srgbClr val="000000"/>
              </a:solidFill>
              <a:prstDash val="solid"/>
            </a:ln>
          </c:spPr>
          <c:marker>
            <c:symbol val="none"/>
          </c:marker>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Data'!$F$93:$F$124</c:f>
              <c:numCache>
                <c:formatCode>#,##0</c:formatCode>
                <c:ptCount val="32"/>
                <c:pt idx="0">
                  <c:v>2900</c:v>
                </c:pt>
                <c:pt idx="1">
                  <c:v>2900</c:v>
                </c:pt>
                <c:pt idx="2">
                  <c:v>2900</c:v>
                </c:pt>
                <c:pt idx="3">
                  <c:v>2900</c:v>
                </c:pt>
                <c:pt idx="4">
                  <c:v>2900</c:v>
                </c:pt>
                <c:pt idx="5">
                  <c:v>2900</c:v>
                </c:pt>
                <c:pt idx="6">
                  <c:v>2900</c:v>
                </c:pt>
                <c:pt idx="7">
                  <c:v>2900</c:v>
                </c:pt>
                <c:pt idx="8">
                  <c:v>2900</c:v>
                </c:pt>
                <c:pt idx="9">
                  <c:v>2900</c:v>
                </c:pt>
                <c:pt idx="10">
                  <c:v>2900</c:v>
                </c:pt>
                <c:pt idx="11">
                  <c:v>2900</c:v>
                </c:pt>
                <c:pt idx="12">
                  <c:v>2900</c:v>
                </c:pt>
                <c:pt idx="13">
                  <c:v>2900</c:v>
                </c:pt>
                <c:pt idx="14">
                  <c:v>2900</c:v>
                </c:pt>
                <c:pt idx="15">
                  <c:v>2900</c:v>
                </c:pt>
                <c:pt idx="16">
                  <c:v>2900</c:v>
                </c:pt>
                <c:pt idx="17">
                  <c:v>2900</c:v>
                </c:pt>
                <c:pt idx="18">
                  <c:v>2900</c:v>
                </c:pt>
                <c:pt idx="19">
                  <c:v>2900</c:v>
                </c:pt>
                <c:pt idx="20">
                  <c:v>2900</c:v>
                </c:pt>
                <c:pt idx="21">
                  <c:v>2900</c:v>
                </c:pt>
                <c:pt idx="22">
                  <c:v>2900</c:v>
                </c:pt>
                <c:pt idx="23">
                  <c:v>2900</c:v>
                </c:pt>
                <c:pt idx="24">
                  <c:v>2900</c:v>
                </c:pt>
                <c:pt idx="25">
                  <c:v>2900</c:v>
                </c:pt>
                <c:pt idx="26">
                  <c:v>2900</c:v>
                </c:pt>
                <c:pt idx="27">
                  <c:v>2900</c:v>
                </c:pt>
                <c:pt idx="28">
                  <c:v>2900</c:v>
                </c:pt>
                <c:pt idx="29">
                  <c:v>2900</c:v>
                </c:pt>
                <c:pt idx="30">
                  <c:v>2900</c:v>
                </c:pt>
                <c:pt idx="31">
                  <c:v>2900</c:v>
                </c:pt>
              </c:numCache>
            </c:numRef>
          </c:val>
          <c:smooth val="0"/>
        </c:ser>
        <c:ser>
          <c:idx val="4"/>
          <c:order val="4"/>
          <c:spPr>
            <a:ln w="25400">
              <a:solidFill>
                <a:srgbClr val="000000"/>
              </a:solidFill>
              <a:prstDash val="solid"/>
            </a:ln>
          </c:spPr>
          <c:marker>
            <c:symbol val="none"/>
          </c:marker>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Data'!$E$93:$E$124</c:f>
              <c:numCache>
                <c:formatCode>#,##0</c:formatCode>
                <c:ptCount val="32"/>
                <c:pt idx="0">
                  <c:v>1300</c:v>
                </c:pt>
                <c:pt idx="1">
                  <c:v>1300</c:v>
                </c:pt>
                <c:pt idx="2">
                  <c:v>1300</c:v>
                </c:pt>
                <c:pt idx="3">
                  <c:v>1300</c:v>
                </c:pt>
                <c:pt idx="4">
                  <c:v>1300</c:v>
                </c:pt>
                <c:pt idx="5">
                  <c:v>1300</c:v>
                </c:pt>
                <c:pt idx="6">
                  <c:v>1300</c:v>
                </c:pt>
                <c:pt idx="7">
                  <c:v>1300</c:v>
                </c:pt>
                <c:pt idx="8">
                  <c:v>1300</c:v>
                </c:pt>
                <c:pt idx="9">
                  <c:v>1300</c:v>
                </c:pt>
                <c:pt idx="10">
                  <c:v>1300</c:v>
                </c:pt>
                <c:pt idx="11">
                  <c:v>1300</c:v>
                </c:pt>
                <c:pt idx="12">
                  <c:v>1300</c:v>
                </c:pt>
                <c:pt idx="13">
                  <c:v>1300</c:v>
                </c:pt>
                <c:pt idx="14">
                  <c:v>1300</c:v>
                </c:pt>
                <c:pt idx="15">
                  <c:v>1300</c:v>
                </c:pt>
                <c:pt idx="16">
                  <c:v>1300</c:v>
                </c:pt>
                <c:pt idx="17">
                  <c:v>1300</c:v>
                </c:pt>
                <c:pt idx="18">
                  <c:v>1300</c:v>
                </c:pt>
                <c:pt idx="19">
                  <c:v>1300</c:v>
                </c:pt>
                <c:pt idx="20">
                  <c:v>1300</c:v>
                </c:pt>
                <c:pt idx="21">
                  <c:v>1300</c:v>
                </c:pt>
                <c:pt idx="22">
                  <c:v>1300</c:v>
                </c:pt>
                <c:pt idx="23">
                  <c:v>1300</c:v>
                </c:pt>
                <c:pt idx="24">
                  <c:v>1300</c:v>
                </c:pt>
                <c:pt idx="25">
                  <c:v>1300</c:v>
                </c:pt>
                <c:pt idx="26">
                  <c:v>1300</c:v>
                </c:pt>
                <c:pt idx="27">
                  <c:v>1300</c:v>
                </c:pt>
                <c:pt idx="28">
                  <c:v>1300</c:v>
                </c:pt>
                <c:pt idx="29">
                  <c:v>1300</c:v>
                </c:pt>
                <c:pt idx="30">
                  <c:v>1300</c:v>
                </c:pt>
                <c:pt idx="31">
                  <c:v>1300</c:v>
                </c:pt>
              </c:numCache>
            </c:numRef>
          </c:val>
          <c:smooth val="0"/>
        </c:ser>
        <c:dLbls>
          <c:showLegendKey val="0"/>
          <c:showVal val="0"/>
          <c:showCatName val="0"/>
          <c:showSerName val="0"/>
          <c:showPercent val="0"/>
          <c:showBubbleSize val="0"/>
        </c:dLbls>
        <c:marker val="1"/>
        <c:smooth val="0"/>
        <c:axId val="219267840"/>
        <c:axId val="219269760"/>
      </c:lineChart>
      <c:catAx>
        <c:axId val="219267840"/>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a:t>Year</a:t>
                </a:r>
              </a:p>
            </c:rich>
          </c:tx>
          <c:layout>
            <c:manualLayout>
              <c:xMode val="edge"/>
              <c:yMode val="edge"/>
              <c:x val="0.53763326708762049"/>
              <c:y val="0.92225236791053289"/>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9269760"/>
        <c:crosses val="autoZero"/>
        <c:auto val="0"/>
        <c:lblAlgn val="ctr"/>
        <c:lblOffset val="100"/>
        <c:tickLblSkip val="1"/>
        <c:tickMarkSkip val="1"/>
        <c:noMultiLvlLbl val="0"/>
      </c:catAx>
      <c:valAx>
        <c:axId val="219269760"/>
        <c:scaling>
          <c:orientation val="minMax"/>
          <c:max val="165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5.9319262408492868E-4"/>
              <c:y val="0.20983367568184413"/>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9267840"/>
        <c:crosses val="autoZero"/>
        <c:crossBetween val="between"/>
      </c:valAx>
      <c:spPr>
        <a:noFill/>
        <a:ln w="25400">
          <a:noFill/>
        </a:ln>
      </c:spPr>
    </c:plotArea>
    <c:legend>
      <c:legendPos val="r"/>
      <c:legendEntry>
        <c:idx val="4"/>
        <c:delete val="1"/>
      </c:legendEntry>
      <c:layout>
        <c:manualLayout>
          <c:xMode val="edge"/>
          <c:yMode val="edge"/>
          <c:x val="0.16053248136315229"/>
          <c:y val="3.5705237932214993E-2"/>
          <c:w val="0.21168272496289403"/>
          <c:h val="0.27936094944653656"/>
        </c:manualLayout>
      </c:layout>
      <c:overlay val="1"/>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44" r="0.75000000000000044" t="1" header="0.5" footer="0.5"/>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82778630306987"/>
          <c:y val="2.0833339276885597E-2"/>
          <c:w val="0.85882937955439365"/>
          <c:h val="0.77205354003646742"/>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Data'!$D$93:$D$124</c:f>
              <c:numCache>
                <c:formatCode>#,##0</c:formatCode>
                <c:ptCount val="32"/>
                <c:pt idx="0">
                  <c:v>2655</c:v>
                </c:pt>
                <c:pt idx="1">
                  <c:v>1931</c:v>
                </c:pt>
                <c:pt idx="2">
                  <c:v>0</c:v>
                </c:pt>
                <c:pt idx="3">
                  <c:v>2324</c:v>
                </c:pt>
                <c:pt idx="4">
                  <c:v>1552</c:v>
                </c:pt>
                <c:pt idx="5">
                  <c:v>1694</c:v>
                </c:pt>
                <c:pt idx="6">
                  <c:v>3119</c:v>
                </c:pt>
                <c:pt idx="7">
                  <c:v>2176</c:v>
                </c:pt>
                <c:pt idx="8">
                  <c:v>2192</c:v>
                </c:pt>
                <c:pt idx="9">
                  <c:v>2761</c:v>
                </c:pt>
                <c:pt idx="10">
                  <c:v>3866</c:v>
                </c:pt>
                <c:pt idx="11">
                  <c:v>4202</c:v>
                </c:pt>
                <c:pt idx="12">
                  <c:v>3227</c:v>
                </c:pt>
                <c:pt idx="13">
                  <c:v>2446</c:v>
                </c:pt>
                <c:pt idx="14">
                  <c:v>2500</c:v>
                </c:pt>
                <c:pt idx="15">
                  <c:v>4718</c:v>
                </c:pt>
                <c:pt idx="16">
                  <c:v>7049</c:v>
                </c:pt>
                <c:pt idx="17">
                  <c:v>3800</c:v>
                </c:pt>
                <c:pt idx="18">
                  <c:v>2304</c:v>
                </c:pt>
                <c:pt idx="19">
                  <c:v>2209</c:v>
                </c:pt>
                <c:pt idx="20">
                  <c:v>7109</c:v>
                </c:pt>
                <c:pt idx="21">
                  <c:v>6789</c:v>
                </c:pt>
                <c:pt idx="22">
                  <c:v>3539</c:v>
                </c:pt>
                <c:pt idx="23">
                  <c:v>4257</c:v>
                </c:pt>
                <c:pt idx="24">
                  <c:v>4737</c:v>
                </c:pt>
                <c:pt idx="25">
                  <c:v>2567</c:v>
                </c:pt>
                <c:pt idx="26">
                  <c:v>5173</c:v>
                </c:pt>
                <c:pt idx="27">
                  <c:v>2181</c:v>
                </c:pt>
                <c:pt idx="28">
                  <c:v>1610</c:v>
                </c:pt>
                <c:pt idx="29">
                  <c:v>1908</c:v>
                </c:pt>
                <c:pt idx="30">
                  <c:v>2282</c:v>
                </c:pt>
                <c:pt idx="31">
                  <c:v>1573</c:v>
                </c:pt>
              </c:numCache>
            </c:numRef>
          </c:val>
        </c:ser>
        <c:ser>
          <c:idx val="0"/>
          <c:order val="1"/>
          <c:tx>
            <c:strRef>
              <c:f>#REF!</c:f>
            </c:strRef>
          </c:tx>
          <c:spPr>
            <a:solidFill>
              <a:srgbClr val="C0C0C0"/>
            </a:solidFill>
            <a:ln w="12700">
              <a:solidFill>
                <a:srgbClr val="000000"/>
              </a:solidFill>
              <a:prstDash val="solid"/>
            </a:ln>
          </c:spPr>
          <c:invertIfNegative val="0"/>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Data'!$C$93:$C$124</c:f>
              <c:numCache>
                <c:formatCode>#,##0</c:formatCode>
                <c:ptCount val="32"/>
                <c:pt idx="0">
                  <c:v>106</c:v>
                </c:pt>
                <c:pt idx="1">
                  <c:v>912</c:v>
                </c:pt>
                <c:pt idx="2">
                  <c:v>0</c:v>
                </c:pt>
                <c:pt idx="3">
                  <c:v>0</c:v>
                </c:pt>
                <c:pt idx="4">
                  <c:v>63</c:v>
                </c:pt>
                <c:pt idx="5">
                  <c:v>81</c:v>
                </c:pt>
                <c:pt idx="6">
                  <c:v>77</c:v>
                </c:pt>
                <c:pt idx="7">
                  <c:v>185</c:v>
                </c:pt>
                <c:pt idx="8">
                  <c:v>100</c:v>
                </c:pt>
                <c:pt idx="9">
                  <c:v>54</c:v>
                </c:pt>
                <c:pt idx="10">
                  <c:v>233</c:v>
                </c:pt>
                <c:pt idx="11">
                  <c:v>610</c:v>
                </c:pt>
                <c:pt idx="12">
                  <c:v>1404</c:v>
                </c:pt>
                <c:pt idx="13">
                  <c:v>759</c:v>
                </c:pt>
                <c:pt idx="14">
                  <c:v>281</c:v>
                </c:pt>
                <c:pt idx="15">
                  <c:v>351</c:v>
                </c:pt>
                <c:pt idx="16">
                  <c:v>1240</c:v>
                </c:pt>
                <c:pt idx="17">
                  <c:v>502</c:v>
                </c:pt>
                <c:pt idx="18">
                  <c:v>1141</c:v>
                </c:pt>
                <c:pt idx="19">
                  <c:v>595</c:v>
                </c:pt>
                <c:pt idx="20">
                  <c:v>2258</c:v>
                </c:pt>
                <c:pt idx="21">
                  <c:v>2274</c:v>
                </c:pt>
                <c:pt idx="22">
                  <c:v>843</c:v>
                </c:pt>
                <c:pt idx="23">
                  <c:v>732</c:v>
                </c:pt>
                <c:pt idx="24">
                  <c:v>1211</c:v>
                </c:pt>
                <c:pt idx="25">
                  <c:v>426</c:v>
                </c:pt>
                <c:pt idx="26">
                  <c:v>1324</c:v>
                </c:pt>
                <c:pt idx="27">
                  <c:v>341</c:v>
                </c:pt>
                <c:pt idx="28">
                  <c:v>702</c:v>
                </c:pt>
                <c:pt idx="29">
                  <c:v>6317</c:v>
                </c:pt>
                <c:pt idx="30">
                  <c:v>1013</c:v>
                </c:pt>
                <c:pt idx="31">
                  <c:v>2172</c:v>
                </c:pt>
              </c:numCache>
            </c:numRef>
          </c:val>
        </c:ser>
        <c:ser>
          <c:idx val="1"/>
          <c:order val="2"/>
          <c:tx>
            <c:strRef>
              <c:f>#REF!</c:f>
            </c:strRef>
          </c:tx>
          <c:spPr>
            <a:solidFill>
              <a:srgbClr val="FFFFFF"/>
            </a:solidFill>
            <a:ln w="12700">
              <a:solidFill>
                <a:srgbClr val="000000"/>
              </a:solidFill>
              <a:prstDash val="solid"/>
            </a:ln>
          </c:spPr>
          <c:invertIfNegative val="0"/>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Data'!$B$93:$B$124</c:f>
              <c:numCache>
                <c:formatCode>#,##0</c:formatCode>
                <c:ptCount val="32"/>
                <c:pt idx="0">
                  <c:v>1927</c:v>
                </c:pt>
                <c:pt idx="1">
                  <c:v>3344</c:v>
                </c:pt>
                <c:pt idx="2">
                  <c:v>0</c:v>
                </c:pt>
                <c:pt idx="3">
                  <c:v>2482</c:v>
                </c:pt>
                <c:pt idx="4">
                  <c:v>2483</c:v>
                </c:pt>
                <c:pt idx="5">
                  <c:v>1458</c:v>
                </c:pt>
                <c:pt idx="6">
                  <c:v>2816</c:v>
                </c:pt>
                <c:pt idx="7">
                  <c:v>3799</c:v>
                </c:pt>
                <c:pt idx="8">
                  <c:v>2982</c:v>
                </c:pt>
                <c:pt idx="9">
                  <c:v>3203</c:v>
                </c:pt>
                <c:pt idx="10">
                  <c:v>5252</c:v>
                </c:pt>
                <c:pt idx="11">
                  <c:v>7749</c:v>
                </c:pt>
                <c:pt idx="12">
                  <c:v>6856</c:v>
                </c:pt>
                <c:pt idx="13">
                  <c:v>3582</c:v>
                </c:pt>
                <c:pt idx="14">
                  <c:v>3083</c:v>
                </c:pt>
                <c:pt idx="15">
                  <c:v>4702</c:v>
                </c:pt>
                <c:pt idx="16">
                  <c:v>7835</c:v>
                </c:pt>
                <c:pt idx="17">
                  <c:v>5893</c:v>
                </c:pt>
                <c:pt idx="18">
                  <c:v>4604</c:v>
                </c:pt>
                <c:pt idx="19">
                  <c:v>5821</c:v>
                </c:pt>
                <c:pt idx="20">
                  <c:v>5751</c:v>
                </c:pt>
                <c:pt idx="21">
                  <c:v>4154</c:v>
                </c:pt>
                <c:pt idx="22">
                  <c:v>7722</c:v>
                </c:pt>
                <c:pt idx="23">
                  <c:v>5134</c:v>
                </c:pt>
                <c:pt idx="24">
                  <c:v>3866</c:v>
                </c:pt>
                <c:pt idx="25">
                  <c:v>5673</c:v>
                </c:pt>
                <c:pt idx="26">
                  <c:v>4563</c:v>
                </c:pt>
                <c:pt idx="27">
                  <c:v>4604</c:v>
                </c:pt>
                <c:pt idx="28">
                  <c:v>2151</c:v>
                </c:pt>
                <c:pt idx="29">
                  <c:v>2613</c:v>
                </c:pt>
                <c:pt idx="30">
                  <c:v>2884</c:v>
                </c:pt>
                <c:pt idx="31">
                  <c:v>3426</c:v>
                </c:pt>
              </c:numCache>
            </c:numRef>
          </c:val>
        </c:ser>
        <c:dLbls>
          <c:showLegendKey val="0"/>
          <c:showVal val="0"/>
          <c:showCatName val="0"/>
          <c:showSerName val="0"/>
          <c:showPercent val="0"/>
          <c:showBubbleSize val="0"/>
        </c:dLbls>
        <c:gapWidth val="80"/>
        <c:overlap val="100"/>
        <c:axId val="219318912"/>
        <c:axId val="219329280"/>
      </c:barChart>
      <c:lineChart>
        <c:grouping val="standard"/>
        <c:varyColors val="0"/>
        <c:ser>
          <c:idx val="3"/>
          <c:order val="3"/>
          <c:tx>
            <c:v/>
          </c:tx>
          <c:spPr>
            <a:ln w="25400">
              <a:solidFill>
                <a:srgbClr val="000000"/>
              </a:solidFill>
              <a:prstDash val="solid"/>
            </a:ln>
          </c:spPr>
          <c:marker>
            <c:symbol val="none"/>
          </c:marker>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Data'!$F$93:$F$124</c:f>
              <c:numCache>
                <c:formatCode>#,##0</c:formatCode>
                <c:ptCount val="32"/>
                <c:pt idx="0">
                  <c:v>2900</c:v>
                </c:pt>
                <c:pt idx="1">
                  <c:v>2900</c:v>
                </c:pt>
                <c:pt idx="2">
                  <c:v>2900</c:v>
                </c:pt>
                <c:pt idx="3">
                  <c:v>2900</c:v>
                </c:pt>
                <c:pt idx="4">
                  <c:v>2900</c:v>
                </c:pt>
                <c:pt idx="5">
                  <c:v>2900</c:v>
                </c:pt>
                <c:pt idx="6">
                  <c:v>2900</c:v>
                </c:pt>
                <c:pt idx="7">
                  <c:v>2900</c:v>
                </c:pt>
                <c:pt idx="8">
                  <c:v>2900</c:v>
                </c:pt>
                <c:pt idx="9">
                  <c:v>2900</c:v>
                </c:pt>
                <c:pt idx="10">
                  <c:v>2900</c:v>
                </c:pt>
                <c:pt idx="11">
                  <c:v>2900</c:v>
                </c:pt>
                <c:pt idx="12">
                  <c:v>2900</c:v>
                </c:pt>
                <c:pt idx="13">
                  <c:v>2900</c:v>
                </c:pt>
                <c:pt idx="14">
                  <c:v>2900</c:v>
                </c:pt>
                <c:pt idx="15">
                  <c:v>2900</c:v>
                </c:pt>
                <c:pt idx="16">
                  <c:v>2900</c:v>
                </c:pt>
                <c:pt idx="17">
                  <c:v>2900</c:v>
                </c:pt>
                <c:pt idx="18">
                  <c:v>2900</c:v>
                </c:pt>
                <c:pt idx="19">
                  <c:v>2900</c:v>
                </c:pt>
                <c:pt idx="20">
                  <c:v>2900</c:v>
                </c:pt>
                <c:pt idx="21">
                  <c:v>2900</c:v>
                </c:pt>
                <c:pt idx="22">
                  <c:v>2900</c:v>
                </c:pt>
                <c:pt idx="23">
                  <c:v>2900</c:v>
                </c:pt>
                <c:pt idx="24">
                  <c:v>2900</c:v>
                </c:pt>
                <c:pt idx="25">
                  <c:v>2900</c:v>
                </c:pt>
                <c:pt idx="26">
                  <c:v>2900</c:v>
                </c:pt>
                <c:pt idx="27">
                  <c:v>2900</c:v>
                </c:pt>
                <c:pt idx="28">
                  <c:v>2900</c:v>
                </c:pt>
                <c:pt idx="29">
                  <c:v>2900</c:v>
                </c:pt>
                <c:pt idx="30">
                  <c:v>2900</c:v>
                </c:pt>
                <c:pt idx="31">
                  <c:v>2900</c:v>
                </c:pt>
              </c:numCache>
            </c:numRef>
          </c:val>
          <c:smooth val="0"/>
        </c:ser>
        <c:ser>
          <c:idx val="4"/>
          <c:order val="4"/>
          <c:spPr>
            <a:ln w="25400">
              <a:solidFill>
                <a:srgbClr val="000000"/>
              </a:solidFill>
              <a:prstDash val="solid"/>
            </a:ln>
          </c:spPr>
          <c:marker>
            <c:symbol val="none"/>
          </c:marker>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Data'!$E$93:$E$124</c:f>
              <c:numCache>
                <c:formatCode>#,##0</c:formatCode>
                <c:ptCount val="32"/>
                <c:pt idx="0">
                  <c:v>1300</c:v>
                </c:pt>
                <c:pt idx="1">
                  <c:v>1300</c:v>
                </c:pt>
                <c:pt idx="2">
                  <c:v>1300</c:v>
                </c:pt>
                <c:pt idx="3">
                  <c:v>1300</c:v>
                </c:pt>
                <c:pt idx="4">
                  <c:v>1300</c:v>
                </c:pt>
                <c:pt idx="5">
                  <c:v>1300</c:v>
                </c:pt>
                <c:pt idx="6">
                  <c:v>1300</c:v>
                </c:pt>
                <c:pt idx="7">
                  <c:v>1300</c:v>
                </c:pt>
                <c:pt idx="8">
                  <c:v>1300</c:v>
                </c:pt>
                <c:pt idx="9">
                  <c:v>1300</c:v>
                </c:pt>
                <c:pt idx="10">
                  <c:v>1300</c:v>
                </c:pt>
                <c:pt idx="11">
                  <c:v>1300</c:v>
                </c:pt>
                <c:pt idx="12">
                  <c:v>1300</c:v>
                </c:pt>
                <c:pt idx="13">
                  <c:v>1300</c:v>
                </c:pt>
                <c:pt idx="14">
                  <c:v>1300</c:v>
                </c:pt>
                <c:pt idx="15">
                  <c:v>1300</c:v>
                </c:pt>
                <c:pt idx="16">
                  <c:v>1300</c:v>
                </c:pt>
                <c:pt idx="17">
                  <c:v>1300</c:v>
                </c:pt>
                <c:pt idx="18">
                  <c:v>1300</c:v>
                </c:pt>
                <c:pt idx="19">
                  <c:v>1300</c:v>
                </c:pt>
                <c:pt idx="20">
                  <c:v>1300</c:v>
                </c:pt>
                <c:pt idx="21">
                  <c:v>1300</c:v>
                </c:pt>
                <c:pt idx="22">
                  <c:v>1300</c:v>
                </c:pt>
                <c:pt idx="23">
                  <c:v>1300</c:v>
                </c:pt>
                <c:pt idx="24">
                  <c:v>1300</c:v>
                </c:pt>
                <c:pt idx="25">
                  <c:v>1300</c:v>
                </c:pt>
                <c:pt idx="26">
                  <c:v>1300</c:v>
                </c:pt>
                <c:pt idx="27">
                  <c:v>1300</c:v>
                </c:pt>
                <c:pt idx="28">
                  <c:v>1300</c:v>
                </c:pt>
                <c:pt idx="29">
                  <c:v>1300</c:v>
                </c:pt>
                <c:pt idx="30">
                  <c:v>1300</c:v>
                </c:pt>
                <c:pt idx="31">
                  <c:v>1300</c:v>
                </c:pt>
              </c:numCache>
            </c:numRef>
          </c:val>
          <c:smooth val="0"/>
        </c:ser>
        <c:dLbls>
          <c:showLegendKey val="0"/>
          <c:showVal val="0"/>
          <c:showCatName val="0"/>
          <c:showSerName val="0"/>
          <c:showPercent val="0"/>
          <c:showBubbleSize val="0"/>
        </c:dLbls>
        <c:marker val="1"/>
        <c:smooth val="0"/>
        <c:axId val="219318912"/>
        <c:axId val="219329280"/>
      </c:lineChart>
      <c:catAx>
        <c:axId val="219318912"/>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a:t>Year</a:t>
                </a:r>
              </a:p>
            </c:rich>
          </c:tx>
          <c:layout>
            <c:manualLayout>
              <c:xMode val="edge"/>
              <c:yMode val="edge"/>
              <c:x val="0.53763327430961083"/>
              <c:y val="0.90735930735930737"/>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9329280"/>
        <c:crosses val="autoZero"/>
        <c:auto val="0"/>
        <c:lblAlgn val="ctr"/>
        <c:lblOffset val="100"/>
        <c:tickLblSkip val="1"/>
        <c:tickMarkSkip val="1"/>
        <c:noMultiLvlLbl val="0"/>
      </c:catAx>
      <c:valAx>
        <c:axId val="219329280"/>
        <c:scaling>
          <c:orientation val="minMax"/>
          <c:max val="165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5.9325120245136821E-4"/>
              <c:y val="0.16326618263626136"/>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9318912"/>
        <c:crosses val="autoZero"/>
        <c:crossBetween val="between"/>
      </c:valAx>
      <c:spPr>
        <a:noFill/>
        <a:ln w="25400">
          <a:noFill/>
        </a:ln>
      </c:spPr>
    </c:plotArea>
    <c:legend>
      <c:legendPos val="r"/>
      <c:legendEntry>
        <c:idx val="4"/>
        <c:delete val="1"/>
      </c:legendEntry>
      <c:layout>
        <c:manualLayout>
          <c:xMode val="edge"/>
          <c:yMode val="edge"/>
          <c:x val="0.16053246932650167"/>
          <c:y val="3.5705082319255552E-2"/>
          <c:w val="0.21168267842117822"/>
          <c:h val="0.27936087534512727"/>
        </c:manualLayout>
      </c:layout>
      <c:overlay val="1"/>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78" r="0.75000000000000078" t="1" header="0.5" footer="0.5"/>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82778630306987"/>
          <c:y val="2.083333927688558E-2"/>
          <c:w val="0.8588293795543932"/>
          <c:h val="0.7969755782767256"/>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'Catch_Escapement Data'!$A$5:$A$39</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'Catch_Escapement Data'!$D$5:$D$39</c:f>
              <c:numCache>
                <c:formatCode>#,##0</c:formatCode>
                <c:ptCount val="35"/>
                <c:pt idx="0">
                  <c:v>698</c:v>
                </c:pt>
                <c:pt idx="1">
                  <c:v>646</c:v>
                </c:pt>
                <c:pt idx="2">
                  <c:v>447</c:v>
                </c:pt>
                <c:pt idx="3">
                  <c:v>694</c:v>
                </c:pt>
                <c:pt idx="4">
                  <c:v>651</c:v>
                </c:pt>
                <c:pt idx="5">
                  <c:v>942</c:v>
                </c:pt>
                <c:pt idx="6">
                  <c:v>454</c:v>
                </c:pt>
                <c:pt idx="7">
                  <c:v>668</c:v>
                </c:pt>
                <c:pt idx="8">
                  <c:v>756</c:v>
                </c:pt>
                <c:pt idx="9">
                  <c:v>502</c:v>
                </c:pt>
                <c:pt idx="10">
                  <c:v>697</c:v>
                </c:pt>
                <c:pt idx="11">
                  <c:v>808</c:v>
                </c:pt>
                <c:pt idx="12">
                  <c:v>1020</c:v>
                </c:pt>
                <c:pt idx="13">
                  <c:v>859</c:v>
                </c:pt>
                <c:pt idx="14">
                  <c:v>1437</c:v>
                </c:pt>
                <c:pt idx="15">
                  <c:v>460</c:v>
                </c:pt>
                <c:pt idx="16">
                  <c:v>515</c:v>
                </c:pt>
                <c:pt idx="17">
                  <c:v>609</c:v>
                </c:pt>
                <c:pt idx="18">
                  <c:v>862</c:v>
                </c:pt>
                <c:pt idx="19">
                  <c:v>845</c:v>
                </c:pt>
                <c:pt idx="20">
                  <c:v>683</c:v>
                </c:pt>
                <c:pt idx="21">
                  <c:v>865</c:v>
                </c:pt>
                <c:pt idx="22">
                  <c:v>1176</c:v>
                </c:pt>
                <c:pt idx="23">
                  <c:v>585</c:v>
                </c:pt>
                <c:pt idx="24">
                  <c:v>416</c:v>
                </c:pt>
                <c:pt idx="25">
                  <c:v>450</c:v>
                </c:pt>
                <c:pt idx="26">
                  <c:v>581</c:v>
                </c:pt>
                <c:pt idx="27">
                  <c:v>352</c:v>
                </c:pt>
                <c:pt idx="28">
                  <c:v>600</c:v>
                </c:pt>
                <c:pt idx="29">
                  <c:v>360</c:v>
                </c:pt>
                <c:pt idx="30">
                  <c:v>417</c:v>
                </c:pt>
                <c:pt idx="31">
                  <c:v>517</c:v>
                </c:pt>
                <c:pt idx="32">
                  <c:v>837</c:v>
                </c:pt>
                <c:pt idx="33">
                  <c:v>736</c:v>
                </c:pt>
                <c:pt idx="34">
                  <c:v>1533</c:v>
                </c:pt>
              </c:numCache>
            </c:numRef>
          </c:val>
        </c:ser>
        <c:ser>
          <c:idx val="0"/>
          <c:order val="1"/>
          <c:tx>
            <c:strRef>
              <c:f>#REF!</c:f>
            </c:strRef>
          </c:tx>
          <c:spPr>
            <a:solidFill>
              <a:srgbClr val="C0C0C0"/>
            </a:solidFill>
            <a:ln w="12700">
              <a:solidFill>
                <a:srgbClr val="000000"/>
              </a:solidFill>
              <a:prstDash val="solid"/>
            </a:ln>
          </c:spPr>
          <c:invertIfNegative val="0"/>
          <c:cat>
            <c:numRef>
              <c:f>'Catch_Escapement Data'!$A$5:$A$39</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'Catch_Escapement Data'!$C$5:$C$39</c:f>
              <c:numCache>
                <c:formatCode>#,##0</c:formatCode>
                <c:ptCount val="35"/>
                <c:pt idx="0">
                  <c:v>53</c:v>
                </c:pt>
                <c:pt idx="1">
                  <c:v>50</c:v>
                </c:pt>
                <c:pt idx="2">
                  <c:v>143</c:v>
                </c:pt>
                <c:pt idx="3">
                  <c:v>160</c:v>
                </c:pt>
                <c:pt idx="4">
                  <c:v>72</c:v>
                </c:pt>
                <c:pt idx="5">
                  <c:v>147</c:v>
                </c:pt>
                <c:pt idx="6">
                  <c:v>99</c:v>
                </c:pt>
                <c:pt idx="7">
                  <c:v>73</c:v>
                </c:pt>
                <c:pt idx="8">
                  <c:v>139</c:v>
                </c:pt>
                <c:pt idx="9">
                  <c:v>71</c:v>
                </c:pt>
                <c:pt idx="10">
                  <c:v>150</c:v>
                </c:pt>
                <c:pt idx="11">
                  <c:v>171</c:v>
                </c:pt>
                <c:pt idx="12">
                  <c:v>252</c:v>
                </c:pt>
                <c:pt idx="13">
                  <c:v>119</c:v>
                </c:pt>
                <c:pt idx="14">
                  <c:v>554</c:v>
                </c:pt>
                <c:pt idx="15">
                  <c:v>96</c:v>
                </c:pt>
                <c:pt idx="16">
                  <c:v>180</c:v>
                </c:pt>
                <c:pt idx="17">
                  <c:v>54</c:v>
                </c:pt>
                <c:pt idx="18">
                  <c:v>114</c:v>
                </c:pt>
                <c:pt idx="19">
                  <c:v>105</c:v>
                </c:pt>
                <c:pt idx="20">
                  <c:v>58</c:v>
                </c:pt>
                <c:pt idx="21">
                  <c:v>106</c:v>
                </c:pt>
                <c:pt idx="22">
                  <c:v>136</c:v>
                </c:pt>
                <c:pt idx="23">
                  <c:v>108</c:v>
                </c:pt>
                <c:pt idx="24">
                  <c:v>133</c:v>
                </c:pt>
                <c:pt idx="25">
                  <c:v>37</c:v>
                </c:pt>
                <c:pt idx="26">
                  <c:v>103</c:v>
                </c:pt>
                <c:pt idx="27">
                  <c:v>50</c:v>
                </c:pt>
                <c:pt idx="28">
                  <c:v>85</c:v>
                </c:pt>
                <c:pt idx="29">
                  <c:v>54</c:v>
                </c:pt>
                <c:pt idx="30">
                  <c:v>156</c:v>
                </c:pt>
                <c:pt idx="31">
                  <c:v>140</c:v>
                </c:pt>
                <c:pt idx="32">
                  <c:v>28</c:v>
                </c:pt>
                <c:pt idx="33">
                  <c:v>124</c:v>
                </c:pt>
                <c:pt idx="34">
                  <c:v>128</c:v>
                </c:pt>
              </c:numCache>
            </c:numRef>
          </c:val>
        </c:ser>
        <c:ser>
          <c:idx val="1"/>
          <c:order val="4"/>
          <c:tx>
            <c:v/>
          </c:tx>
          <c:spPr>
            <a:solidFill>
              <a:schemeClr val="bg1"/>
            </a:solidFill>
            <a:ln>
              <a:solidFill>
                <a:srgbClr val="000000"/>
              </a:solidFill>
            </a:ln>
          </c:spPr>
          <c:invertIfNegative val="0"/>
          <c:val>
            <c:numRef>
              <c:f>'Catch_Escapement Data'!$B$5:$B$39</c:f>
              <c:numCache>
                <c:formatCode>#,##0</c:formatCode>
                <c:ptCount val="35"/>
                <c:pt idx="0">
                  <c:v>117</c:v>
                </c:pt>
                <c:pt idx="1">
                  <c:v>280</c:v>
                </c:pt>
                <c:pt idx="2">
                  <c:v>149</c:v>
                </c:pt>
                <c:pt idx="3">
                  <c:v>385</c:v>
                </c:pt>
                <c:pt idx="4">
                  <c:v>372</c:v>
                </c:pt>
                <c:pt idx="5">
                  <c:v>594</c:v>
                </c:pt>
                <c:pt idx="6">
                  <c:v>421</c:v>
                </c:pt>
                <c:pt idx="7">
                  <c:v>438</c:v>
                </c:pt>
                <c:pt idx="8">
                  <c:v>306</c:v>
                </c:pt>
                <c:pt idx="9">
                  <c:v>533</c:v>
                </c:pt>
                <c:pt idx="10">
                  <c:v>635</c:v>
                </c:pt>
                <c:pt idx="11">
                  <c:v>200</c:v>
                </c:pt>
                <c:pt idx="12">
                  <c:v>603</c:v>
                </c:pt>
                <c:pt idx="13">
                  <c:v>611</c:v>
                </c:pt>
                <c:pt idx="14">
                  <c:v>1064</c:v>
                </c:pt>
                <c:pt idx="15">
                  <c:v>264</c:v>
                </c:pt>
                <c:pt idx="16">
                  <c:v>446</c:v>
                </c:pt>
                <c:pt idx="17">
                  <c:v>94</c:v>
                </c:pt>
                <c:pt idx="18">
                  <c:v>437</c:v>
                </c:pt>
                <c:pt idx="19">
                  <c:v>485</c:v>
                </c:pt>
                <c:pt idx="20">
                  <c:v>228</c:v>
                </c:pt>
                <c:pt idx="21">
                  <c:v>435</c:v>
                </c:pt>
                <c:pt idx="22">
                  <c:v>288</c:v>
                </c:pt>
                <c:pt idx="23">
                  <c:v>211</c:v>
                </c:pt>
                <c:pt idx="24">
                  <c:v>199</c:v>
                </c:pt>
                <c:pt idx="25">
                  <c:v>240</c:v>
                </c:pt>
                <c:pt idx="26">
                  <c:v>196</c:v>
                </c:pt>
                <c:pt idx="27">
                  <c:v>134</c:v>
                </c:pt>
                <c:pt idx="28">
                  <c:v>292</c:v>
                </c:pt>
                <c:pt idx="29">
                  <c:v>179</c:v>
                </c:pt>
                <c:pt idx="30">
                  <c:v>194</c:v>
                </c:pt>
                <c:pt idx="31">
                  <c:v>137</c:v>
                </c:pt>
                <c:pt idx="32">
                  <c:v>212</c:v>
                </c:pt>
                <c:pt idx="33">
                  <c:v>406</c:v>
                </c:pt>
                <c:pt idx="34">
                  <c:v>265</c:v>
                </c:pt>
              </c:numCache>
            </c:numRef>
          </c:val>
        </c:ser>
        <c:dLbls>
          <c:showLegendKey val="0"/>
          <c:showVal val="0"/>
          <c:showCatName val="0"/>
          <c:showSerName val="0"/>
          <c:showPercent val="0"/>
          <c:showBubbleSize val="0"/>
        </c:dLbls>
        <c:gapWidth val="80"/>
        <c:overlap val="100"/>
        <c:axId val="219431680"/>
        <c:axId val="219433600"/>
      </c:barChart>
      <c:lineChart>
        <c:grouping val="standard"/>
        <c:varyColors val="0"/>
        <c:ser>
          <c:idx val="3"/>
          <c:order val="2"/>
          <c:tx>
            <c:v/>
          </c:tx>
          <c:spPr>
            <a:ln w="25400">
              <a:solidFill>
                <a:srgbClr val="000000"/>
              </a:solidFill>
              <a:prstDash val="solid"/>
            </a:ln>
          </c:spPr>
          <c:marker>
            <c:symbol val="none"/>
          </c:marker>
          <c:cat>
            <c:numRef>
              <c:f>'Catch_Escapement Data'!$A$5:$A$39</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'Catch_Escapement Data'!$F$5:$F$39</c:f>
              <c:numCache>
                <c:formatCode>#,##0</c:formatCode>
                <c:ptCount val="35"/>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numCache>
            </c:numRef>
          </c:val>
          <c:smooth val="0"/>
        </c:ser>
        <c:ser>
          <c:idx val="4"/>
          <c:order val="3"/>
          <c:spPr>
            <a:ln w="25400">
              <a:solidFill>
                <a:srgbClr val="000000"/>
              </a:solidFill>
              <a:prstDash val="solid"/>
            </a:ln>
          </c:spPr>
          <c:marker>
            <c:symbol val="none"/>
          </c:marker>
          <c:cat>
            <c:numRef>
              <c:f>'Catch_Escapement Data'!$A$5:$A$39</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'Catch_Escapement Data'!$E$5:$E$39</c:f>
              <c:numCache>
                <c:formatCode>#,##0</c:formatCode>
                <c:ptCount val="35"/>
                <c:pt idx="0">
                  <c:v>200</c:v>
                </c:pt>
                <c:pt idx="1">
                  <c:v>200</c:v>
                </c:pt>
                <c:pt idx="2">
                  <c:v>200</c:v>
                </c:pt>
                <c:pt idx="3">
                  <c:v>200</c:v>
                </c:pt>
                <c:pt idx="4">
                  <c:v>200</c:v>
                </c:pt>
                <c:pt idx="5">
                  <c:v>200</c:v>
                </c:pt>
                <c:pt idx="6">
                  <c:v>200</c:v>
                </c:pt>
                <c:pt idx="7">
                  <c:v>200</c:v>
                </c:pt>
                <c:pt idx="8">
                  <c:v>200</c:v>
                </c:pt>
                <c:pt idx="9">
                  <c:v>200</c:v>
                </c:pt>
                <c:pt idx="10">
                  <c:v>200</c:v>
                </c:pt>
                <c:pt idx="11">
                  <c:v>200</c:v>
                </c:pt>
                <c:pt idx="12">
                  <c:v>200</c:v>
                </c:pt>
                <c:pt idx="13">
                  <c:v>200</c:v>
                </c:pt>
                <c:pt idx="14">
                  <c:v>200</c:v>
                </c:pt>
                <c:pt idx="15">
                  <c:v>200</c:v>
                </c:pt>
                <c:pt idx="16">
                  <c:v>200</c:v>
                </c:pt>
                <c:pt idx="17">
                  <c:v>200</c:v>
                </c:pt>
                <c:pt idx="18">
                  <c:v>200</c:v>
                </c:pt>
                <c:pt idx="19">
                  <c:v>200</c:v>
                </c:pt>
                <c:pt idx="20">
                  <c:v>200</c:v>
                </c:pt>
                <c:pt idx="21">
                  <c:v>200</c:v>
                </c:pt>
                <c:pt idx="22">
                  <c:v>200</c:v>
                </c:pt>
                <c:pt idx="23">
                  <c:v>200</c:v>
                </c:pt>
                <c:pt idx="24">
                  <c:v>200</c:v>
                </c:pt>
                <c:pt idx="25">
                  <c:v>200</c:v>
                </c:pt>
                <c:pt idx="26">
                  <c:v>200</c:v>
                </c:pt>
                <c:pt idx="27">
                  <c:v>200</c:v>
                </c:pt>
                <c:pt idx="28">
                  <c:v>200</c:v>
                </c:pt>
                <c:pt idx="29">
                  <c:v>200</c:v>
                </c:pt>
                <c:pt idx="30">
                  <c:v>200</c:v>
                </c:pt>
                <c:pt idx="31">
                  <c:v>200</c:v>
                </c:pt>
                <c:pt idx="32">
                  <c:v>200</c:v>
                </c:pt>
                <c:pt idx="33">
                  <c:v>200</c:v>
                </c:pt>
                <c:pt idx="34">
                  <c:v>200</c:v>
                </c:pt>
              </c:numCache>
            </c:numRef>
          </c:val>
          <c:smooth val="0"/>
        </c:ser>
        <c:dLbls>
          <c:showLegendKey val="0"/>
          <c:showVal val="0"/>
          <c:showCatName val="0"/>
          <c:showSerName val="0"/>
          <c:showPercent val="0"/>
          <c:showBubbleSize val="0"/>
        </c:dLbls>
        <c:marker val="1"/>
        <c:smooth val="0"/>
        <c:axId val="219431680"/>
        <c:axId val="219433600"/>
      </c:lineChart>
      <c:catAx>
        <c:axId val="219431680"/>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a:t>Year</a:t>
                </a:r>
              </a:p>
            </c:rich>
          </c:tx>
          <c:layout>
            <c:manualLayout>
              <c:xMode val="edge"/>
              <c:yMode val="edge"/>
              <c:x val="0.53763326708762049"/>
              <c:y val="0.92029795158286776"/>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9433600"/>
        <c:crosses val="autoZero"/>
        <c:auto val="0"/>
        <c:lblAlgn val="ctr"/>
        <c:lblOffset val="100"/>
        <c:tickLblSkip val="1"/>
        <c:tickMarkSkip val="1"/>
        <c:noMultiLvlLbl val="0"/>
      </c:catAx>
      <c:valAx>
        <c:axId val="219433600"/>
        <c:scaling>
          <c:orientation val="minMax"/>
          <c:max val="31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5.9319262408492868E-4"/>
              <c:y val="0.2098335752723646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9431680"/>
        <c:crosses val="autoZero"/>
        <c:crossBetween val="between"/>
        <c:majorUnit val="500"/>
      </c:valAx>
      <c:spPr>
        <a:noFill/>
        <a:ln w="25400">
          <a:noFill/>
        </a:ln>
      </c:spPr>
    </c:plotArea>
    <c:legend>
      <c:legendPos val="r"/>
      <c:legendEntry>
        <c:idx val="4"/>
        <c:delete val="1"/>
      </c:legendEntry>
      <c:layout>
        <c:manualLayout>
          <c:xMode val="edge"/>
          <c:yMode val="edge"/>
          <c:x val="0.75478168264110757"/>
          <c:y val="2.4835554773530402E-2"/>
          <c:w val="0.21168272496289398"/>
          <c:h val="0.2871643279226968"/>
        </c:manualLayout>
      </c:layout>
      <c:overlay val="1"/>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44" r="0.75000000000000044" t="1" header="0.5" footer="0.5"/>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21469151799064"/>
          <c:y val="2.4164128481074538E-2"/>
          <c:w val="0.81573806438752117"/>
          <c:h val="0.77112796680231488"/>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Table'!$H$6:$H$36</c:f>
              <c:numCache>
                <c:formatCode>#,##0</c:formatCode>
                <c:ptCount val="31"/>
                <c:pt idx="0">
                  <c:v>55457</c:v>
                </c:pt>
                <c:pt idx="1">
                  <c:v>39450</c:v>
                </c:pt>
                <c:pt idx="2">
                  <c:v>56808</c:v>
                </c:pt>
                <c:pt idx="3">
                  <c:v>72196</c:v>
                </c:pt>
                <c:pt idx="4">
                  <c:v>127484</c:v>
                </c:pt>
                <c:pt idx="5">
                  <c:v>83729</c:v>
                </c:pt>
                <c:pt idx="6">
                  <c:v>119330</c:v>
                </c:pt>
                <c:pt idx="7">
                  <c:v>96343</c:v>
                </c:pt>
                <c:pt idx="8">
                  <c:v>55710</c:v>
                </c:pt>
                <c:pt idx="9">
                  <c:v>44635</c:v>
                </c:pt>
                <c:pt idx="10">
                  <c:v>32345</c:v>
                </c:pt>
                <c:pt idx="11">
                  <c:v>61382</c:v>
                </c:pt>
                <c:pt idx="12">
                  <c:v>60768</c:v>
                </c:pt>
                <c:pt idx="13">
                  <c:v>64700</c:v>
                </c:pt>
                <c:pt idx="14">
                  <c:v>104394</c:v>
                </c:pt>
                <c:pt idx="15">
                  <c:v>219360</c:v>
                </c:pt>
                <c:pt idx="16">
                  <c:v>183112</c:v>
                </c:pt>
                <c:pt idx="17">
                  <c:v>129327</c:v>
                </c:pt>
                <c:pt idx="18">
                  <c:v>135558</c:v>
                </c:pt>
                <c:pt idx="19">
                  <c:v>122384</c:v>
                </c:pt>
                <c:pt idx="20">
                  <c:v>74246</c:v>
                </c:pt>
                <c:pt idx="21">
                  <c:v>95226</c:v>
                </c:pt>
                <c:pt idx="22">
                  <c:v>103950</c:v>
                </c:pt>
                <c:pt idx="23">
                  <c:v>126830</c:v>
                </c:pt>
                <c:pt idx="24">
                  <c:v>70871</c:v>
                </c:pt>
                <c:pt idx="25">
                  <c:v>70775</c:v>
                </c:pt>
                <c:pt idx="26">
                  <c:v>68117</c:v>
                </c:pt>
                <c:pt idx="27">
                  <c:v>124171</c:v>
                </c:pt>
                <c:pt idx="28">
                  <c:v>60178</c:v>
                </c:pt>
                <c:pt idx="29">
                  <c:v>87704</c:v>
                </c:pt>
                <c:pt idx="30">
                  <c:v>57868</c:v>
                </c:pt>
              </c:numCache>
            </c:numRef>
          </c:val>
        </c:ser>
        <c:ser>
          <c:idx val="4"/>
          <c:order val="1"/>
          <c:tx>
            <c:v/>
          </c:tx>
          <c:spPr>
            <a:solidFill>
              <a:srgbClr val="969696"/>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Table'!#REF!</c:f>
            </c:numRef>
          </c:val>
        </c:ser>
        <c:ser>
          <c:idx val="0"/>
          <c:order val="2"/>
          <c:tx>
            <c:v/>
          </c:tx>
          <c:spPr>
            <a:solidFill>
              <a:schemeClr val="bg1">
                <a:lumMod val="85000"/>
              </a:schemeClr>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Table'!$O$6:$O$36</c:f>
              <c:numCache>
                <c:formatCode>General_)</c:formatCode>
                <c:ptCount val="31"/>
              </c:numCache>
            </c:numRef>
          </c:val>
        </c:ser>
        <c:ser>
          <c:idx val="1"/>
          <c:order val="3"/>
          <c:tx>
            <c:v/>
          </c:tx>
          <c:spPr>
            <a:solidFill>
              <a:srgbClr val="FFFFFF"/>
            </a:solidFill>
            <a:ln w="12700">
              <a:solidFill>
                <a:srgbClr val="000000"/>
              </a:solidFill>
              <a:prstDash val="solid"/>
            </a:ln>
          </c:spPr>
          <c:invertIfNegative val="0"/>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Table'!$B$6:$B$36</c:f>
              <c:numCache>
                <c:formatCode>#,##0</c:formatCode>
                <c:ptCount val="31"/>
                <c:pt idx="0">
                  <c:v>0</c:v>
                </c:pt>
                <c:pt idx="1">
                  <c:v>0</c:v>
                </c:pt>
                <c:pt idx="2">
                  <c:v>0</c:v>
                </c:pt>
                <c:pt idx="3">
                  <c:v>0</c:v>
                </c:pt>
                <c:pt idx="4">
                  <c:v>0</c:v>
                </c:pt>
                <c:pt idx="5">
                  <c:v>41713</c:v>
                </c:pt>
                <c:pt idx="6">
                  <c:v>78371</c:v>
                </c:pt>
                <c:pt idx="7">
                  <c:v>97039</c:v>
                </c:pt>
                <c:pt idx="8">
                  <c:v>45041</c:v>
                </c:pt>
                <c:pt idx="9">
                  <c:v>24779</c:v>
                </c:pt>
                <c:pt idx="10">
                  <c:v>8822</c:v>
                </c:pt>
                <c:pt idx="11">
                  <c:v>28827</c:v>
                </c:pt>
                <c:pt idx="12">
                  <c:v>36231</c:v>
                </c:pt>
                <c:pt idx="13">
                  <c:v>21236</c:v>
                </c:pt>
                <c:pt idx="14">
                  <c:v>38326</c:v>
                </c:pt>
                <c:pt idx="15">
                  <c:v>39053</c:v>
                </c:pt>
                <c:pt idx="16">
                  <c:v>36433</c:v>
                </c:pt>
                <c:pt idx="17">
                  <c:v>62002</c:v>
                </c:pt>
                <c:pt idx="18">
                  <c:v>46521</c:v>
                </c:pt>
                <c:pt idx="19">
                  <c:v>49394</c:v>
                </c:pt>
                <c:pt idx="20">
                  <c:v>23519</c:v>
                </c:pt>
                <c:pt idx="21">
                  <c:v>47996.923700581407</c:v>
                </c:pt>
                <c:pt idx="22">
                  <c:v>51748.07419336708</c:v>
                </c:pt>
                <c:pt idx="23">
                  <c:v>34553.563312988241</c:v>
                </c:pt>
                <c:pt idx="24">
                  <c:v>23825.245316706063</c:v>
                </c:pt>
                <c:pt idx="25">
                  <c:v>14647.586530633618</c:v>
                </c:pt>
                <c:pt idx="26">
                  <c:v>34849.481399449214</c:v>
                </c:pt>
                <c:pt idx="27">
                  <c:v>12118</c:v>
                </c:pt>
                <c:pt idx="28">
                  <c:v>16355.093115063042</c:v>
                </c:pt>
                <c:pt idx="29">
                  <c:v>9801.0815198392684</c:v>
                </c:pt>
                <c:pt idx="30">
                  <c:v>19552</c:v>
                </c:pt>
              </c:numCache>
            </c:numRef>
          </c:val>
        </c:ser>
        <c:dLbls>
          <c:showLegendKey val="0"/>
          <c:showVal val="0"/>
          <c:showCatName val="0"/>
          <c:showSerName val="0"/>
          <c:showPercent val="0"/>
          <c:showBubbleSize val="0"/>
        </c:dLbls>
        <c:gapWidth val="80"/>
        <c:overlap val="100"/>
        <c:axId val="218847872"/>
        <c:axId val="218850048"/>
      </c:barChart>
      <c:lineChart>
        <c:grouping val="standard"/>
        <c:varyColors val="0"/>
        <c:ser>
          <c:idx val="3"/>
          <c:order val="4"/>
          <c:tx>
            <c:v/>
          </c:tx>
          <c:spPr>
            <a:ln w="25400">
              <a:solidFill>
                <a:srgbClr val="000000"/>
              </a:solidFill>
              <a:prstDash val="solid"/>
            </a:ln>
          </c:spPr>
          <c:marker>
            <c:symbol val="none"/>
          </c:marker>
          <c:cat>
            <c:numRef>
              <c:f>'Taku Table'!$A$6:$A$36</c:f>
              <c:numCache>
                <c:formatCode>General_)</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'Taku Table'!$K$6:$K$36</c:f>
              <c:numCache>
                <c:formatCode>#,##0</c:formatCode>
                <c:ptCount val="31"/>
                <c:pt idx="0">
                  <c:v>50000</c:v>
                </c:pt>
                <c:pt idx="1">
                  <c:v>50000</c:v>
                </c:pt>
                <c:pt idx="2">
                  <c:v>50000</c:v>
                </c:pt>
                <c:pt idx="3">
                  <c:v>50000</c:v>
                </c:pt>
                <c:pt idx="4">
                  <c:v>50000</c:v>
                </c:pt>
                <c:pt idx="5">
                  <c:v>50000</c:v>
                </c:pt>
                <c:pt idx="6">
                  <c:v>50000</c:v>
                </c:pt>
                <c:pt idx="7">
                  <c:v>50000</c:v>
                </c:pt>
                <c:pt idx="8">
                  <c:v>50000</c:v>
                </c:pt>
                <c:pt idx="9">
                  <c:v>50000</c:v>
                </c:pt>
                <c:pt idx="10">
                  <c:v>50000</c:v>
                </c:pt>
                <c:pt idx="11">
                  <c:v>50000</c:v>
                </c:pt>
                <c:pt idx="12">
                  <c:v>50000</c:v>
                </c:pt>
                <c:pt idx="13">
                  <c:v>50000</c:v>
                </c:pt>
                <c:pt idx="14">
                  <c:v>50000</c:v>
                </c:pt>
                <c:pt idx="15">
                  <c:v>50000</c:v>
                </c:pt>
                <c:pt idx="16">
                  <c:v>50000</c:v>
                </c:pt>
                <c:pt idx="17">
                  <c:v>50000</c:v>
                </c:pt>
                <c:pt idx="18">
                  <c:v>50000</c:v>
                </c:pt>
                <c:pt idx="19">
                  <c:v>50000</c:v>
                </c:pt>
                <c:pt idx="20">
                  <c:v>50000</c:v>
                </c:pt>
                <c:pt idx="21">
                  <c:v>50000</c:v>
                </c:pt>
                <c:pt idx="22">
                  <c:v>50000</c:v>
                </c:pt>
                <c:pt idx="23">
                  <c:v>50000</c:v>
                </c:pt>
                <c:pt idx="24">
                  <c:v>50000</c:v>
                </c:pt>
                <c:pt idx="25">
                  <c:v>50000</c:v>
                </c:pt>
                <c:pt idx="26">
                  <c:v>50000</c:v>
                </c:pt>
                <c:pt idx="27">
                  <c:v>50000</c:v>
                </c:pt>
                <c:pt idx="28">
                  <c:v>50000</c:v>
                </c:pt>
                <c:pt idx="29">
                  <c:v>50000</c:v>
                </c:pt>
                <c:pt idx="30">
                  <c:v>50000</c:v>
                </c:pt>
              </c:numCache>
            </c:numRef>
          </c:val>
          <c:smooth val="0"/>
        </c:ser>
        <c:dLbls>
          <c:showLegendKey val="0"/>
          <c:showVal val="0"/>
          <c:showCatName val="0"/>
          <c:showSerName val="0"/>
          <c:showPercent val="0"/>
          <c:showBubbleSize val="0"/>
        </c:dLbls>
        <c:marker val="1"/>
        <c:smooth val="0"/>
        <c:axId val="218847872"/>
        <c:axId val="218850048"/>
      </c:lineChart>
      <c:catAx>
        <c:axId val="218847872"/>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a:t>Year</a:t>
                </a:r>
              </a:p>
            </c:rich>
          </c:tx>
          <c:layout>
            <c:manualLayout>
              <c:xMode val="edge"/>
              <c:yMode val="edge"/>
              <c:x val="0.52336954716103523"/>
              <c:y val="0.91274209989806321"/>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8850048"/>
        <c:crosses val="autoZero"/>
        <c:auto val="0"/>
        <c:lblAlgn val="ctr"/>
        <c:lblOffset val="100"/>
        <c:tickLblSkip val="1"/>
        <c:tickMarkSkip val="1"/>
        <c:noMultiLvlLbl val="0"/>
      </c:catAx>
      <c:valAx>
        <c:axId val="218850048"/>
        <c:scaling>
          <c:orientation val="minMax"/>
          <c:max val="4500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1.5748031496062992E-3"/>
              <c:y val="0.1778179103758819"/>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18847872"/>
        <c:crosses val="autoZero"/>
        <c:crossBetween val="between"/>
        <c:majorUnit val="50000"/>
      </c:valAx>
      <c:spPr>
        <a:noFill/>
        <a:ln w="25400">
          <a:noFill/>
        </a:ln>
      </c:spPr>
    </c:plotArea>
    <c:legend>
      <c:legendPos val="r"/>
      <c:layout>
        <c:manualLayout>
          <c:xMode val="edge"/>
          <c:yMode val="edge"/>
          <c:x val="0.17637795275590551"/>
          <c:y val="8.967227720388162E-4"/>
          <c:w val="0.82152230971128615"/>
          <c:h val="0.19567113743809547"/>
        </c:manualLayout>
      </c:layout>
      <c:overlay val="0"/>
      <c:spPr>
        <a:noFill/>
        <a:ln w="25400">
          <a:noFill/>
        </a:ln>
      </c:spPr>
      <c:txPr>
        <a:bodyPr/>
        <a:lstStyle/>
        <a:p>
          <a:pPr>
            <a:defRPr sz="101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22" r="0.75000000000000022" t="1" header="0.5" footer="0.5"/>
    <c:pageSetup orientation="landscape"/>
  </c:printSettings>
  <c:userShapes r:id="rId1"/>
</c:chartSpace>
</file>

<file path=xl/charts/chart10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82778630306987"/>
          <c:y val="2.0833339276885597E-2"/>
          <c:w val="0.85882937955439365"/>
          <c:h val="0.7969755782767256"/>
        </c:manualLayout>
      </c:layout>
      <c:barChart>
        <c:barDir val="col"/>
        <c:grouping val="stacked"/>
        <c:varyColors val="0"/>
        <c:ser>
          <c:idx val="2"/>
          <c:order val="0"/>
          <c:tx>
            <c:strRef>
              <c:f>#REF!</c:f>
            </c:strRef>
          </c:tx>
          <c:spPr>
            <a:solidFill>
              <a:srgbClr val="FF0000"/>
            </a:solidFill>
            <a:ln w="12700">
              <a:solidFill>
                <a:srgbClr val="000000"/>
              </a:solidFill>
              <a:prstDash val="solid"/>
            </a:ln>
          </c:spPr>
          <c:invertIfNegative val="0"/>
          <c:cat>
            <c:numRef>
              <c:f>'Catch_Escapement Data'!$A$93:$A$124</c:f>
              <c:numCache>
                <c:formatCode>General</c:formatCode>
                <c:ptCount val="32"/>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numCache>
            </c:numRef>
          </c:cat>
          <c:val>
            <c:numRef>
              <c:f>'Catch_Escapement Data'!$D$93:$D$125</c:f>
              <c:numCache>
                <c:formatCode>#,##0</c:formatCode>
                <c:ptCount val="33"/>
                <c:pt idx="0">
                  <c:v>2655</c:v>
                </c:pt>
                <c:pt idx="1">
                  <c:v>1931</c:v>
                </c:pt>
                <c:pt idx="2">
                  <c:v>0</c:v>
                </c:pt>
                <c:pt idx="3">
                  <c:v>2324</c:v>
                </c:pt>
                <c:pt idx="4">
                  <c:v>1552</c:v>
                </c:pt>
                <c:pt idx="5">
                  <c:v>1694</c:v>
                </c:pt>
                <c:pt idx="6">
                  <c:v>3119</c:v>
                </c:pt>
                <c:pt idx="7">
                  <c:v>2176</c:v>
                </c:pt>
                <c:pt idx="8">
                  <c:v>2192</c:v>
                </c:pt>
                <c:pt idx="9">
                  <c:v>2761</c:v>
                </c:pt>
                <c:pt idx="10">
                  <c:v>3866</c:v>
                </c:pt>
                <c:pt idx="11">
                  <c:v>4202</c:v>
                </c:pt>
                <c:pt idx="12">
                  <c:v>3227</c:v>
                </c:pt>
                <c:pt idx="13">
                  <c:v>2446</c:v>
                </c:pt>
                <c:pt idx="14">
                  <c:v>2500</c:v>
                </c:pt>
                <c:pt idx="15">
                  <c:v>4718</c:v>
                </c:pt>
                <c:pt idx="16">
                  <c:v>7049</c:v>
                </c:pt>
                <c:pt idx="17">
                  <c:v>3800</c:v>
                </c:pt>
                <c:pt idx="18">
                  <c:v>2304</c:v>
                </c:pt>
                <c:pt idx="19">
                  <c:v>2209</c:v>
                </c:pt>
                <c:pt idx="20">
                  <c:v>7109</c:v>
                </c:pt>
                <c:pt idx="21">
                  <c:v>6789</c:v>
                </c:pt>
                <c:pt idx="22">
                  <c:v>3539</c:v>
                </c:pt>
                <c:pt idx="23">
                  <c:v>4257</c:v>
                </c:pt>
                <c:pt idx="24">
                  <c:v>4737</c:v>
                </c:pt>
                <c:pt idx="25">
                  <c:v>2567</c:v>
                </c:pt>
                <c:pt idx="26">
                  <c:v>5173</c:v>
                </c:pt>
                <c:pt idx="27">
                  <c:v>2181</c:v>
                </c:pt>
                <c:pt idx="28">
                  <c:v>1610</c:v>
                </c:pt>
                <c:pt idx="29">
                  <c:v>1908</c:v>
                </c:pt>
                <c:pt idx="30">
                  <c:v>2282</c:v>
                </c:pt>
                <c:pt idx="31">
                  <c:v>1573</c:v>
                </c:pt>
                <c:pt idx="32">
                  <c:v>3025</c:v>
                </c:pt>
              </c:numCache>
            </c:numRef>
          </c:val>
        </c:ser>
        <c:ser>
          <c:idx val="0"/>
          <c:order val="1"/>
          <c:tx>
            <c:strRef>
              <c:f>#REF!</c:f>
            </c:strRef>
          </c:tx>
          <c:spPr>
            <a:solidFill>
              <a:srgbClr val="FFFF00"/>
            </a:solidFill>
            <a:ln w="12700">
              <a:solidFill>
                <a:srgbClr val="000000"/>
              </a:solidFill>
              <a:prstDash val="solid"/>
            </a:ln>
          </c:spPr>
          <c:invertIfNegative val="0"/>
          <c:cat>
            <c:numRef>
              <c:f>'Catch_Escapement Data'!$A$93:$A$125</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Data'!#REF!</c:f>
            </c:numRef>
          </c:val>
        </c:ser>
        <c:ser>
          <c:idx val="5"/>
          <c:order val="2"/>
          <c:tx>
            <c:v/>
          </c:tx>
          <c:spPr>
            <a:solidFill>
              <a:srgbClr val="3FCDFF"/>
            </a:solidFill>
            <a:ln w="12700">
              <a:solidFill>
                <a:schemeClr val="tx1"/>
              </a:solidFill>
            </a:ln>
          </c:spPr>
          <c:invertIfNegative val="0"/>
          <c:val>
            <c:numRef>
              <c:f>'Catch_Escapement Data'!#REF!</c:f>
            </c:numRef>
          </c:val>
        </c:ser>
        <c:ser>
          <c:idx val="1"/>
          <c:order val="3"/>
          <c:tx>
            <c:strRef>
              <c:f>#REF!</c:f>
            </c:strRef>
          </c:tx>
          <c:spPr>
            <a:solidFill>
              <a:srgbClr val="66FFFF"/>
            </a:solidFill>
            <a:ln w="12700">
              <a:solidFill>
                <a:srgbClr val="000000"/>
              </a:solidFill>
              <a:prstDash val="solid"/>
            </a:ln>
          </c:spPr>
          <c:invertIfNegative val="0"/>
          <c:cat>
            <c:numRef>
              <c:f>'Catch_Escapement Data'!$A$93:$A$125</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Data'!#REF!</c:f>
            </c:numRef>
          </c:val>
        </c:ser>
        <c:dLbls>
          <c:showLegendKey val="0"/>
          <c:showVal val="0"/>
          <c:showCatName val="0"/>
          <c:showSerName val="0"/>
          <c:showPercent val="0"/>
          <c:showBubbleSize val="0"/>
        </c:dLbls>
        <c:gapWidth val="150"/>
        <c:overlap val="100"/>
        <c:axId val="218931584"/>
        <c:axId val="218933504"/>
      </c:barChart>
      <c:lineChart>
        <c:grouping val="standard"/>
        <c:varyColors val="0"/>
        <c:ser>
          <c:idx val="3"/>
          <c:order val="4"/>
          <c:tx>
            <c:v/>
          </c:tx>
          <c:spPr>
            <a:ln w="31750">
              <a:solidFill>
                <a:schemeClr val="tx1"/>
              </a:solidFill>
              <a:prstDash val="solid"/>
            </a:ln>
          </c:spPr>
          <c:marker>
            <c:symbol val="none"/>
          </c:marker>
          <c:cat>
            <c:numRef>
              <c:f>'Catch_Escapement Data'!$A$93:$A$125</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Data'!$F$93:$F$125</c:f>
              <c:numCache>
                <c:formatCode>#,##0</c:formatCode>
                <c:ptCount val="33"/>
                <c:pt idx="0">
                  <c:v>2900</c:v>
                </c:pt>
                <c:pt idx="1">
                  <c:v>2900</c:v>
                </c:pt>
                <c:pt idx="2">
                  <c:v>2900</c:v>
                </c:pt>
                <c:pt idx="3">
                  <c:v>2900</c:v>
                </c:pt>
                <c:pt idx="4">
                  <c:v>2900</c:v>
                </c:pt>
                <c:pt idx="5">
                  <c:v>2900</c:v>
                </c:pt>
                <c:pt idx="6">
                  <c:v>2900</c:v>
                </c:pt>
                <c:pt idx="7">
                  <c:v>2900</c:v>
                </c:pt>
                <c:pt idx="8">
                  <c:v>2900</c:v>
                </c:pt>
                <c:pt idx="9">
                  <c:v>2900</c:v>
                </c:pt>
                <c:pt idx="10">
                  <c:v>2900</c:v>
                </c:pt>
                <c:pt idx="11">
                  <c:v>2900</c:v>
                </c:pt>
                <c:pt idx="12">
                  <c:v>2900</c:v>
                </c:pt>
                <c:pt idx="13">
                  <c:v>2900</c:v>
                </c:pt>
                <c:pt idx="14">
                  <c:v>2900</c:v>
                </c:pt>
                <c:pt idx="15">
                  <c:v>2900</c:v>
                </c:pt>
                <c:pt idx="16">
                  <c:v>2900</c:v>
                </c:pt>
                <c:pt idx="17">
                  <c:v>2900</c:v>
                </c:pt>
                <c:pt idx="18">
                  <c:v>2900</c:v>
                </c:pt>
                <c:pt idx="19">
                  <c:v>2900</c:v>
                </c:pt>
                <c:pt idx="20">
                  <c:v>2900</c:v>
                </c:pt>
                <c:pt idx="21">
                  <c:v>2900</c:v>
                </c:pt>
                <c:pt idx="22">
                  <c:v>2900</c:v>
                </c:pt>
                <c:pt idx="23">
                  <c:v>2900</c:v>
                </c:pt>
                <c:pt idx="24">
                  <c:v>2900</c:v>
                </c:pt>
                <c:pt idx="25">
                  <c:v>2900</c:v>
                </c:pt>
                <c:pt idx="26">
                  <c:v>2900</c:v>
                </c:pt>
                <c:pt idx="27">
                  <c:v>2900</c:v>
                </c:pt>
                <c:pt idx="28">
                  <c:v>2900</c:v>
                </c:pt>
                <c:pt idx="29">
                  <c:v>2900</c:v>
                </c:pt>
                <c:pt idx="30">
                  <c:v>2900</c:v>
                </c:pt>
                <c:pt idx="31">
                  <c:v>2900</c:v>
                </c:pt>
                <c:pt idx="32">
                  <c:v>2900</c:v>
                </c:pt>
              </c:numCache>
            </c:numRef>
          </c:val>
          <c:smooth val="0"/>
        </c:ser>
        <c:ser>
          <c:idx val="4"/>
          <c:order val="5"/>
          <c:spPr>
            <a:ln w="31750">
              <a:solidFill>
                <a:schemeClr val="tx1"/>
              </a:solidFill>
              <a:prstDash val="solid"/>
            </a:ln>
          </c:spPr>
          <c:marker>
            <c:symbol val="none"/>
          </c:marker>
          <c:cat>
            <c:numRef>
              <c:f>'Catch_Escapement Data'!$A$93:$A$125</c:f>
              <c:numCache>
                <c:formatCode>General</c:formatCode>
                <c:ptCount val="33"/>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'Catch_Escapement Data'!$E$93:$E$125</c:f>
              <c:numCache>
                <c:formatCode>#,##0</c:formatCode>
                <c:ptCount val="33"/>
                <c:pt idx="0">
                  <c:v>1300</c:v>
                </c:pt>
                <c:pt idx="1">
                  <c:v>1300</c:v>
                </c:pt>
                <c:pt idx="2">
                  <c:v>1300</c:v>
                </c:pt>
                <c:pt idx="3">
                  <c:v>1300</c:v>
                </c:pt>
                <c:pt idx="4">
                  <c:v>1300</c:v>
                </c:pt>
                <c:pt idx="5">
                  <c:v>1300</c:v>
                </c:pt>
                <c:pt idx="6">
                  <c:v>1300</c:v>
                </c:pt>
                <c:pt idx="7">
                  <c:v>1300</c:v>
                </c:pt>
                <c:pt idx="8">
                  <c:v>1300</c:v>
                </c:pt>
                <c:pt idx="9">
                  <c:v>1300</c:v>
                </c:pt>
                <c:pt idx="10">
                  <c:v>1300</c:v>
                </c:pt>
                <c:pt idx="11">
                  <c:v>1300</c:v>
                </c:pt>
                <c:pt idx="12">
                  <c:v>1300</c:v>
                </c:pt>
                <c:pt idx="13">
                  <c:v>1300</c:v>
                </c:pt>
                <c:pt idx="14">
                  <c:v>1300</c:v>
                </c:pt>
                <c:pt idx="15">
                  <c:v>1300</c:v>
                </c:pt>
                <c:pt idx="16">
                  <c:v>1300</c:v>
                </c:pt>
                <c:pt idx="17">
                  <c:v>1300</c:v>
                </c:pt>
                <c:pt idx="18">
                  <c:v>1300</c:v>
                </c:pt>
                <c:pt idx="19">
                  <c:v>1300</c:v>
                </c:pt>
                <c:pt idx="20">
                  <c:v>1300</c:v>
                </c:pt>
                <c:pt idx="21">
                  <c:v>1300</c:v>
                </c:pt>
                <c:pt idx="22">
                  <c:v>1300</c:v>
                </c:pt>
                <c:pt idx="23">
                  <c:v>1300</c:v>
                </c:pt>
                <c:pt idx="24">
                  <c:v>1300</c:v>
                </c:pt>
                <c:pt idx="25">
                  <c:v>1300</c:v>
                </c:pt>
                <c:pt idx="26">
                  <c:v>1300</c:v>
                </c:pt>
                <c:pt idx="27">
                  <c:v>1300</c:v>
                </c:pt>
                <c:pt idx="28">
                  <c:v>1300</c:v>
                </c:pt>
                <c:pt idx="29">
                  <c:v>1300</c:v>
                </c:pt>
                <c:pt idx="30">
                  <c:v>1300</c:v>
                </c:pt>
                <c:pt idx="31">
                  <c:v>1300</c:v>
                </c:pt>
                <c:pt idx="32">
                  <c:v>1300</c:v>
                </c:pt>
              </c:numCache>
            </c:numRef>
          </c:val>
          <c:smooth val="0"/>
        </c:ser>
        <c:dLbls>
          <c:showLegendKey val="0"/>
          <c:showVal val="0"/>
          <c:showCatName val="0"/>
          <c:showSerName val="0"/>
          <c:showPercent val="0"/>
          <c:showBubbleSize val="0"/>
        </c:dLbls>
        <c:marker val="1"/>
        <c:smooth val="0"/>
        <c:axId val="218931584"/>
        <c:axId val="218933504"/>
      </c:lineChart>
      <c:catAx>
        <c:axId val="218931584"/>
        <c:scaling>
          <c:orientation val="minMax"/>
        </c:scaling>
        <c:delete val="0"/>
        <c:axPos val="b"/>
        <c:title>
          <c:tx>
            <c:rich>
              <a:bodyPr/>
              <a:lstStyle/>
              <a:p>
                <a:pPr>
                  <a:defRPr sz="1600" b="0" i="0" u="none" strike="noStrike" baseline="0">
                    <a:solidFill>
                      <a:srgbClr val="000000"/>
                    </a:solidFill>
                    <a:latin typeface="Arial"/>
                    <a:ea typeface="Arial"/>
                    <a:cs typeface="Arial"/>
                  </a:defRPr>
                </a:pPr>
                <a:r>
                  <a:rPr lang="en-US"/>
                  <a:t>Year</a:t>
                </a:r>
              </a:p>
            </c:rich>
          </c:tx>
          <c:layout>
            <c:manualLayout>
              <c:xMode val="edge"/>
              <c:yMode val="edge"/>
              <c:x val="0.53763328150860124"/>
              <c:y val="0.92246376345813919"/>
            </c:manualLayout>
          </c:layout>
          <c:overlay val="0"/>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8933504"/>
        <c:crosses val="autoZero"/>
        <c:auto val="0"/>
        <c:lblAlgn val="ctr"/>
        <c:lblOffset val="100"/>
        <c:tickLblSkip val="1"/>
        <c:tickMarkSkip val="1"/>
        <c:noMultiLvlLbl val="0"/>
      </c:catAx>
      <c:valAx>
        <c:axId val="218933504"/>
        <c:scaling>
          <c:orientation val="minMax"/>
          <c:max val="16500"/>
          <c:min val="0"/>
        </c:scaling>
        <c:delete val="0"/>
        <c:axPos val="l"/>
        <c:title>
          <c:tx>
            <c:rich>
              <a:bodyPr/>
              <a:lstStyle/>
              <a:p>
                <a:pPr>
                  <a:defRPr sz="1600" b="0" i="0" u="none" strike="noStrike" baseline="0">
                    <a:solidFill>
                      <a:srgbClr val="000000"/>
                    </a:solidFill>
                    <a:latin typeface="Arial"/>
                    <a:ea typeface="Arial"/>
                    <a:cs typeface="Arial"/>
                  </a:defRPr>
                </a:pPr>
                <a:r>
                  <a:rPr lang="en-US"/>
                  <a:t>Number of Fish</a:t>
                </a:r>
              </a:p>
            </c:rich>
          </c:tx>
          <c:layout>
            <c:manualLayout>
              <c:xMode val="edge"/>
              <c:yMode val="edge"/>
              <c:x val="5.9314241770734067E-4"/>
              <c:y val="0.2098334136804328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8931584"/>
        <c:crosses val="autoZero"/>
        <c:crossBetween val="between"/>
      </c:valAx>
      <c:spPr>
        <a:noFill/>
        <a:ln w="25400">
          <a:noFill/>
        </a:ln>
      </c:spPr>
    </c:plotArea>
    <c:legend>
      <c:legendPos val="r"/>
      <c:layout>
        <c:manualLayout>
          <c:xMode val="edge"/>
          <c:yMode val="edge"/>
          <c:x val="0.16053245732818427"/>
          <c:y val="3.5705179709679145E-2"/>
          <c:w val="0.21100857615727969"/>
          <c:h val="0.26225721784776906"/>
        </c:manualLayout>
      </c:layout>
      <c:overlay val="1"/>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000000000000078" r="0.75000000000000078" t="1" header="0.5" footer="0.5"/>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Berners  &amp; Chilkat Rivers and Hugh Smith Lake</a:t>
            </a:r>
          </a:p>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 Coho SalmonTotal Run Size</a:t>
            </a:r>
          </a:p>
        </c:rich>
      </c:tx>
      <c:layout>
        <c:manualLayout>
          <c:xMode val="edge"/>
          <c:yMode val="edge"/>
          <c:x val="0.18275968992248062"/>
          <c:y val="2.9563932002956393E-3"/>
        </c:manualLayout>
      </c:layout>
      <c:overlay val="1"/>
    </c:title>
    <c:autoTitleDeleted val="0"/>
    <c:plotArea>
      <c:layout>
        <c:manualLayout>
          <c:layoutTarget val="inner"/>
          <c:xMode val="edge"/>
          <c:yMode val="edge"/>
          <c:x val="0.13414783617164139"/>
          <c:y val="8.3508330859972932E-2"/>
          <c:w val="0.73745907342977524"/>
          <c:h val="0.77656278552764035"/>
        </c:manualLayout>
      </c:layout>
      <c:lineChart>
        <c:grouping val="standard"/>
        <c:varyColors val="0"/>
        <c:ser>
          <c:idx val="0"/>
          <c:order val="0"/>
          <c:tx>
            <c:v>Berners River</c:v>
          </c:tx>
          <c:spPr>
            <a:ln>
              <a:solidFill>
                <a:srgbClr val="00B0F0"/>
              </a:solidFill>
            </a:ln>
          </c:spPr>
          <c:marker>
            <c:symbol val="none"/>
          </c:marker>
          <c:cat>
            <c:numRef>
              <c:f>'Catch_Escapement Data'!$A$54:$A$89</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Data'!$G$54:$G$89</c:f>
              <c:numCache>
                <c:formatCode>#,##0</c:formatCode>
                <c:ptCount val="36"/>
                <c:pt idx="0">
                  <c:v>32609.466443750003</c:v>
                </c:pt>
                <c:pt idx="1">
                  <c:v>34414.496114285736</c:v>
                </c:pt>
                <c:pt idx="3">
                  <c:v>24336.406934285711</c:v>
                </c:pt>
                <c:pt idx="4">
                  <c:v>24687.243790666638</c:v>
                </c:pt>
                <c:pt idx="5">
                  <c:v>13954.139353870971</c:v>
                </c:pt>
                <c:pt idx="6">
                  <c:v>15148.339939375004</c:v>
                </c:pt>
                <c:pt idx="7">
                  <c:v>19756.31947621622</c:v>
                </c:pt>
                <c:pt idx="8">
                  <c:v>33960.630254994823</c:v>
                </c:pt>
                <c:pt idx="9">
                  <c:v>34986.804854161077</c:v>
                </c:pt>
                <c:pt idx="10">
                  <c:v>45994.775120772909</c:v>
                </c:pt>
                <c:pt idx="11">
                  <c:v>49605.621649948298</c:v>
                </c:pt>
                <c:pt idx="12">
                  <c:v>73368.88840100923</c:v>
                </c:pt>
                <c:pt idx="13">
                  <c:v>28815.150686949062</c:v>
                </c:pt>
                <c:pt idx="14">
                  <c:v>23653.698673798015</c:v>
                </c:pt>
                <c:pt idx="15">
                  <c:v>15284.193293887598</c:v>
                </c:pt>
                <c:pt idx="16">
                  <c:v>23137.138818002408</c:v>
                </c:pt>
                <c:pt idx="17">
                  <c:v>33145.161085633677</c:v>
                </c:pt>
                <c:pt idx="18">
                  <c:v>21464.712363482147</c:v>
                </c:pt>
                <c:pt idx="19">
                  <c:v>32152.75112682458</c:v>
                </c:pt>
                <c:pt idx="20">
                  <c:v>49818.421037951979</c:v>
                </c:pt>
                <c:pt idx="21">
                  <c:v>29111.021630484258</c:v>
                </c:pt>
                <c:pt idx="22">
                  <c:v>33174.003930812047</c:v>
                </c:pt>
                <c:pt idx="23">
                  <c:v>12757.874942477867</c:v>
                </c:pt>
                <c:pt idx="24">
                  <c:v>15822.204102688618</c:v>
                </c:pt>
                <c:pt idx="25">
                  <c:v>8721.5504169317664</c:v>
                </c:pt>
                <c:pt idx="26">
                  <c:v>14366.759212206873</c:v>
                </c:pt>
                <c:pt idx="27">
                  <c:v>9317.4461149367089</c:v>
                </c:pt>
                <c:pt idx="28">
                  <c:v>21816.53139184419</c:v>
                </c:pt>
                <c:pt idx="29">
                  <c:v>12029.060059090903</c:v>
                </c:pt>
                <c:pt idx="30">
                  <c:v>8530.5066227316747</c:v>
                </c:pt>
                <c:pt idx="31">
                  <c:v>21067.581021634618</c:v>
                </c:pt>
                <c:pt idx="32">
                  <c:v>26648.29454920346</c:v>
                </c:pt>
                <c:pt idx="33">
                  <c:v>15649</c:v>
                </c:pt>
                <c:pt idx="34">
                  <c:v>9948.2170047798718</c:v>
                </c:pt>
                <c:pt idx="35">
                  <c:v>14298</c:v>
                </c:pt>
              </c:numCache>
            </c:numRef>
          </c:val>
          <c:smooth val="0"/>
        </c:ser>
        <c:ser>
          <c:idx val="2"/>
          <c:order val="2"/>
          <c:tx>
            <c:v>Chilkat x 0.15</c:v>
          </c:tx>
          <c:spPr>
            <a:ln>
              <a:solidFill>
                <a:srgbClr val="0070C0"/>
              </a:solidFill>
              <a:prstDash val="sysDash"/>
            </a:ln>
          </c:spPr>
          <c:marker>
            <c:symbol val="none"/>
          </c:marker>
          <c:val>
            <c:numRef>
              <c:f>'Catch_Escapement Data'!#REF!</c:f>
              <c:numCache>
                <c:formatCode>General</c:formatCode>
                <c:ptCount val="1"/>
                <c:pt idx="0">
                  <c:v>1</c:v>
                </c:pt>
              </c:numCache>
            </c:numRef>
          </c:val>
          <c:smooth val="0"/>
        </c:ser>
        <c:dLbls>
          <c:showLegendKey val="0"/>
          <c:showVal val="0"/>
          <c:showCatName val="0"/>
          <c:showSerName val="0"/>
          <c:showPercent val="0"/>
          <c:showBubbleSize val="0"/>
        </c:dLbls>
        <c:marker val="1"/>
        <c:smooth val="0"/>
        <c:axId val="218989696"/>
        <c:axId val="218991616"/>
      </c:lineChart>
      <c:lineChart>
        <c:grouping val="standard"/>
        <c:varyColors val="0"/>
        <c:ser>
          <c:idx val="1"/>
          <c:order val="1"/>
          <c:tx>
            <c:v>Hugh Smith Lake</c:v>
          </c:tx>
          <c:spPr>
            <a:ln>
              <a:solidFill>
                <a:srgbClr val="FF0000"/>
              </a:solidFill>
            </a:ln>
          </c:spPr>
          <c:marker>
            <c:symbol val="none"/>
          </c:marker>
          <c:val>
            <c:numRef>
              <c:f>'Catch_Escapement Data'!$G$130:$G$165</c:f>
              <c:numCache>
                <c:formatCode>#,##0</c:formatCode>
                <c:ptCount val="36"/>
                <c:pt idx="0">
                  <c:v>6132.3981005882351</c:v>
                </c:pt>
                <c:pt idx="1">
                  <c:v>3874.6376055912779</c:v>
                </c:pt>
                <c:pt idx="2">
                  <c:v>4023.6618032601609</c:v>
                </c:pt>
                <c:pt idx="3">
                  <c:v>2440.06340221957</c:v>
                </c:pt>
                <c:pt idx="4">
                  <c:v>4365.2427951680838</c:v>
                </c:pt>
                <c:pt idx="5">
                  <c:v>2243.7333250769234</c:v>
                </c:pt>
                <c:pt idx="6">
                  <c:v>1472.8414272727271</c:v>
                </c:pt>
                <c:pt idx="7">
                  <c:v>2404.1482196078432</c:v>
                </c:pt>
                <c:pt idx="8">
                  <c:v>4793.5998117647068</c:v>
                </c:pt>
                <c:pt idx="9">
                  <c:v>5766.7673997076809</c:v>
                </c:pt>
                <c:pt idx="10">
                  <c:v>4894.6816364759979</c:v>
                </c:pt>
                <c:pt idx="11">
                  <c:v>4241.8022695348827</c:v>
                </c:pt>
                <c:pt idx="12">
                  <c:v>9463.7586653711714</c:v>
                </c:pt>
                <c:pt idx="13">
                  <c:v>6708.1908790374337</c:v>
                </c:pt>
                <c:pt idx="14">
                  <c:v>3948.0198984923668</c:v>
                </c:pt>
                <c:pt idx="15">
                  <c:v>2695.6040093386764</c:v>
                </c:pt>
                <c:pt idx="16">
                  <c:v>4371.2672840690102</c:v>
                </c:pt>
                <c:pt idx="17">
                  <c:v>4221.182284270074</c:v>
                </c:pt>
                <c:pt idx="18">
                  <c:v>1346.4290088547482</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numCache>
            </c:numRef>
          </c:val>
          <c:smooth val="0"/>
        </c:ser>
        <c:dLbls>
          <c:showLegendKey val="0"/>
          <c:showVal val="0"/>
          <c:showCatName val="0"/>
          <c:showSerName val="0"/>
          <c:showPercent val="0"/>
          <c:showBubbleSize val="0"/>
        </c:dLbls>
        <c:marker val="1"/>
        <c:smooth val="0"/>
        <c:axId val="218997888"/>
        <c:axId val="218999424"/>
      </c:lineChart>
      <c:catAx>
        <c:axId val="218989696"/>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a:t>Year</a:t>
                </a:r>
              </a:p>
            </c:rich>
          </c:tx>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Arial"/>
                <a:ea typeface="Arial"/>
                <a:cs typeface="Arial"/>
              </a:defRPr>
            </a:pPr>
            <a:endParaRPr lang="en-US"/>
          </a:p>
        </c:txPr>
        <c:crossAx val="218991616"/>
        <c:crosses val="autoZero"/>
        <c:auto val="1"/>
        <c:lblAlgn val="ctr"/>
        <c:lblOffset val="100"/>
        <c:noMultiLvlLbl val="0"/>
      </c:catAx>
      <c:valAx>
        <c:axId val="218991616"/>
        <c:scaling>
          <c:orientation val="minMax"/>
          <c:max val="75000"/>
          <c:min val="0"/>
        </c:scaling>
        <c:delete val="0"/>
        <c:axPos val="l"/>
        <c:title>
          <c:tx>
            <c:rich>
              <a:bodyPr/>
              <a:lstStyle/>
              <a:p>
                <a:pPr>
                  <a:defRPr sz="1400" b="0" i="0" u="none" strike="noStrike" baseline="0">
                    <a:solidFill>
                      <a:srgbClr val="000000"/>
                    </a:solidFill>
                    <a:latin typeface="Arial"/>
                    <a:ea typeface="Arial"/>
                    <a:cs typeface="Arial"/>
                  </a:defRPr>
                </a:pPr>
                <a:r>
                  <a:rPr lang="en-US"/>
                  <a:t>Berners -Chilkat (Number of Fish)</a:t>
                </a:r>
              </a:p>
            </c:rich>
          </c:tx>
          <c:layout>
            <c:manualLayout>
              <c:xMode val="edge"/>
              <c:yMode val="edge"/>
              <c:x val="1.2033612077560073E-3"/>
              <c:y val="0.17266174322444727"/>
            </c:manualLayout>
          </c:layout>
          <c:overlay val="0"/>
        </c:title>
        <c:numFmt formatCode="#,##0" sourceLinked="1"/>
        <c:majorTickMark val="out"/>
        <c:minorTickMark val="none"/>
        <c:tickLblPos val="nextTo"/>
        <c:txPr>
          <a:bodyPr rot="0" vert="horz"/>
          <a:lstStyle/>
          <a:p>
            <a:pPr>
              <a:defRPr sz="1000" b="0" i="0" u="none" strike="noStrike" baseline="0">
                <a:solidFill>
                  <a:srgbClr val="000000"/>
                </a:solidFill>
                <a:latin typeface="Arial"/>
                <a:ea typeface="Arial"/>
                <a:cs typeface="Arial"/>
              </a:defRPr>
            </a:pPr>
            <a:endParaRPr lang="en-US"/>
          </a:p>
        </c:txPr>
        <c:crossAx val="218989696"/>
        <c:crosses val="autoZero"/>
        <c:crossBetween val="between"/>
        <c:majorUnit val="5000"/>
      </c:valAx>
      <c:catAx>
        <c:axId val="218997888"/>
        <c:scaling>
          <c:orientation val="minMax"/>
        </c:scaling>
        <c:delete val="1"/>
        <c:axPos val="b"/>
        <c:majorTickMark val="out"/>
        <c:minorTickMark val="none"/>
        <c:tickLblPos val="nextTo"/>
        <c:crossAx val="218999424"/>
        <c:crosses val="autoZero"/>
        <c:auto val="1"/>
        <c:lblAlgn val="ctr"/>
        <c:lblOffset val="100"/>
        <c:noMultiLvlLbl val="0"/>
      </c:catAx>
      <c:valAx>
        <c:axId val="218999424"/>
        <c:scaling>
          <c:orientation val="minMax"/>
        </c:scaling>
        <c:delete val="0"/>
        <c:axPos val="r"/>
        <c:title>
          <c:tx>
            <c:rich>
              <a:bodyPr/>
              <a:lstStyle/>
              <a:p>
                <a:pPr>
                  <a:defRPr sz="1400" b="0" i="0" u="none" strike="noStrike" baseline="0">
                    <a:solidFill>
                      <a:srgbClr val="000000"/>
                    </a:solidFill>
                    <a:latin typeface="Arial"/>
                    <a:ea typeface="Arial"/>
                    <a:cs typeface="Arial"/>
                  </a:defRPr>
                </a:pPr>
                <a:r>
                  <a:rPr lang="en-US"/>
                  <a:t>Hugh Smith Lake (Number of Fish)</a:t>
                </a:r>
              </a:p>
            </c:rich>
          </c:tx>
          <c:layout>
            <c:manualLayout>
              <c:xMode val="edge"/>
              <c:yMode val="edge"/>
              <c:x val="0.96051679586563299"/>
              <c:y val="0.14745115840564274"/>
            </c:manualLayout>
          </c:layout>
          <c:overlay val="0"/>
        </c:title>
        <c:numFmt formatCode="#,##0" sourceLinked="1"/>
        <c:majorTickMark val="out"/>
        <c:minorTickMark val="none"/>
        <c:tickLblPos val="nextTo"/>
        <c:txPr>
          <a:bodyPr rot="0" vert="horz"/>
          <a:lstStyle/>
          <a:p>
            <a:pPr>
              <a:defRPr sz="1000" b="0" i="0" u="none" strike="noStrike" baseline="0">
                <a:solidFill>
                  <a:srgbClr val="000000"/>
                </a:solidFill>
                <a:latin typeface="Arial"/>
                <a:ea typeface="Arial"/>
                <a:cs typeface="Arial"/>
              </a:defRPr>
            </a:pPr>
            <a:endParaRPr lang="en-US"/>
          </a:p>
        </c:txPr>
        <c:crossAx val="218997888"/>
        <c:crosses val="max"/>
        <c:crossBetween val="between"/>
      </c:valAx>
    </c:plotArea>
    <c:legend>
      <c:legendPos val="r"/>
      <c:layout>
        <c:manualLayout>
          <c:xMode val="edge"/>
          <c:yMode val="edge"/>
          <c:x val="0.49152267594457671"/>
          <c:y val="0.12782769116166467"/>
          <c:w val="0.29950395735416796"/>
          <c:h val="0.19054210241458178"/>
        </c:manualLayout>
      </c:layout>
      <c:overlay val="0"/>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000000000000022" l="0.70000000000000018" r="0.70000000000000018" t="0.75000000000000022" header="0.3000000000000001" footer="0.3000000000000001"/>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Ford Arm Creek</a:t>
            </a:r>
          </a:p>
        </c:rich>
      </c:tx>
      <c:layout>
        <c:manualLayout>
          <c:xMode val="edge"/>
          <c:yMode val="edge"/>
          <c:x val="0.39972622393261936"/>
          <c:y val="2.6726855478143768E-2"/>
        </c:manualLayout>
      </c:layout>
      <c:overlay val="0"/>
      <c:spPr>
        <a:noFill/>
        <a:ln w="25400">
          <a:noFill/>
        </a:ln>
      </c:spPr>
    </c:title>
    <c:autoTitleDeleted val="0"/>
    <c:plotArea>
      <c:layout>
        <c:manualLayout>
          <c:layoutTarget val="inner"/>
          <c:xMode val="edge"/>
          <c:yMode val="edge"/>
          <c:x val="0.23684245061472578"/>
          <c:y val="0.10294540548160382"/>
          <c:w val="0.72956282909683579"/>
          <c:h val="0.74944949016922757"/>
        </c:manualLayout>
      </c:layout>
      <c:barChart>
        <c:barDir val="col"/>
        <c:grouping val="stacked"/>
        <c:varyColors val="0"/>
        <c:ser>
          <c:idx val="2"/>
          <c:order val="0"/>
          <c:tx>
            <c:strRef>
              <c:f>#REF!</c:f>
            </c:strRef>
          </c:tx>
          <c:spPr>
            <a:solidFill>
              <a:srgbClr val="000000"/>
            </a:solidFill>
            <a:ln w="12700">
              <a:solidFill>
                <a:srgbClr val="000000"/>
              </a:solidFill>
              <a:prstDash val="solid"/>
            </a:ln>
          </c:spPr>
          <c:invertIfNegative val="0"/>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Data'!$D$93:$D$127</c:f>
              <c:numCache>
                <c:formatCode>#,##0</c:formatCode>
                <c:ptCount val="35"/>
                <c:pt idx="0">
                  <c:v>2655</c:v>
                </c:pt>
                <c:pt idx="1">
                  <c:v>1931</c:v>
                </c:pt>
                <c:pt idx="2">
                  <c:v>0</c:v>
                </c:pt>
                <c:pt idx="3">
                  <c:v>2324</c:v>
                </c:pt>
                <c:pt idx="4">
                  <c:v>1552</c:v>
                </c:pt>
                <c:pt idx="5">
                  <c:v>1694</c:v>
                </c:pt>
                <c:pt idx="6">
                  <c:v>3119</c:v>
                </c:pt>
                <c:pt idx="7">
                  <c:v>2176</c:v>
                </c:pt>
                <c:pt idx="8">
                  <c:v>2192</c:v>
                </c:pt>
                <c:pt idx="9">
                  <c:v>2761</c:v>
                </c:pt>
                <c:pt idx="10">
                  <c:v>3866</c:v>
                </c:pt>
                <c:pt idx="11">
                  <c:v>4202</c:v>
                </c:pt>
                <c:pt idx="12">
                  <c:v>3227</c:v>
                </c:pt>
                <c:pt idx="13">
                  <c:v>2446</c:v>
                </c:pt>
                <c:pt idx="14">
                  <c:v>2500</c:v>
                </c:pt>
                <c:pt idx="15">
                  <c:v>4718</c:v>
                </c:pt>
                <c:pt idx="16">
                  <c:v>7049</c:v>
                </c:pt>
                <c:pt idx="17">
                  <c:v>3800</c:v>
                </c:pt>
                <c:pt idx="18">
                  <c:v>2304</c:v>
                </c:pt>
                <c:pt idx="19">
                  <c:v>2209</c:v>
                </c:pt>
                <c:pt idx="20">
                  <c:v>7109</c:v>
                </c:pt>
                <c:pt idx="21">
                  <c:v>6789</c:v>
                </c:pt>
                <c:pt idx="22">
                  <c:v>3539</c:v>
                </c:pt>
                <c:pt idx="23">
                  <c:v>4257</c:v>
                </c:pt>
                <c:pt idx="24">
                  <c:v>4737</c:v>
                </c:pt>
                <c:pt idx="25">
                  <c:v>2567</c:v>
                </c:pt>
                <c:pt idx="26">
                  <c:v>5173</c:v>
                </c:pt>
                <c:pt idx="27">
                  <c:v>2181</c:v>
                </c:pt>
                <c:pt idx="28">
                  <c:v>1610</c:v>
                </c:pt>
                <c:pt idx="29">
                  <c:v>1908</c:v>
                </c:pt>
                <c:pt idx="30">
                  <c:v>2282</c:v>
                </c:pt>
                <c:pt idx="31">
                  <c:v>1573</c:v>
                </c:pt>
                <c:pt idx="32">
                  <c:v>3025</c:v>
                </c:pt>
                <c:pt idx="33">
                  <c:v>3281</c:v>
                </c:pt>
              </c:numCache>
            </c:numRef>
          </c:val>
        </c:ser>
        <c:ser>
          <c:idx val="0"/>
          <c:order val="1"/>
          <c:spPr>
            <a:solidFill>
              <a:srgbClr val="C0C0C0"/>
            </a:solidFill>
            <a:ln w="12700">
              <a:solidFill>
                <a:srgbClr val="000000"/>
              </a:solidFill>
              <a:prstDash val="solid"/>
            </a:ln>
          </c:spPr>
          <c:invertIfNegative val="0"/>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Data'!$C$93:$C$128</c:f>
              <c:numCache>
                <c:formatCode>#,##0</c:formatCode>
                <c:ptCount val="36"/>
                <c:pt idx="0">
                  <c:v>106</c:v>
                </c:pt>
                <c:pt idx="1">
                  <c:v>912</c:v>
                </c:pt>
                <c:pt idx="2">
                  <c:v>0</c:v>
                </c:pt>
                <c:pt idx="3">
                  <c:v>0</c:v>
                </c:pt>
                <c:pt idx="4">
                  <c:v>63</c:v>
                </c:pt>
                <c:pt idx="5">
                  <c:v>81</c:v>
                </c:pt>
                <c:pt idx="6">
                  <c:v>77</c:v>
                </c:pt>
                <c:pt idx="7">
                  <c:v>185</c:v>
                </c:pt>
                <c:pt idx="8">
                  <c:v>100</c:v>
                </c:pt>
                <c:pt idx="9">
                  <c:v>54</c:v>
                </c:pt>
                <c:pt idx="10">
                  <c:v>233</c:v>
                </c:pt>
                <c:pt idx="11">
                  <c:v>610</c:v>
                </c:pt>
                <c:pt idx="12">
                  <c:v>1404</c:v>
                </c:pt>
                <c:pt idx="13">
                  <c:v>759</c:v>
                </c:pt>
                <c:pt idx="14">
                  <c:v>281</c:v>
                </c:pt>
                <c:pt idx="15">
                  <c:v>351</c:v>
                </c:pt>
                <c:pt idx="16">
                  <c:v>1240</c:v>
                </c:pt>
                <c:pt idx="17">
                  <c:v>502</c:v>
                </c:pt>
                <c:pt idx="18">
                  <c:v>1141</c:v>
                </c:pt>
                <c:pt idx="19">
                  <c:v>595</c:v>
                </c:pt>
                <c:pt idx="20">
                  <c:v>2258</c:v>
                </c:pt>
                <c:pt idx="21">
                  <c:v>2274</c:v>
                </c:pt>
                <c:pt idx="22">
                  <c:v>843</c:v>
                </c:pt>
                <c:pt idx="23">
                  <c:v>732</c:v>
                </c:pt>
                <c:pt idx="24">
                  <c:v>1211</c:v>
                </c:pt>
                <c:pt idx="25">
                  <c:v>426</c:v>
                </c:pt>
                <c:pt idx="26">
                  <c:v>1324</c:v>
                </c:pt>
                <c:pt idx="27">
                  <c:v>341</c:v>
                </c:pt>
                <c:pt idx="28">
                  <c:v>702</c:v>
                </c:pt>
                <c:pt idx="29">
                  <c:v>6317</c:v>
                </c:pt>
                <c:pt idx="30">
                  <c:v>1013</c:v>
                </c:pt>
                <c:pt idx="31">
                  <c:v>2172</c:v>
                </c:pt>
                <c:pt idx="32">
                  <c:v>2727</c:v>
                </c:pt>
                <c:pt idx="33">
                  <c:v>498</c:v>
                </c:pt>
                <c:pt idx="35">
                  <c:v>0</c:v>
                </c:pt>
              </c:numCache>
            </c:numRef>
          </c:val>
        </c:ser>
        <c:ser>
          <c:idx val="1"/>
          <c:order val="2"/>
          <c:tx>
            <c:strRef>
              <c:f>#REF!</c:f>
            </c:strRef>
          </c:tx>
          <c:spPr>
            <a:solidFill>
              <a:srgbClr val="FFFFFF"/>
            </a:solidFill>
            <a:ln w="12700">
              <a:solidFill>
                <a:srgbClr val="000000"/>
              </a:solidFill>
              <a:prstDash val="solid"/>
            </a:ln>
          </c:spPr>
          <c:invertIfNegative val="0"/>
          <c:cat>
            <c:numRef>
              <c:f>'Berners River'!$A$11:$A$46</c:f>
              <c:numCache>
                <c:formatCode>0</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Data'!$B$93:$B$127</c:f>
              <c:numCache>
                <c:formatCode>#,##0</c:formatCode>
                <c:ptCount val="35"/>
                <c:pt idx="0">
                  <c:v>1927</c:v>
                </c:pt>
                <c:pt idx="1">
                  <c:v>3344</c:v>
                </c:pt>
                <c:pt idx="2">
                  <c:v>0</c:v>
                </c:pt>
                <c:pt idx="3">
                  <c:v>2482</c:v>
                </c:pt>
                <c:pt idx="4">
                  <c:v>2483</c:v>
                </c:pt>
                <c:pt idx="5">
                  <c:v>1458</c:v>
                </c:pt>
                <c:pt idx="6">
                  <c:v>2816</c:v>
                </c:pt>
                <c:pt idx="7">
                  <c:v>3799</c:v>
                </c:pt>
                <c:pt idx="8">
                  <c:v>2982</c:v>
                </c:pt>
                <c:pt idx="9">
                  <c:v>3203</c:v>
                </c:pt>
                <c:pt idx="10">
                  <c:v>5252</c:v>
                </c:pt>
                <c:pt idx="11">
                  <c:v>7749</c:v>
                </c:pt>
                <c:pt idx="12">
                  <c:v>6856</c:v>
                </c:pt>
                <c:pt idx="13">
                  <c:v>3582</c:v>
                </c:pt>
                <c:pt idx="14">
                  <c:v>3083</c:v>
                </c:pt>
                <c:pt idx="15">
                  <c:v>4702</c:v>
                </c:pt>
                <c:pt idx="16">
                  <c:v>7835</c:v>
                </c:pt>
                <c:pt idx="17">
                  <c:v>5893</c:v>
                </c:pt>
                <c:pt idx="18">
                  <c:v>4604</c:v>
                </c:pt>
                <c:pt idx="19">
                  <c:v>5821</c:v>
                </c:pt>
                <c:pt idx="20">
                  <c:v>5751</c:v>
                </c:pt>
                <c:pt idx="21">
                  <c:v>4154</c:v>
                </c:pt>
                <c:pt idx="22">
                  <c:v>7722</c:v>
                </c:pt>
                <c:pt idx="23">
                  <c:v>5134</c:v>
                </c:pt>
                <c:pt idx="24">
                  <c:v>3866</c:v>
                </c:pt>
                <c:pt idx="25">
                  <c:v>5673</c:v>
                </c:pt>
                <c:pt idx="26">
                  <c:v>4563</c:v>
                </c:pt>
                <c:pt idx="27">
                  <c:v>4604</c:v>
                </c:pt>
                <c:pt idx="28">
                  <c:v>2151</c:v>
                </c:pt>
                <c:pt idx="29">
                  <c:v>2613</c:v>
                </c:pt>
                <c:pt idx="30">
                  <c:v>2884</c:v>
                </c:pt>
                <c:pt idx="31">
                  <c:v>3426</c:v>
                </c:pt>
                <c:pt idx="32">
                  <c:v>4927</c:v>
                </c:pt>
                <c:pt idx="33">
                  <c:v>3078</c:v>
                </c:pt>
              </c:numCache>
            </c:numRef>
          </c:val>
        </c:ser>
        <c:dLbls>
          <c:showLegendKey val="0"/>
          <c:showVal val="0"/>
          <c:showCatName val="0"/>
          <c:showSerName val="0"/>
          <c:showPercent val="0"/>
          <c:showBubbleSize val="0"/>
        </c:dLbls>
        <c:gapWidth val="80"/>
        <c:overlap val="100"/>
        <c:axId val="220158208"/>
        <c:axId val="220164480"/>
      </c:barChart>
      <c:lineChart>
        <c:grouping val="standard"/>
        <c:varyColors val="0"/>
        <c:ser>
          <c:idx val="3"/>
          <c:order val="3"/>
          <c:spPr>
            <a:ln w="25400">
              <a:solidFill>
                <a:srgbClr val="000000"/>
              </a:solidFill>
              <a:prstDash val="solid"/>
            </a:ln>
          </c:spPr>
          <c:marker>
            <c:symbol val="none"/>
          </c:marker>
          <c:cat>
            <c:numRef>
              <c:f>'Catch_Escapement Data'!$A$93:$A$127</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'Catch_Escapement Data'!$F$93:$F$126</c:f>
              <c:numCache>
                <c:formatCode>#,##0</c:formatCode>
                <c:ptCount val="34"/>
                <c:pt idx="0">
                  <c:v>2900</c:v>
                </c:pt>
                <c:pt idx="1">
                  <c:v>2900</c:v>
                </c:pt>
                <c:pt idx="2">
                  <c:v>2900</c:v>
                </c:pt>
                <c:pt idx="3">
                  <c:v>2900</c:v>
                </c:pt>
                <c:pt idx="4">
                  <c:v>2900</c:v>
                </c:pt>
                <c:pt idx="5">
                  <c:v>2900</c:v>
                </c:pt>
                <c:pt idx="6">
                  <c:v>2900</c:v>
                </c:pt>
                <c:pt idx="7">
                  <c:v>2900</c:v>
                </c:pt>
                <c:pt idx="8">
                  <c:v>2900</c:v>
                </c:pt>
                <c:pt idx="9">
                  <c:v>2900</c:v>
                </c:pt>
                <c:pt idx="10">
                  <c:v>2900</c:v>
                </c:pt>
                <c:pt idx="11">
                  <c:v>2900</c:v>
                </c:pt>
                <c:pt idx="12">
                  <c:v>2900</c:v>
                </c:pt>
                <c:pt idx="13">
                  <c:v>2900</c:v>
                </c:pt>
                <c:pt idx="14">
                  <c:v>2900</c:v>
                </c:pt>
                <c:pt idx="15">
                  <c:v>2900</c:v>
                </c:pt>
                <c:pt idx="16">
                  <c:v>2900</c:v>
                </c:pt>
                <c:pt idx="17">
                  <c:v>2900</c:v>
                </c:pt>
                <c:pt idx="18">
                  <c:v>2900</c:v>
                </c:pt>
                <c:pt idx="19">
                  <c:v>2900</c:v>
                </c:pt>
                <c:pt idx="20">
                  <c:v>2900</c:v>
                </c:pt>
                <c:pt idx="21">
                  <c:v>2900</c:v>
                </c:pt>
                <c:pt idx="22">
                  <c:v>2900</c:v>
                </c:pt>
                <c:pt idx="23">
                  <c:v>2900</c:v>
                </c:pt>
                <c:pt idx="24">
                  <c:v>2900</c:v>
                </c:pt>
                <c:pt idx="25">
                  <c:v>2900</c:v>
                </c:pt>
                <c:pt idx="26">
                  <c:v>2900</c:v>
                </c:pt>
                <c:pt idx="27">
                  <c:v>2900</c:v>
                </c:pt>
                <c:pt idx="28">
                  <c:v>2900</c:v>
                </c:pt>
                <c:pt idx="29">
                  <c:v>2900</c:v>
                </c:pt>
                <c:pt idx="30">
                  <c:v>2900</c:v>
                </c:pt>
                <c:pt idx="31">
                  <c:v>2900</c:v>
                </c:pt>
                <c:pt idx="32">
                  <c:v>2900</c:v>
                </c:pt>
                <c:pt idx="33">
                  <c:v>2900</c:v>
                </c:pt>
              </c:numCache>
            </c:numRef>
          </c:val>
          <c:smooth val="0"/>
        </c:ser>
        <c:ser>
          <c:idx val="4"/>
          <c:order val="4"/>
          <c:spPr>
            <a:ln w="25400">
              <a:solidFill>
                <a:srgbClr val="000000"/>
              </a:solidFill>
              <a:prstDash val="solid"/>
            </a:ln>
          </c:spPr>
          <c:marker>
            <c:symbol val="none"/>
          </c:marker>
          <c:cat>
            <c:numRef>
              <c:f>'Catch_Escapement Data'!$A$93:$A$127</c:f>
              <c:numCache>
                <c:formatCode>General</c:formatCode>
                <c:ptCount val="35"/>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numCache>
            </c:numRef>
          </c:cat>
          <c:val>
            <c:numRef>
              <c:f>'Catch_Escapement Data'!$E$93:$E$126</c:f>
              <c:numCache>
                <c:formatCode>#,##0</c:formatCode>
                <c:ptCount val="34"/>
                <c:pt idx="0">
                  <c:v>1300</c:v>
                </c:pt>
                <c:pt idx="1">
                  <c:v>1300</c:v>
                </c:pt>
                <c:pt idx="2">
                  <c:v>1300</c:v>
                </c:pt>
                <c:pt idx="3">
                  <c:v>1300</c:v>
                </c:pt>
                <c:pt idx="4">
                  <c:v>1300</c:v>
                </c:pt>
                <c:pt idx="5">
                  <c:v>1300</c:v>
                </c:pt>
                <c:pt idx="6">
                  <c:v>1300</c:v>
                </c:pt>
                <c:pt idx="7">
                  <c:v>1300</c:v>
                </c:pt>
                <c:pt idx="8">
                  <c:v>1300</c:v>
                </c:pt>
                <c:pt idx="9">
                  <c:v>1300</c:v>
                </c:pt>
                <c:pt idx="10">
                  <c:v>1300</c:v>
                </c:pt>
                <c:pt idx="11">
                  <c:v>1300</c:v>
                </c:pt>
                <c:pt idx="12">
                  <c:v>1300</c:v>
                </c:pt>
                <c:pt idx="13">
                  <c:v>1300</c:v>
                </c:pt>
                <c:pt idx="14">
                  <c:v>1300</c:v>
                </c:pt>
                <c:pt idx="15">
                  <c:v>1300</c:v>
                </c:pt>
                <c:pt idx="16">
                  <c:v>1300</c:v>
                </c:pt>
                <c:pt idx="17">
                  <c:v>1300</c:v>
                </c:pt>
                <c:pt idx="18">
                  <c:v>1300</c:v>
                </c:pt>
                <c:pt idx="19">
                  <c:v>1300</c:v>
                </c:pt>
                <c:pt idx="20">
                  <c:v>1300</c:v>
                </c:pt>
                <c:pt idx="21">
                  <c:v>1300</c:v>
                </c:pt>
                <c:pt idx="22">
                  <c:v>1300</c:v>
                </c:pt>
                <c:pt idx="23">
                  <c:v>1300</c:v>
                </c:pt>
                <c:pt idx="24">
                  <c:v>1300</c:v>
                </c:pt>
                <c:pt idx="25">
                  <c:v>1300</c:v>
                </c:pt>
                <c:pt idx="26">
                  <c:v>1300</c:v>
                </c:pt>
                <c:pt idx="27">
                  <c:v>1300</c:v>
                </c:pt>
                <c:pt idx="28">
                  <c:v>1300</c:v>
                </c:pt>
                <c:pt idx="29">
                  <c:v>1300</c:v>
                </c:pt>
                <c:pt idx="30">
                  <c:v>1300</c:v>
                </c:pt>
                <c:pt idx="31">
                  <c:v>1300</c:v>
                </c:pt>
                <c:pt idx="32">
                  <c:v>1300</c:v>
                </c:pt>
                <c:pt idx="33">
                  <c:v>1300</c:v>
                </c:pt>
              </c:numCache>
            </c:numRef>
          </c:val>
          <c:smooth val="0"/>
        </c:ser>
        <c:dLbls>
          <c:showLegendKey val="0"/>
          <c:showVal val="0"/>
          <c:showCatName val="0"/>
          <c:showSerName val="0"/>
          <c:showPercent val="0"/>
          <c:showBubbleSize val="0"/>
        </c:dLbls>
        <c:marker val="1"/>
        <c:smooth val="0"/>
        <c:axId val="220158208"/>
        <c:axId val="220164480"/>
      </c:lineChart>
      <c:catAx>
        <c:axId val="22015820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3633879366365378"/>
              <c:y val="0.94938917975567194"/>
            </c:manualLayout>
          </c:layout>
          <c:overlay val="0"/>
        </c:title>
        <c:numFmt formatCode="0" sourceLinked="1"/>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20164480"/>
        <c:crosses val="autoZero"/>
        <c:auto val="0"/>
        <c:lblAlgn val="ctr"/>
        <c:lblOffset val="100"/>
        <c:tickLblSkip val="2"/>
        <c:tickMarkSkip val="1"/>
        <c:noMultiLvlLbl val="0"/>
      </c:catAx>
      <c:valAx>
        <c:axId val="220164480"/>
        <c:scaling>
          <c:orientation val="minMax"/>
          <c:max val="16500"/>
          <c:min val="0"/>
        </c:scaling>
        <c:delete val="0"/>
        <c:axPos val="l"/>
        <c:title>
          <c:tx>
            <c:rich>
              <a:bodyPr/>
              <a:lstStyle/>
              <a:p>
                <a:pPr>
                  <a:defRPr sz="1000" b="1" i="0" u="none" strike="noStrike" baseline="0">
                    <a:solidFill>
                      <a:srgbClr val="000000"/>
                    </a:solidFill>
                    <a:latin typeface="Arial"/>
                    <a:ea typeface="Arial"/>
                    <a:cs typeface="Arial"/>
                  </a:defRPr>
                </a:pPr>
                <a:r>
                  <a:rPr lang="en-US"/>
                  <a:t>Number of Coho Salmon</a:t>
                </a:r>
              </a:p>
            </c:rich>
          </c:tx>
          <c:layout>
            <c:manualLayout>
              <c:xMode val="edge"/>
              <c:yMode val="edge"/>
              <c:x val="1.6151100083550651E-2"/>
              <c:y val="0.2651776119608085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20158208"/>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userShapes r:id="rId1"/>
</c:chartSpace>
</file>

<file path=xl/charts/chart10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sz="1600"/>
              <a:t>Auke Creek</a:t>
            </a:r>
          </a:p>
        </c:rich>
      </c:tx>
      <c:layout>
        <c:manualLayout>
          <c:xMode val="edge"/>
          <c:yMode val="edge"/>
          <c:x val="0.41272346362110141"/>
          <c:y val="4.657416411425707E-3"/>
        </c:manualLayout>
      </c:layout>
      <c:overlay val="0"/>
      <c:spPr>
        <a:noFill/>
        <a:ln w="25400">
          <a:noFill/>
        </a:ln>
      </c:spPr>
    </c:title>
    <c:autoTitleDeleted val="0"/>
    <c:plotArea>
      <c:layout>
        <c:manualLayout>
          <c:layoutTarget val="inner"/>
          <c:xMode val="edge"/>
          <c:yMode val="edge"/>
          <c:x val="0.12243020973729635"/>
          <c:y val="8.5358856005068331E-2"/>
          <c:w val="0.86107133905559108"/>
          <c:h val="0.7711726551422452"/>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Data'!$A$7:$A$43</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Data'!$D$7:$D$43</c:f>
              <c:numCache>
                <c:formatCode>#,##0</c:formatCode>
                <c:ptCount val="37"/>
                <c:pt idx="0">
                  <c:v>447</c:v>
                </c:pt>
                <c:pt idx="1">
                  <c:v>694</c:v>
                </c:pt>
                <c:pt idx="2">
                  <c:v>651</c:v>
                </c:pt>
                <c:pt idx="3">
                  <c:v>942</c:v>
                </c:pt>
                <c:pt idx="4">
                  <c:v>454</c:v>
                </c:pt>
                <c:pt idx="5">
                  <c:v>668</c:v>
                </c:pt>
                <c:pt idx="6">
                  <c:v>756</c:v>
                </c:pt>
                <c:pt idx="7">
                  <c:v>502</c:v>
                </c:pt>
                <c:pt idx="8">
                  <c:v>697</c:v>
                </c:pt>
                <c:pt idx="9">
                  <c:v>808</c:v>
                </c:pt>
                <c:pt idx="10">
                  <c:v>1020</c:v>
                </c:pt>
                <c:pt idx="11">
                  <c:v>859</c:v>
                </c:pt>
                <c:pt idx="12">
                  <c:v>1437</c:v>
                </c:pt>
                <c:pt idx="13">
                  <c:v>460</c:v>
                </c:pt>
                <c:pt idx="14">
                  <c:v>515</c:v>
                </c:pt>
                <c:pt idx="15">
                  <c:v>609</c:v>
                </c:pt>
                <c:pt idx="16">
                  <c:v>862</c:v>
                </c:pt>
                <c:pt idx="17">
                  <c:v>845</c:v>
                </c:pt>
                <c:pt idx="18">
                  <c:v>683</c:v>
                </c:pt>
                <c:pt idx="19">
                  <c:v>865</c:v>
                </c:pt>
                <c:pt idx="20">
                  <c:v>1176</c:v>
                </c:pt>
                <c:pt idx="21">
                  <c:v>585</c:v>
                </c:pt>
                <c:pt idx="22">
                  <c:v>416</c:v>
                </c:pt>
                <c:pt idx="23">
                  <c:v>450</c:v>
                </c:pt>
                <c:pt idx="24">
                  <c:v>581</c:v>
                </c:pt>
                <c:pt idx="25">
                  <c:v>352</c:v>
                </c:pt>
                <c:pt idx="26">
                  <c:v>600</c:v>
                </c:pt>
                <c:pt idx="27">
                  <c:v>360</c:v>
                </c:pt>
                <c:pt idx="28">
                  <c:v>417</c:v>
                </c:pt>
                <c:pt idx="29">
                  <c:v>517</c:v>
                </c:pt>
                <c:pt idx="30">
                  <c:v>837</c:v>
                </c:pt>
                <c:pt idx="31">
                  <c:v>736</c:v>
                </c:pt>
                <c:pt idx="32">
                  <c:v>1533</c:v>
                </c:pt>
                <c:pt idx="33">
                  <c:v>517</c:v>
                </c:pt>
                <c:pt idx="34">
                  <c:v>204</c:v>
                </c:pt>
                <c:pt idx="35">
                  <c:v>283</c:v>
                </c:pt>
                <c:pt idx="36">
                  <c:v>142</c:v>
                </c:pt>
              </c:numCache>
            </c:numRef>
          </c:val>
        </c:ser>
        <c:ser>
          <c:idx val="0"/>
          <c:order val="1"/>
          <c:tx>
            <c:v>Other</c:v>
          </c:tx>
          <c:spPr>
            <a:solidFill>
              <a:srgbClr val="C0C0C0"/>
            </a:solidFill>
            <a:ln w="12700">
              <a:solidFill>
                <a:srgbClr val="000000"/>
              </a:solidFill>
              <a:prstDash val="solid"/>
            </a:ln>
          </c:spPr>
          <c:invertIfNegative val="0"/>
          <c:cat>
            <c:numRef>
              <c:f>'Catch_Escapement Data'!$A$7:$A$43</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Data'!$C$7:$C$43</c:f>
              <c:numCache>
                <c:formatCode>#,##0</c:formatCode>
                <c:ptCount val="37"/>
                <c:pt idx="0">
                  <c:v>143</c:v>
                </c:pt>
                <c:pt idx="1">
                  <c:v>160</c:v>
                </c:pt>
                <c:pt idx="2">
                  <c:v>72</c:v>
                </c:pt>
                <c:pt idx="3">
                  <c:v>147</c:v>
                </c:pt>
                <c:pt idx="4">
                  <c:v>99</c:v>
                </c:pt>
                <c:pt idx="5">
                  <c:v>73</c:v>
                </c:pt>
                <c:pt idx="6">
                  <c:v>139</c:v>
                </c:pt>
                <c:pt idx="7">
                  <c:v>71</c:v>
                </c:pt>
                <c:pt idx="8">
                  <c:v>150</c:v>
                </c:pt>
                <c:pt idx="9">
                  <c:v>171</c:v>
                </c:pt>
                <c:pt idx="10">
                  <c:v>252</c:v>
                </c:pt>
                <c:pt idx="11">
                  <c:v>119</c:v>
                </c:pt>
                <c:pt idx="12">
                  <c:v>554</c:v>
                </c:pt>
                <c:pt idx="13">
                  <c:v>96</c:v>
                </c:pt>
                <c:pt idx="14">
                  <c:v>180</c:v>
                </c:pt>
                <c:pt idx="15">
                  <c:v>54</c:v>
                </c:pt>
                <c:pt idx="16">
                  <c:v>114</c:v>
                </c:pt>
                <c:pt idx="17">
                  <c:v>105</c:v>
                </c:pt>
                <c:pt idx="18">
                  <c:v>58</c:v>
                </c:pt>
                <c:pt idx="19">
                  <c:v>106</c:v>
                </c:pt>
                <c:pt idx="20">
                  <c:v>136</c:v>
                </c:pt>
                <c:pt idx="21">
                  <c:v>108</c:v>
                </c:pt>
                <c:pt idx="22">
                  <c:v>133</c:v>
                </c:pt>
                <c:pt idx="23">
                  <c:v>37</c:v>
                </c:pt>
                <c:pt idx="24">
                  <c:v>103</c:v>
                </c:pt>
                <c:pt idx="25">
                  <c:v>50</c:v>
                </c:pt>
                <c:pt idx="26">
                  <c:v>85</c:v>
                </c:pt>
                <c:pt idx="27">
                  <c:v>54</c:v>
                </c:pt>
                <c:pt idx="28">
                  <c:v>156</c:v>
                </c:pt>
                <c:pt idx="29">
                  <c:v>140</c:v>
                </c:pt>
                <c:pt idx="30">
                  <c:v>28</c:v>
                </c:pt>
                <c:pt idx="31">
                  <c:v>124</c:v>
                </c:pt>
                <c:pt idx="32">
                  <c:v>128</c:v>
                </c:pt>
                <c:pt idx="33">
                  <c:v>33</c:v>
                </c:pt>
                <c:pt idx="34">
                  <c:v>49</c:v>
                </c:pt>
                <c:pt idx="35">
                  <c:v>33</c:v>
                </c:pt>
                <c:pt idx="36">
                  <c:v>99</c:v>
                </c:pt>
              </c:numCache>
            </c:numRef>
          </c:val>
        </c:ser>
        <c:ser>
          <c:idx val="1"/>
          <c:order val="2"/>
          <c:tx>
            <c:v>Alaska Troll</c:v>
          </c:tx>
          <c:spPr>
            <a:solidFill>
              <a:srgbClr val="FFFFFF"/>
            </a:solidFill>
            <a:ln w="12700">
              <a:solidFill>
                <a:srgbClr val="000000"/>
              </a:solidFill>
              <a:prstDash val="solid"/>
            </a:ln>
          </c:spPr>
          <c:invertIfNegative val="0"/>
          <c:cat>
            <c:numRef>
              <c:f>'Catch_Escapement Data'!$A$7:$A$43</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Data'!$B$7:$B$43</c:f>
              <c:numCache>
                <c:formatCode>#,##0</c:formatCode>
                <c:ptCount val="37"/>
                <c:pt idx="0">
                  <c:v>149</c:v>
                </c:pt>
                <c:pt idx="1">
                  <c:v>385</c:v>
                </c:pt>
                <c:pt idx="2">
                  <c:v>372</c:v>
                </c:pt>
                <c:pt idx="3">
                  <c:v>594</c:v>
                </c:pt>
                <c:pt idx="4">
                  <c:v>421</c:v>
                </c:pt>
                <c:pt idx="5">
                  <c:v>438</c:v>
                </c:pt>
                <c:pt idx="6">
                  <c:v>306</c:v>
                </c:pt>
                <c:pt idx="7">
                  <c:v>533</c:v>
                </c:pt>
                <c:pt idx="8">
                  <c:v>635</c:v>
                </c:pt>
                <c:pt idx="9">
                  <c:v>200</c:v>
                </c:pt>
                <c:pt idx="10">
                  <c:v>603</c:v>
                </c:pt>
                <c:pt idx="11">
                  <c:v>611</c:v>
                </c:pt>
                <c:pt idx="12">
                  <c:v>1064</c:v>
                </c:pt>
                <c:pt idx="13">
                  <c:v>264</c:v>
                </c:pt>
                <c:pt idx="14">
                  <c:v>446</c:v>
                </c:pt>
                <c:pt idx="15">
                  <c:v>94</c:v>
                </c:pt>
                <c:pt idx="16">
                  <c:v>437</c:v>
                </c:pt>
                <c:pt idx="17">
                  <c:v>485</c:v>
                </c:pt>
                <c:pt idx="18">
                  <c:v>228</c:v>
                </c:pt>
                <c:pt idx="19">
                  <c:v>435</c:v>
                </c:pt>
                <c:pt idx="20">
                  <c:v>288</c:v>
                </c:pt>
                <c:pt idx="21">
                  <c:v>211</c:v>
                </c:pt>
                <c:pt idx="22">
                  <c:v>199</c:v>
                </c:pt>
                <c:pt idx="23">
                  <c:v>240</c:v>
                </c:pt>
                <c:pt idx="24">
                  <c:v>196</c:v>
                </c:pt>
                <c:pt idx="25">
                  <c:v>134</c:v>
                </c:pt>
                <c:pt idx="26">
                  <c:v>292</c:v>
                </c:pt>
                <c:pt idx="27">
                  <c:v>179</c:v>
                </c:pt>
                <c:pt idx="28">
                  <c:v>194</c:v>
                </c:pt>
                <c:pt idx="29">
                  <c:v>137</c:v>
                </c:pt>
                <c:pt idx="30">
                  <c:v>212</c:v>
                </c:pt>
                <c:pt idx="31">
                  <c:v>406</c:v>
                </c:pt>
                <c:pt idx="32">
                  <c:v>265</c:v>
                </c:pt>
                <c:pt idx="33">
                  <c:v>140</c:v>
                </c:pt>
                <c:pt idx="34">
                  <c:v>20</c:v>
                </c:pt>
                <c:pt idx="35">
                  <c:v>163</c:v>
                </c:pt>
                <c:pt idx="36">
                  <c:v>57</c:v>
                </c:pt>
              </c:numCache>
            </c:numRef>
          </c:val>
        </c:ser>
        <c:dLbls>
          <c:showLegendKey val="0"/>
          <c:showVal val="0"/>
          <c:showCatName val="0"/>
          <c:showSerName val="0"/>
          <c:showPercent val="0"/>
          <c:showBubbleSize val="0"/>
        </c:dLbls>
        <c:gapWidth val="80"/>
        <c:overlap val="100"/>
        <c:axId val="220028928"/>
        <c:axId val="220030464"/>
      </c:barChart>
      <c:lineChart>
        <c:grouping val="standard"/>
        <c:varyColors val="0"/>
        <c:ser>
          <c:idx val="3"/>
          <c:order val="3"/>
          <c:tx>
            <c:v>Goal</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Data'!$F$7:$F$43</c:f>
              <c:numCache>
                <c:formatCode>#,##0</c:formatCode>
                <c:ptCount val="37"/>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pt idx="36">
                  <c:v>500</c:v>
                </c:pt>
              </c:numCache>
            </c:numRef>
          </c:val>
          <c:smooth val="0"/>
        </c:ser>
        <c:ser>
          <c:idx val="4"/>
          <c:order val="4"/>
          <c:tx>
            <c:v>Goal Bounds</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Data'!$E$7:$E$43</c:f>
              <c:numCache>
                <c:formatCode>#,##0</c:formatCode>
                <c:ptCount val="37"/>
                <c:pt idx="0">
                  <c:v>200</c:v>
                </c:pt>
                <c:pt idx="1">
                  <c:v>200</c:v>
                </c:pt>
                <c:pt idx="2">
                  <c:v>200</c:v>
                </c:pt>
                <c:pt idx="3">
                  <c:v>200</c:v>
                </c:pt>
                <c:pt idx="4">
                  <c:v>200</c:v>
                </c:pt>
                <c:pt idx="5">
                  <c:v>200</c:v>
                </c:pt>
                <c:pt idx="6">
                  <c:v>200</c:v>
                </c:pt>
                <c:pt idx="7">
                  <c:v>200</c:v>
                </c:pt>
                <c:pt idx="8">
                  <c:v>200</c:v>
                </c:pt>
                <c:pt idx="9">
                  <c:v>200</c:v>
                </c:pt>
                <c:pt idx="10">
                  <c:v>200</c:v>
                </c:pt>
                <c:pt idx="11">
                  <c:v>200</c:v>
                </c:pt>
                <c:pt idx="12">
                  <c:v>200</c:v>
                </c:pt>
                <c:pt idx="13">
                  <c:v>200</c:v>
                </c:pt>
                <c:pt idx="14">
                  <c:v>200</c:v>
                </c:pt>
                <c:pt idx="15">
                  <c:v>200</c:v>
                </c:pt>
                <c:pt idx="16">
                  <c:v>200</c:v>
                </c:pt>
                <c:pt idx="17">
                  <c:v>200</c:v>
                </c:pt>
                <c:pt idx="18">
                  <c:v>200</c:v>
                </c:pt>
                <c:pt idx="19">
                  <c:v>200</c:v>
                </c:pt>
                <c:pt idx="20">
                  <c:v>200</c:v>
                </c:pt>
                <c:pt idx="21">
                  <c:v>200</c:v>
                </c:pt>
                <c:pt idx="22">
                  <c:v>200</c:v>
                </c:pt>
                <c:pt idx="23">
                  <c:v>200</c:v>
                </c:pt>
                <c:pt idx="24">
                  <c:v>200</c:v>
                </c:pt>
                <c:pt idx="25">
                  <c:v>200</c:v>
                </c:pt>
                <c:pt idx="26">
                  <c:v>200</c:v>
                </c:pt>
                <c:pt idx="27">
                  <c:v>200</c:v>
                </c:pt>
                <c:pt idx="28">
                  <c:v>200</c:v>
                </c:pt>
                <c:pt idx="29">
                  <c:v>200</c:v>
                </c:pt>
                <c:pt idx="30">
                  <c:v>200</c:v>
                </c:pt>
                <c:pt idx="31">
                  <c:v>200</c:v>
                </c:pt>
                <c:pt idx="32">
                  <c:v>200</c:v>
                </c:pt>
                <c:pt idx="33">
                  <c:v>200</c:v>
                </c:pt>
                <c:pt idx="34">
                  <c:v>200</c:v>
                </c:pt>
                <c:pt idx="35">
                  <c:v>200</c:v>
                </c:pt>
                <c:pt idx="36">
                  <c:v>200</c:v>
                </c:pt>
              </c:numCache>
            </c:numRef>
          </c:val>
          <c:smooth val="0"/>
        </c:ser>
        <c:dLbls>
          <c:showLegendKey val="0"/>
          <c:showVal val="0"/>
          <c:showCatName val="0"/>
          <c:showSerName val="0"/>
          <c:showPercent val="0"/>
          <c:showBubbleSize val="0"/>
        </c:dLbls>
        <c:marker val="1"/>
        <c:smooth val="0"/>
        <c:axId val="220028928"/>
        <c:axId val="220030464"/>
      </c:lineChart>
      <c:catAx>
        <c:axId val="220028928"/>
        <c:scaling>
          <c:orientation val="minMax"/>
        </c:scaling>
        <c:delete val="0"/>
        <c:axPos val="b"/>
        <c:numFmt formatCode="0" sourceLinked="0"/>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20030464"/>
        <c:crosses val="autoZero"/>
        <c:auto val="0"/>
        <c:lblAlgn val="ctr"/>
        <c:lblOffset val="100"/>
        <c:tickLblSkip val="2"/>
        <c:tickMarkSkip val="1"/>
        <c:noMultiLvlLbl val="0"/>
      </c:catAx>
      <c:valAx>
        <c:axId val="220030464"/>
        <c:scaling>
          <c:orientation val="minMax"/>
          <c:max val="3100"/>
          <c:min val="0"/>
        </c:scaling>
        <c:delete val="0"/>
        <c:axPos val="l"/>
        <c:title>
          <c:tx>
            <c:rich>
              <a:bodyPr/>
              <a:lstStyle/>
              <a:p>
                <a:pPr>
                  <a:defRPr sz="1400" b="1" i="0" u="none" strike="noStrike" baseline="0">
                    <a:solidFill>
                      <a:srgbClr val="000000"/>
                    </a:solidFill>
                    <a:latin typeface="Arial"/>
                    <a:ea typeface="Arial"/>
                    <a:cs typeface="Arial"/>
                  </a:defRPr>
                </a:pPr>
                <a:r>
                  <a:rPr lang="en-US" sz="1400"/>
                  <a:t>Number of Coho Salmon</a:t>
                </a:r>
              </a:p>
            </c:rich>
          </c:tx>
          <c:layout>
            <c:manualLayout>
              <c:xMode val="edge"/>
              <c:yMode val="edge"/>
              <c:x val="1.4832470265541131E-3"/>
              <c:y val="0.1606728906694771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20028928"/>
        <c:crosses val="autoZero"/>
        <c:crossBetween val="between"/>
      </c:valAx>
      <c:spPr>
        <a:noFill/>
        <a:ln w="25400">
          <a:noFill/>
        </a:ln>
      </c:spPr>
    </c:plotArea>
    <c:legend>
      <c:legendPos val="r"/>
      <c:legendEntry>
        <c:idx val="3"/>
        <c:delete val="1"/>
      </c:legendEntry>
      <c:layout>
        <c:manualLayout>
          <c:xMode val="edge"/>
          <c:yMode val="edge"/>
          <c:x val="0.52668359698280953"/>
          <c:y val="0.12499880367129354"/>
          <c:w val="0.36633754662246165"/>
          <c:h val="0.30391911483856521"/>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chartSpace>
</file>

<file path=xl/charts/chart10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Berners River</a:t>
            </a:r>
          </a:p>
        </c:rich>
      </c:tx>
      <c:layout>
        <c:manualLayout>
          <c:xMode val="edge"/>
          <c:yMode val="edge"/>
          <c:x val="0.41032106121869899"/>
          <c:y val="4.5173081937060641E-2"/>
        </c:manualLayout>
      </c:layout>
      <c:overlay val="0"/>
      <c:spPr>
        <a:noFill/>
        <a:ln w="25400">
          <a:noFill/>
        </a:ln>
      </c:spPr>
    </c:title>
    <c:autoTitleDeleted val="0"/>
    <c:plotArea>
      <c:layout>
        <c:manualLayout>
          <c:layoutTarget val="inner"/>
          <c:xMode val="edge"/>
          <c:yMode val="edge"/>
          <c:x val="0.12243020973729635"/>
          <c:y val="8.5358856005068331E-2"/>
          <c:w val="0.86107133905559108"/>
          <c:h val="0.7711726551422452"/>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Data'!$I$54:$I$90</c:f>
              <c:numCache>
                <c:formatCode>General_)</c:formatCode>
                <c:ptCount val="37"/>
                <c:pt idx="7" formatCode="#,##0">
                  <c:v>9320</c:v>
                </c:pt>
                <c:pt idx="8" formatCode="#,##0">
                  <c:v>13715</c:v>
                </c:pt>
                <c:pt idx="9" formatCode="#,##0">
                  <c:v>14311</c:v>
                </c:pt>
                <c:pt idx="10" formatCode="#,##0">
                  <c:v>18991</c:v>
                </c:pt>
                <c:pt idx="11" formatCode="#,##0">
                  <c:v>19450</c:v>
                </c:pt>
                <c:pt idx="12" formatCode="#,##0">
                  <c:v>19760</c:v>
                </c:pt>
                <c:pt idx="13" formatCode="#,##0">
                  <c:v>6138</c:v>
                </c:pt>
                <c:pt idx="14" formatCode="#,##0">
                  <c:v>7509</c:v>
                </c:pt>
                <c:pt idx="15" formatCode="#,##0">
                  <c:v>12474</c:v>
                </c:pt>
                <c:pt idx="16" formatCode="#,##0">
                  <c:v>8443</c:v>
                </c:pt>
                <c:pt idx="17" formatCode="#,##0">
                  <c:v>12313</c:v>
                </c:pt>
                <c:pt idx="18" formatCode="#,##0">
                  <c:v>13219</c:v>
                </c:pt>
                <c:pt idx="19" formatCode="#,##0">
                  <c:v>23943</c:v>
                </c:pt>
                <c:pt idx="20" formatCode="#,##0">
                  <c:v>34382</c:v>
                </c:pt>
                <c:pt idx="21" formatCode="#,##0">
                  <c:v>12549</c:v>
                </c:pt>
                <c:pt idx="22" formatCode="#,##0">
                  <c:v>17936</c:v>
                </c:pt>
                <c:pt idx="23" formatCode="#,##0">
                  <c:v>6479</c:v>
                </c:pt>
                <c:pt idx="24" formatCode="#,##0">
                  <c:v>6789</c:v>
                </c:pt>
                <c:pt idx="25" formatCode="#,##0">
                  <c:v>4859</c:v>
                </c:pt>
                <c:pt idx="26" formatCode="#,##0">
                  <c:v>8527</c:v>
                </c:pt>
                <c:pt idx="27" formatCode="#,##0">
                  <c:v>5250</c:v>
                </c:pt>
                <c:pt idx="28" formatCode="#,##0">
                  <c:v>9334</c:v>
                </c:pt>
                <c:pt idx="29" formatCode="#,##0">
                  <c:v>7509</c:v>
                </c:pt>
                <c:pt idx="30" formatCode="#,##0">
                  <c:v>6802</c:v>
                </c:pt>
                <c:pt idx="31" formatCode="#,##0">
                  <c:v>7795</c:v>
                </c:pt>
                <c:pt idx="32" formatCode="#,##0">
                  <c:v>19214</c:v>
                </c:pt>
                <c:pt idx="33" formatCode="#,##0">
                  <c:v>12338</c:v>
                </c:pt>
                <c:pt idx="34" formatCode="#,##0">
                  <c:v>8357</c:v>
                </c:pt>
                <c:pt idx="35" formatCode="#,##0">
                  <c:v>8738</c:v>
                </c:pt>
                <c:pt idx="36" formatCode="#,##0">
                  <c:v>4406</c:v>
                </c:pt>
              </c:numCache>
            </c:numRef>
          </c:val>
        </c:ser>
        <c:ser>
          <c:idx val="0"/>
          <c:order val="1"/>
          <c:tx>
            <c:v>Other</c:v>
          </c:tx>
          <c:spPr>
            <a:solidFill>
              <a:srgbClr val="C0C0C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Data'!$M$54:$M$90</c:f>
              <c:numCache>
                <c:formatCode>#,##0</c:formatCode>
                <c:ptCount val="37"/>
                <c:pt idx="7">
                  <c:v>1664.5295875675677</c:v>
                </c:pt>
                <c:pt idx="8">
                  <c:v>7903.7236924422314</c:v>
                </c:pt>
                <c:pt idx="9">
                  <c:v>17008.220035610553</c:v>
                </c:pt>
                <c:pt idx="10">
                  <c:v>15376.580432960342</c:v>
                </c:pt>
                <c:pt idx="11">
                  <c:v>14627.286861220649</c:v>
                </c:pt>
                <c:pt idx="12">
                  <c:v>30109.870411608859</c:v>
                </c:pt>
                <c:pt idx="13">
                  <c:v>15104.459928559276</c:v>
                </c:pt>
                <c:pt idx="14">
                  <c:v>7074.9686336538462</c:v>
                </c:pt>
                <c:pt idx="15">
                  <c:v>2781.3509854027516</c:v>
                </c:pt>
                <c:pt idx="16">
                  <c:v>5910.6912592145454</c:v>
                </c:pt>
                <c:pt idx="17">
                  <c:v>10348.749160845062</c:v>
                </c:pt>
                <c:pt idx="18">
                  <c:v>6004.0087996874972</c:v>
                </c:pt>
                <c:pt idx="19">
                  <c:v>4048.4054414634797</c:v>
                </c:pt>
                <c:pt idx="20">
                  <c:v>13468.621889380582</c:v>
                </c:pt>
                <c:pt idx="21">
                  <c:v>12178.241481890531</c:v>
                </c:pt>
                <c:pt idx="22">
                  <c:v>7932.1244014004769</c:v>
                </c:pt>
                <c:pt idx="23">
                  <c:v>2899.1893495575223</c:v>
                </c:pt>
                <c:pt idx="24">
                  <c:v>6270.6875726886228</c:v>
                </c:pt>
                <c:pt idx="25">
                  <c:v>1869.0850097283762</c:v>
                </c:pt>
                <c:pt idx="26">
                  <c:v>3618.5646731159577</c:v>
                </c:pt>
                <c:pt idx="27">
                  <c:v>2280.7571149367091</c:v>
                </c:pt>
                <c:pt idx="28">
                  <c:v>7845.4991998376936</c:v>
                </c:pt>
                <c:pt idx="29">
                  <c:v>2257.4466386363638</c:v>
                </c:pt>
                <c:pt idx="30">
                  <c:v>979.64220288319086</c:v>
                </c:pt>
                <c:pt idx="31">
                  <c:v>7266.9495325000007</c:v>
                </c:pt>
                <c:pt idx="32">
                  <c:v>6867.170445164742</c:v>
                </c:pt>
                <c:pt idx="33">
                  <c:v>2166</c:v>
                </c:pt>
                <c:pt idx="34">
                  <c:v>2295.8126686792439</c:v>
                </c:pt>
                <c:pt idx="35">
                  <c:v>2803</c:v>
                </c:pt>
                <c:pt idx="36">
                  <c:v>3143</c:v>
                </c:pt>
              </c:numCache>
            </c:numRef>
          </c:val>
        </c:ser>
        <c:ser>
          <c:idx val="1"/>
          <c:order val="2"/>
          <c:tx>
            <c:v>Alaska Troll</c:v>
          </c:tx>
          <c:spPr>
            <a:solidFill>
              <a:srgbClr val="FFFFFF"/>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Data'!$L$54:$L$90</c:f>
              <c:numCache>
                <c:formatCode>#,##0</c:formatCode>
                <c:ptCount val="37"/>
                <c:pt idx="7">
                  <c:v>10582.789888648653</c:v>
                </c:pt>
                <c:pt idx="8">
                  <c:v>15006.906562552591</c:v>
                </c:pt>
                <c:pt idx="9">
                  <c:v>6448.5848185505256</c:v>
                </c:pt>
                <c:pt idx="10">
                  <c:v>15318.194687812569</c:v>
                </c:pt>
                <c:pt idx="11">
                  <c:v>19308.334788727647</c:v>
                </c:pt>
                <c:pt idx="12">
                  <c:v>27339.017989400378</c:v>
                </c:pt>
                <c:pt idx="13">
                  <c:v>8765.6907583897864</c:v>
                </c:pt>
                <c:pt idx="14">
                  <c:v>10528.730040144168</c:v>
                </c:pt>
                <c:pt idx="15">
                  <c:v>2452.8423084848455</c:v>
                </c:pt>
                <c:pt idx="16">
                  <c:v>10424.447558787861</c:v>
                </c:pt>
                <c:pt idx="17">
                  <c:v>12876.411924788617</c:v>
                </c:pt>
                <c:pt idx="18">
                  <c:v>4810.7035637946483</c:v>
                </c:pt>
                <c:pt idx="19">
                  <c:v>8814.3456853610987</c:v>
                </c:pt>
                <c:pt idx="20">
                  <c:v>8649.799148571401</c:v>
                </c:pt>
                <c:pt idx="21">
                  <c:v>6822.780148593728</c:v>
                </c:pt>
                <c:pt idx="22">
                  <c:v>10791.879529411573</c:v>
                </c:pt>
                <c:pt idx="23">
                  <c:v>4638.6855929203448</c:v>
                </c:pt>
                <c:pt idx="24">
                  <c:v>4081.5165299999962</c:v>
                </c:pt>
                <c:pt idx="25">
                  <c:v>2937.46540720339</c:v>
                </c:pt>
                <c:pt idx="26">
                  <c:v>3878.1945390909154</c:v>
                </c:pt>
                <c:pt idx="27">
                  <c:v>2806.6890000000003</c:v>
                </c:pt>
                <c:pt idx="28">
                  <c:v>6451.0321920064944</c:v>
                </c:pt>
                <c:pt idx="29">
                  <c:v>3721.6134204545397</c:v>
                </c:pt>
                <c:pt idx="30">
                  <c:v>2070.8644198484849</c:v>
                </c:pt>
                <c:pt idx="31">
                  <c:v>7520.6314891346174</c:v>
                </c:pt>
                <c:pt idx="32">
                  <c:v>4301.1241040387176</c:v>
                </c:pt>
                <c:pt idx="33">
                  <c:v>3543</c:v>
                </c:pt>
                <c:pt idx="34">
                  <c:v>919.40433610062894</c:v>
                </c:pt>
                <c:pt idx="35">
                  <c:v>4455</c:v>
                </c:pt>
                <c:pt idx="36">
                  <c:v>1087</c:v>
                </c:pt>
              </c:numCache>
            </c:numRef>
          </c:val>
        </c:ser>
        <c:dLbls>
          <c:showLegendKey val="0"/>
          <c:showVal val="0"/>
          <c:showCatName val="0"/>
          <c:showSerName val="0"/>
          <c:showPercent val="0"/>
          <c:showBubbleSize val="0"/>
        </c:dLbls>
        <c:gapWidth val="80"/>
        <c:overlap val="100"/>
        <c:axId val="220075904"/>
        <c:axId val="220077440"/>
      </c:barChart>
      <c:lineChart>
        <c:grouping val="standard"/>
        <c:varyColors val="0"/>
        <c:ser>
          <c:idx val="3"/>
          <c:order val="3"/>
          <c:tx>
            <c:v>Goal</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Data'!$K$54:$K$90</c:f>
              <c:numCache>
                <c:formatCode>#,##0</c:formatCode>
                <c:ptCount val="37"/>
                <c:pt idx="7">
                  <c:v>10000</c:v>
                </c:pt>
                <c:pt idx="8">
                  <c:v>10000</c:v>
                </c:pt>
                <c:pt idx="9">
                  <c:v>10000</c:v>
                </c:pt>
                <c:pt idx="10">
                  <c:v>10000</c:v>
                </c:pt>
                <c:pt idx="11">
                  <c:v>10000</c:v>
                </c:pt>
                <c:pt idx="12">
                  <c:v>10000</c:v>
                </c:pt>
                <c:pt idx="13">
                  <c:v>10000</c:v>
                </c:pt>
                <c:pt idx="14">
                  <c:v>10000</c:v>
                </c:pt>
                <c:pt idx="15">
                  <c:v>10000</c:v>
                </c:pt>
                <c:pt idx="16">
                  <c:v>10000</c:v>
                </c:pt>
                <c:pt idx="17">
                  <c:v>10000</c:v>
                </c:pt>
                <c:pt idx="18">
                  <c:v>10000</c:v>
                </c:pt>
                <c:pt idx="19">
                  <c:v>10000</c:v>
                </c:pt>
                <c:pt idx="20">
                  <c:v>10000</c:v>
                </c:pt>
                <c:pt idx="21">
                  <c:v>10000</c:v>
                </c:pt>
                <c:pt idx="22">
                  <c:v>10000</c:v>
                </c:pt>
                <c:pt idx="23">
                  <c:v>10000</c:v>
                </c:pt>
                <c:pt idx="24">
                  <c:v>10000</c:v>
                </c:pt>
                <c:pt idx="25">
                  <c:v>10000</c:v>
                </c:pt>
                <c:pt idx="26">
                  <c:v>10000</c:v>
                </c:pt>
                <c:pt idx="27">
                  <c:v>10000</c:v>
                </c:pt>
                <c:pt idx="28">
                  <c:v>10000</c:v>
                </c:pt>
                <c:pt idx="29">
                  <c:v>10000</c:v>
                </c:pt>
                <c:pt idx="30">
                  <c:v>10000</c:v>
                </c:pt>
                <c:pt idx="31">
                  <c:v>10000</c:v>
                </c:pt>
                <c:pt idx="32">
                  <c:v>10000</c:v>
                </c:pt>
                <c:pt idx="33">
                  <c:v>10000</c:v>
                </c:pt>
                <c:pt idx="34">
                  <c:v>10000</c:v>
                </c:pt>
                <c:pt idx="35">
                  <c:v>10000</c:v>
                </c:pt>
                <c:pt idx="36">
                  <c:v>10000</c:v>
                </c:pt>
              </c:numCache>
            </c:numRef>
          </c:val>
          <c:smooth val="0"/>
        </c:ser>
        <c:ser>
          <c:idx val="4"/>
          <c:order val="4"/>
          <c:tx>
            <c:v>Goal Bounds</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Data'!$J$54:$J$90</c:f>
              <c:numCache>
                <c:formatCode>#,##0</c:formatCode>
                <c:ptCount val="37"/>
                <c:pt idx="7">
                  <c:v>4500</c:v>
                </c:pt>
                <c:pt idx="8">
                  <c:v>4500</c:v>
                </c:pt>
                <c:pt idx="9">
                  <c:v>4500</c:v>
                </c:pt>
                <c:pt idx="10">
                  <c:v>4500</c:v>
                </c:pt>
                <c:pt idx="11">
                  <c:v>4500</c:v>
                </c:pt>
                <c:pt idx="12">
                  <c:v>4500</c:v>
                </c:pt>
                <c:pt idx="13">
                  <c:v>4500</c:v>
                </c:pt>
                <c:pt idx="14">
                  <c:v>4500</c:v>
                </c:pt>
                <c:pt idx="15">
                  <c:v>4500</c:v>
                </c:pt>
                <c:pt idx="16">
                  <c:v>4500</c:v>
                </c:pt>
                <c:pt idx="17">
                  <c:v>4500</c:v>
                </c:pt>
                <c:pt idx="18">
                  <c:v>4500</c:v>
                </c:pt>
                <c:pt idx="19">
                  <c:v>4500</c:v>
                </c:pt>
                <c:pt idx="20">
                  <c:v>4500</c:v>
                </c:pt>
                <c:pt idx="21">
                  <c:v>4500</c:v>
                </c:pt>
                <c:pt idx="22">
                  <c:v>4500</c:v>
                </c:pt>
                <c:pt idx="23">
                  <c:v>4500</c:v>
                </c:pt>
                <c:pt idx="24">
                  <c:v>4500</c:v>
                </c:pt>
                <c:pt idx="25">
                  <c:v>4500</c:v>
                </c:pt>
                <c:pt idx="26">
                  <c:v>4500</c:v>
                </c:pt>
                <c:pt idx="27">
                  <c:v>4500</c:v>
                </c:pt>
                <c:pt idx="28">
                  <c:v>4500</c:v>
                </c:pt>
                <c:pt idx="29">
                  <c:v>4500</c:v>
                </c:pt>
                <c:pt idx="30">
                  <c:v>4500</c:v>
                </c:pt>
                <c:pt idx="31">
                  <c:v>4500</c:v>
                </c:pt>
                <c:pt idx="32">
                  <c:v>4500</c:v>
                </c:pt>
                <c:pt idx="33">
                  <c:v>4500</c:v>
                </c:pt>
                <c:pt idx="34">
                  <c:v>4500</c:v>
                </c:pt>
                <c:pt idx="35">
                  <c:v>4500</c:v>
                </c:pt>
                <c:pt idx="36">
                  <c:v>4500</c:v>
                </c:pt>
              </c:numCache>
            </c:numRef>
          </c:val>
          <c:smooth val="0"/>
        </c:ser>
        <c:dLbls>
          <c:showLegendKey val="0"/>
          <c:showVal val="0"/>
          <c:showCatName val="0"/>
          <c:showSerName val="0"/>
          <c:showPercent val="0"/>
          <c:showBubbleSize val="0"/>
        </c:dLbls>
        <c:marker val="1"/>
        <c:smooth val="0"/>
        <c:axId val="220075904"/>
        <c:axId val="220077440"/>
      </c:lineChart>
      <c:catAx>
        <c:axId val="220075904"/>
        <c:scaling>
          <c:orientation val="minMax"/>
        </c:scaling>
        <c:delete val="0"/>
        <c:axPos val="b"/>
        <c:numFmt formatCode="0" sourceLinked="0"/>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20077440"/>
        <c:crosses val="autoZero"/>
        <c:auto val="0"/>
        <c:lblAlgn val="ctr"/>
        <c:lblOffset val="100"/>
        <c:tickLblSkip val="2"/>
        <c:tickMarkSkip val="1"/>
        <c:noMultiLvlLbl val="0"/>
      </c:catAx>
      <c:valAx>
        <c:axId val="220077440"/>
        <c:scaling>
          <c:orientation val="minMax"/>
          <c:max val="80000"/>
          <c:min val="0"/>
        </c:scaling>
        <c:delete val="0"/>
        <c:axPos val="l"/>
        <c:title>
          <c:tx>
            <c:rich>
              <a:bodyPr/>
              <a:lstStyle/>
              <a:p>
                <a:pPr>
                  <a:defRPr sz="1000" b="1" i="0" u="none" strike="noStrike" baseline="0">
                    <a:solidFill>
                      <a:srgbClr val="000000"/>
                    </a:solidFill>
                    <a:latin typeface="Arial"/>
                    <a:ea typeface="Arial"/>
                    <a:cs typeface="Arial"/>
                  </a:defRPr>
                </a:pPr>
                <a:r>
                  <a:rPr lang="en-US"/>
                  <a:t>Number of Coho Salmon</a:t>
                </a:r>
              </a:p>
            </c:rich>
          </c:tx>
          <c:layout>
            <c:manualLayout>
              <c:xMode val="edge"/>
              <c:yMode val="edge"/>
              <c:x val="1.4832470265541131E-3"/>
              <c:y val="0.2269712524386979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20075904"/>
        <c:crosses val="autoZero"/>
        <c:crossBetween val="between"/>
      </c:valAx>
      <c:spPr>
        <a:noFill/>
        <a:ln w="25400">
          <a:noFill/>
        </a:ln>
      </c:spPr>
    </c:plotArea>
    <c:legend>
      <c:legendPos val="r"/>
      <c:legendEntry>
        <c:idx val="3"/>
        <c:delete val="1"/>
      </c:legendEntry>
      <c:layout>
        <c:manualLayout>
          <c:xMode val="edge"/>
          <c:yMode val="edge"/>
          <c:x val="0.54590274899848046"/>
          <c:y val="0.10289928634953689"/>
          <c:w val="0.36633754662246165"/>
          <c:h val="0.26708661417322838"/>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chartSpace>
</file>

<file path=xl/charts/chart10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66406115293983"/>
          <c:y val="3.4206371453703963E-2"/>
          <c:w val="0.85669429277544684"/>
          <c:h val="0.82794482861466934"/>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Data'!$A$61:$A$90</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'Catch_Escapement Data'!$I$61:$I$90</c:f>
              <c:numCache>
                <c:formatCode>#,##0</c:formatCode>
                <c:ptCount val="30"/>
                <c:pt idx="0">
                  <c:v>9320</c:v>
                </c:pt>
                <c:pt idx="1">
                  <c:v>13715</c:v>
                </c:pt>
                <c:pt idx="2">
                  <c:v>14311</c:v>
                </c:pt>
                <c:pt idx="3">
                  <c:v>18991</c:v>
                </c:pt>
                <c:pt idx="4">
                  <c:v>19450</c:v>
                </c:pt>
                <c:pt idx="5">
                  <c:v>19760</c:v>
                </c:pt>
                <c:pt idx="6">
                  <c:v>6138</c:v>
                </c:pt>
                <c:pt idx="7">
                  <c:v>7509</c:v>
                </c:pt>
                <c:pt idx="8">
                  <c:v>12474</c:v>
                </c:pt>
                <c:pt idx="9">
                  <c:v>8443</c:v>
                </c:pt>
                <c:pt idx="10">
                  <c:v>12313</c:v>
                </c:pt>
                <c:pt idx="11">
                  <c:v>13219</c:v>
                </c:pt>
                <c:pt idx="12">
                  <c:v>23943</c:v>
                </c:pt>
                <c:pt idx="13">
                  <c:v>34382</c:v>
                </c:pt>
                <c:pt idx="14">
                  <c:v>12549</c:v>
                </c:pt>
                <c:pt idx="15">
                  <c:v>17936</c:v>
                </c:pt>
                <c:pt idx="16">
                  <c:v>6479</c:v>
                </c:pt>
                <c:pt idx="17">
                  <c:v>6789</c:v>
                </c:pt>
                <c:pt idx="18">
                  <c:v>4859</c:v>
                </c:pt>
                <c:pt idx="19">
                  <c:v>8527</c:v>
                </c:pt>
                <c:pt idx="20">
                  <c:v>5250</c:v>
                </c:pt>
                <c:pt idx="21">
                  <c:v>9334</c:v>
                </c:pt>
                <c:pt idx="22">
                  <c:v>7509</c:v>
                </c:pt>
                <c:pt idx="23">
                  <c:v>6802</c:v>
                </c:pt>
                <c:pt idx="24">
                  <c:v>7795</c:v>
                </c:pt>
                <c:pt idx="25">
                  <c:v>19214</c:v>
                </c:pt>
                <c:pt idx="26">
                  <c:v>12338</c:v>
                </c:pt>
                <c:pt idx="27">
                  <c:v>8357</c:v>
                </c:pt>
                <c:pt idx="28">
                  <c:v>8738</c:v>
                </c:pt>
                <c:pt idx="29">
                  <c:v>4406</c:v>
                </c:pt>
              </c:numCache>
            </c:numRef>
          </c:val>
        </c:ser>
        <c:ser>
          <c:idx val="0"/>
          <c:order val="1"/>
          <c:tx>
            <c:v>Other Fisheries</c:v>
          </c:tx>
          <c:spPr>
            <a:solidFill>
              <a:srgbClr val="C0C0C0"/>
            </a:solidFill>
            <a:ln w="12700">
              <a:solidFill>
                <a:srgbClr val="000000"/>
              </a:solidFill>
              <a:prstDash val="solid"/>
            </a:ln>
          </c:spPr>
          <c:invertIfNegative val="0"/>
          <c:cat>
            <c:numRef>
              <c:f>'Catch_Escapement Data'!$A$61:$A$90</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'Catch_Escapement Data'!$M$61:$M$90</c:f>
              <c:numCache>
                <c:formatCode>#,##0</c:formatCode>
                <c:ptCount val="30"/>
                <c:pt idx="0">
                  <c:v>1664.5295875675677</c:v>
                </c:pt>
                <c:pt idx="1">
                  <c:v>7903.7236924422314</c:v>
                </c:pt>
                <c:pt idx="2">
                  <c:v>17008.220035610553</c:v>
                </c:pt>
                <c:pt idx="3">
                  <c:v>15376.580432960342</c:v>
                </c:pt>
                <c:pt idx="4">
                  <c:v>14627.286861220649</c:v>
                </c:pt>
                <c:pt idx="5">
                  <c:v>30109.870411608859</c:v>
                </c:pt>
                <c:pt idx="6">
                  <c:v>15104.459928559276</c:v>
                </c:pt>
                <c:pt idx="7">
                  <c:v>7074.9686336538462</c:v>
                </c:pt>
                <c:pt idx="8">
                  <c:v>2781.3509854027516</c:v>
                </c:pt>
                <c:pt idx="9">
                  <c:v>5910.6912592145454</c:v>
                </c:pt>
                <c:pt idx="10">
                  <c:v>10348.749160845062</c:v>
                </c:pt>
                <c:pt idx="11">
                  <c:v>6004.0087996874972</c:v>
                </c:pt>
                <c:pt idx="12">
                  <c:v>4048.4054414634797</c:v>
                </c:pt>
                <c:pt idx="13">
                  <c:v>13468.621889380582</c:v>
                </c:pt>
                <c:pt idx="14">
                  <c:v>12178.241481890531</c:v>
                </c:pt>
                <c:pt idx="15">
                  <c:v>7932.1244014004769</c:v>
                </c:pt>
                <c:pt idx="16">
                  <c:v>2899.1893495575223</c:v>
                </c:pt>
                <c:pt idx="17">
                  <c:v>6270.6875726886228</c:v>
                </c:pt>
                <c:pt idx="18">
                  <c:v>1869.0850097283762</c:v>
                </c:pt>
                <c:pt idx="19">
                  <c:v>3618.5646731159577</c:v>
                </c:pt>
                <c:pt idx="20">
                  <c:v>2280.7571149367091</c:v>
                </c:pt>
                <c:pt idx="21">
                  <c:v>7845.4991998376936</c:v>
                </c:pt>
                <c:pt idx="22">
                  <c:v>2257.4466386363638</c:v>
                </c:pt>
                <c:pt idx="23">
                  <c:v>979.64220288319086</c:v>
                </c:pt>
                <c:pt idx="24">
                  <c:v>7266.9495325000007</c:v>
                </c:pt>
                <c:pt idx="25">
                  <c:v>6867.170445164742</c:v>
                </c:pt>
                <c:pt idx="26">
                  <c:v>2166</c:v>
                </c:pt>
                <c:pt idx="27">
                  <c:v>2295.8126686792439</c:v>
                </c:pt>
                <c:pt idx="28">
                  <c:v>2803</c:v>
                </c:pt>
                <c:pt idx="29">
                  <c:v>3143</c:v>
                </c:pt>
              </c:numCache>
            </c:numRef>
          </c:val>
        </c:ser>
        <c:ser>
          <c:idx val="1"/>
          <c:order val="2"/>
          <c:tx>
            <c:v>Troll Catch</c:v>
          </c:tx>
          <c:spPr>
            <a:solidFill>
              <a:srgbClr val="FFFFFF"/>
            </a:solidFill>
            <a:ln w="12700">
              <a:solidFill>
                <a:srgbClr val="000000"/>
              </a:solidFill>
              <a:prstDash val="solid"/>
            </a:ln>
          </c:spPr>
          <c:invertIfNegative val="0"/>
          <c:cat>
            <c:numRef>
              <c:f>'Catch_Escapement Data'!$A$61:$A$90</c:f>
              <c:numCache>
                <c:formatCode>General</c:formatCode>
                <c:ptCount val="30"/>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numCache>
            </c:numRef>
          </c:cat>
          <c:val>
            <c:numRef>
              <c:f>'Catch_Escapement Data'!$L$61:$L$90</c:f>
              <c:numCache>
                <c:formatCode>#,##0</c:formatCode>
                <c:ptCount val="30"/>
                <c:pt idx="0">
                  <c:v>10582.789888648653</c:v>
                </c:pt>
                <c:pt idx="1">
                  <c:v>15006.906562552591</c:v>
                </c:pt>
                <c:pt idx="2">
                  <c:v>6448.5848185505256</c:v>
                </c:pt>
                <c:pt idx="3">
                  <c:v>15318.194687812569</c:v>
                </c:pt>
                <c:pt idx="4">
                  <c:v>19308.334788727647</c:v>
                </c:pt>
                <c:pt idx="5">
                  <c:v>27339.017989400378</c:v>
                </c:pt>
                <c:pt idx="6">
                  <c:v>8765.6907583897864</c:v>
                </c:pt>
                <c:pt idx="7">
                  <c:v>10528.730040144168</c:v>
                </c:pt>
                <c:pt idx="8">
                  <c:v>2452.8423084848455</c:v>
                </c:pt>
                <c:pt idx="9">
                  <c:v>10424.447558787861</c:v>
                </c:pt>
                <c:pt idx="10">
                  <c:v>12876.411924788617</c:v>
                </c:pt>
                <c:pt idx="11">
                  <c:v>4810.7035637946483</c:v>
                </c:pt>
                <c:pt idx="12">
                  <c:v>8814.3456853610987</c:v>
                </c:pt>
                <c:pt idx="13">
                  <c:v>8649.799148571401</c:v>
                </c:pt>
                <c:pt idx="14">
                  <c:v>6822.780148593728</c:v>
                </c:pt>
                <c:pt idx="15">
                  <c:v>10791.879529411573</c:v>
                </c:pt>
                <c:pt idx="16">
                  <c:v>4638.6855929203448</c:v>
                </c:pt>
                <c:pt idx="17">
                  <c:v>4081.5165299999962</c:v>
                </c:pt>
                <c:pt idx="18">
                  <c:v>2937.46540720339</c:v>
                </c:pt>
                <c:pt idx="19">
                  <c:v>3878.1945390909154</c:v>
                </c:pt>
                <c:pt idx="20">
                  <c:v>2806.6890000000003</c:v>
                </c:pt>
                <c:pt idx="21">
                  <c:v>6451.0321920064944</c:v>
                </c:pt>
                <c:pt idx="22">
                  <c:v>3721.6134204545397</c:v>
                </c:pt>
                <c:pt idx="23">
                  <c:v>2070.8644198484849</c:v>
                </c:pt>
                <c:pt idx="24">
                  <c:v>7520.6314891346174</c:v>
                </c:pt>
                <c:pt idx="25">
                  <c:v>4301.1241040387176</c:v>
                </c:pt>
                <c:pt idx="26">
                  <c:v>3543</c:v>
                </c:pt>
                <c:pt idx="27">
                  <c:v>919.40433610062894</c:v>
                </c:pt>
                <c:pt idx="28">
                  <c:v>4455</c:v>
                </c:pt>
                <c:pt idx="29">
                  <c:v>1087</c:v>
                </c:pt>
              </c:numCache>
            </c:numRef>
          </c:val>
        </c:ser>
        <c:dLbls>
          <c:showLegendKey val="0"/>
          <c:showVal val="0"/>
          <c:showCatName val="0"/>
          <c:showSerName val="0"/>
          <c:showPercent val="0"/>
          <c:showBubbleSize val="0"/>
        </c:dLbls>
        <c:gapWidth val="80"/>
        <c:overlap val="100"/>
        <c:axId val="220282240"/>
        <c:axId val="220300800"/>
      </c:barChart>
      <c:lineChart>
        <c:grouping val="standard"/>
        <c:varyColors val="0"/>
        <c:ser>
          <c:idx val="3"/>
          <c:order val="3"/>
          <c:tx>
            <c:v>Escapement Goal Bounds</c:v>
          </c:tx>
          <c:spPr>
            <a:ln w="38100">
              <a:solidFill>
                <a:srgbClr val="FF0000"/>
              </a:solidFill>
              <a:prstDash val="solid"/>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Data'!$J$61:$J$90</c:f>
              <c:numCache>
                <c:formatCode>#,##0</c:formatCode>
                <c:ptCount val="30"/>
                <c:pt idx="0">
                  <c:v>4500</c:v>
                </c:pt>
                <c:pt idx="1">
                  <c:v>4500</c:v>
                </c:pt>
                <c:pt idx="2">
                  <c:v>4500</c:v>
                </c:pt>
                <c:pt idx="3">
                  <c:v>4500</c:v>
                </c:pt>
                <c:pt idx="4">
                  <c:v>4500</c:v>
                </c:pt>
                <c:pt idx="5">
                  <c:v>4500</c:v>
                </c:pt>
                <c:pt idx="6">
                  <c:v>4500</c:v>
                </c:pt>
                <c:pt idx="7">
                  <c:v>4500</c:v>
                </c:pt>
                <c:pt idx="8">
                  <c:v>4500</c:v>
                </c:pt>
                <c:pt idx="9">
                  <c:v>4500</c:v>
                </c:pt>
                <c:pt idx="10">
                  <c:v>4500</c:v>
                </c:pt>
                <c:pt idx="11">
                  <c:v>4500</c:v>
                </c:pt>
                <c:pt idx="12">
                  <c:v>4500</c:v>
                </c:pt>
                <c:pt idx="13">
                  <c:v>4500</c:v>
                </c:pt>
                <c:pt idx="14">
                  <c:v>4500</c:v>
                </c:pt>
                <c:pt idx="15">
                  <c:v>4500</c:v>
                </c:pt>
                <c:pt idx="16">
                  <c:v>4500</c:v>
                </c:pt>
                <c:pt idx="17">
                  <c:v>4500</c:v>
                </c:pt>
                <c:pt idx="18">
                  <c:v>4500</c:v>
                </c:pt>
                <c:pt idx="19">
                  <c:v>4500</c:v>
                </c:pt>
                <c:pt idx="20">
                  <c:v>4500</c:v>
                </c:pt>
                <c:pt idx="21">
                  <c:v>4500</c:v>
                </c:pt>
                <c:pt idx="22">
                  <c:v>4500</c:v>
                </c:pt>
                <c:pt idx="23">
                  <c:v>4500</c:v>
                </c:pt>
                <c:pt idx="24">
                  <c:v>4500</c:v>
                </c:pt>
                <c:pt idx="25">
                  <c:v>4500</c:v>
                </c:pt>
                <c:pt idx="26">
                  <c:v>4500</c:v>
                </c:pt>
                <c:pt idx="27">
                  <c:v>4500</c:v>
                </c:pt>
                <c:pt idx="28">
                  <c:v>4500</c:v>
                </c:pt>
                <c:pt idx="29">
                  <c:v>4500</c:v>
                </c:pt>
              </c:numCache>
            </c:numRef>
          </c:val>
          <c:smooth val="0"/>
        </c:ser>
        <c:ser>
          <c:idx val="4"/>
          <c:order val="4"/>
          <c:tx>
            <c:v>Upper Bound</c:v>
          </c:tx>
          <c:spPr>
            <a:ln w="38100">
              <a:solidFill>
                <a:srgbClr val="FF0000"/>
              </a:solidFill>
              <a:prstDash val="solid"/>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Data'!$K$61:$K$90</c:f>
              <c:numCache>
                <c:formatCode>#,##0</c:formatCode>
                <c:ptCount val="30"/>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10000</c:v>
                </c:pt>
                <c:pt idx="16">
                  <c:v>10000</c:v>
                </c:pt>
                <c:pt idx="17">
                  <c:v>10000</c:v>
                </c:pt>
                <c:pt idx="18">
                  <c:v>10000</c:v>
                </c:pt>
                <c:pt idx="19">
                  <c:v>10000</c:v>
                </c:pt>
                <c:pt idx="20">
                  <c:v>10000</c:v>
                </c:pt>
                <c:pt idx="21">
                  <c:v>10000</c:v>
                </c:pt>
                <c:pt idx="22">
                  <c:v>10000</c:v>
                </c:pt>
                <c:pt idx="23">
                  <c:v>10000</c:v>
                </c:pt>
                <c:pt idx="24">
                  <c:v>10000</c:v>
                </c:pt>
                <c:pt idx="25">
                  <c:v>10000</c:v>
                </c:pt>
                <c:pt idx="26">
                  <c:v>10000</c:v>
                </c:pt>
                <c:pt idx="27">
                  <c:v>10000</c:v>
                </c:pt>
                <c:pt idx="28">
                  <c:v>10000</c:v>
                </c:pt>
                <c:pt idx="29">
                  <c:v>10000</c:v>
                </c:pt>
              </c:numCache>
            </c:numRef>
          </c:val>
          <c:smooth val="0"/>
        </c:ser>
        <c:ser>
          <c:idx val="5"/>
          <c:order val="5"/>
          <c:tx>
            <c:v>Period Median Return</c:v>
          </c:tx>
          <c:spPr>
            <a:ln>
              <a:solidFill>
                <a:srgbClr val="00B0F0"/>
              </a:solidFill>
              <a:prstDash val="sysDash"/>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Data'!$O$61:$O$90</c:f>
              <c:numCache>
                <c:formatCode>#,##0</c:formatCode>
                <c:ptCount val="30"/>
                <c:pt idx="0">
                  <c:v>36081.895670314247</c:v>
                </c:pt>
                <c:pt idx="1">
                  <c:v>36081.895670314247</c:v>
                </c:pt>
                <c:pt idx="2">
                  <c:v>36081.895670314247</c:v>
                </c:pt>
                <c:pt idx="3">
                  <c:v>36081.895670314247</c:v>
                </c:pt>
                <c:pt idx="4">
                  <c:v>36081.895670314247</c:v>
                </c:pt>
                <c:pt idx="5">
                  <c:v>36081.895670314247</c:v>
                </c:pt>
                <c:pt idx="6">
                  <c:v>36081.895670314247</c:v>
                </c:pt>
                <c:pt idx="7">
                  <c:v>36081.895670314247</c:v>
                </c:pt>
                <c:pt idx="8">
                  <c:v>36081.895670314247</c:v>
                </c:pt>
                <c:pt idx="9">
                  <c:v>36081.895670314247</c:v>
                </c:pt>
                <c:pt idx="10">
                  <c:v>36081.895670314247</c:v>
                </c:pt>
                <c:pt idx="11">
                  <c:v>36081.895670314247</c:v>
                </c:pt>
                <c:pt idx="12">
                  <c:v>36081.895670314247</c:v>
                </c:pt>
                <c:pt idx="13">
                  <c:v>36081.895670314247</c:v>
                </c:pt>
                <c:pt idx="14">
                  <c:v>36081.895670314247</c:v>
                </c:pt>
                <c:pt idx="15">
                  <c:v>36081.895670314247</c:v>
                </c:pt>
              </c:numCache>
            </c:numRef>
          </c:val>
          <c:smooth val="0"/>
        </c:ser>
        <c:ser>
          <c:idx val="6"/>
          <c:order val="6"/>
          <c:tx>
            <c:v>2005-2018 Average</c:v>
          </c:tx>
          <c:spPr>
            <a:ln>
              <a:solidFill>
                <a:srgbClr val="00B0F0"/>
              </a:solidFill>
              <a:prstDash val="sysDash"/>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Data'!$P$61:$P$90</c:f>
              <c:numCache>
                <c:formatCode>#,##0</c:formatCode>
                <c:ptCount val="30"/>
                <c:pt idx="16">
                  <c:v>15006.437471238933</c:v>
                </c:pt>
                <c:pt idx="17">
                  <c:v>15006.437471238933</c:v>
                </c:pt>
                <c:pt idx="18">
                  <c:v>15006.437471238933</c:v>
                </c:pt>
                <c:pt idx="19">
                  <c:v>15006.437471238933</c:v>
                </c:pt>
                <c:pt idx="20">
                  <c:v>15006.437471238933</c:v>
                </c:pt>
                <c:pt idx="21">
                  <c:v>15006.437471238933</c:v>
                </c:pt>
                <c:pt idx="22">
                  <c:v>15006.437471238933</c:v>
                </c:pt>
                <c:pt idx="23">
                  <c:v>15006.437471238933</c:v>
                </c:pt>
                <c:pt idx="24">
                  <c:v>15006.437471238933</c:v>
                </c:pt>
                <c:pt idx="25">
                  <c:v>15006.437471238933</c:v>
                </c:pt>
                <c:pt idx="26">
                  <c:v>15006.437471238933</c:v>
                </c:pt>
                <c:pt idx="27">
                  <c:v>15006.437471238933</c:v>
                </c:pt>
                <c:pt idx="28">
                  <c:v>15006.437471238933</c:v>
                </c:pt>
                <c:pt idx="29">
                  <c:v>15006.437471238933</c:v>
                </c:pt>
              </c:numCache>
            </c:numRef>
          </c:val>
          <c:smooth val="0"/>
        </c:ser>
        <c:dLbls>
          <c:showLegendKey val="0"/>
          <c:showVal val="0"/>
          <c:showCatName val="0"/>
          <c:showSerName val="0"/>
          <c:showPercent val="0"/>
          <c:showBubbleSize val="0"/>
        </c:dLbls>
        <c:marker val="1"/>
        <c:smooth val="0"/>
        <c:axId val="220282240"/>
        <c:axId val="220300800"/>
      </c:lineChart>
      <c:catAx>
        <c:axId val="220282240"/>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sz="1400" b="0" baseline="0"/>
                  <a:t>Year</a:t>
                </a:r>
              </a:p>
            </c:rich>
          </c:tx>
          <c:layout>
            <c:manualLayout>
              <c:xMode val="edge"/>
              <c:yMode val="edge"/>
              <c:x val="0.53594497768070959"/>
              <c:y val="0.94404956645879157"/>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20300800"/>
        <c:crosses val="autoZero"/>
        <c:auto val="0"/>
        <c:lblAlgn val="ctr"/>
        <c:lblOffset val="100"/>
        <c:tickLblSkip val="1"/>
        <c:tickMarkSkip val="1"/>
        <c:noMultiLvlLbl val="0"/>
      </c:catAx>
      <c:valAx>
        <c:axId val="220300800"/>
        <c:scaling>
          <c:orientation val="minMax"/>
          <c:max val="77300"/>
          <c:min val="0"/>
        </c:scaling>
        <c:delete val="0"/>
        <c:axPos val="l"/>
        <c:title>
          <c:tx>
            <c:rich>
              <a:bodyPr rot="-5400000" vert="horz"/>
              <a:lstStyle/>
              <a:p>
                <a:pPr>
                  <a:defRPr sz="1400">
                    <a:latin typeface="Arial" panose="020B0604020202020204" pitchFamily="34" charset="0"/>
                    <a:cs typeface="Arial" panose="020B0604020202020204" pitchFamily="34" charset="0"/>
                  </a:defRPr>
                </a:pPr>
                <a:r>
                  <a:rPr lang="en-US" sz="1400">
                    <a:latin typeface="Arial" panose="020B0604020202020204" pitchFamily="34" charset="0"/>
                    <a:cs typeface="Arial" panose="020B0604020202020204" pitchFamily="34" charset="0"/>
                  </a:rPr>
                  <a:t>Number of Fish</a:t>
                </a:r>
              </a:p>
            </c:rich>
          </c:tx>
          <c:layout>
            <c:manualLayout>
              <c:xMode val="edge"/>
              <c:yMode val="edge"/>
              <c:x val="1.4516236565319847E-2"/>
              <c:y val="0.30369690909544939"/>
            </c:manualLayout>
          </c:layout>
          <c:overlay val="0"/>
        </c:title>
        <c:numFmt formatCode="#,##0" sourceLinked="0"/>
        <c:majorTickMark val="out"/>
        <c:minorTickMark val="none"/>
        <c:tickLblPos val="nextTo"/>
        <c:spPr>
          <a:ln w="12700">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20282240"/>
        <c:crosses val="autoZero"/>
        <c:crossBetween val="between"/>
        <c:majorUnit val="20000"/>
      </c:valAx>
      <c:spPr>
        <a:noFill/>
        <a:ln w="25400">
          <a:noFill/>
        </a:ln>
      </c:spPr>
    </c:plotArea>
    <c:legend>
      <c:legendPos val="r"/>
      <c:legendEntry>
        <c:idx val="4"/>
        <c:delete val="1"/>
      </c:legendEntry>
      <c:legendEntry>
        <c:idx val="6"/>
        <c:delete val="1"/>
      </c:legendEntry>
      <c:layout>
        <c:manualLayout>
          <c:xMode val="edge"/>
          <c:yMode val="edge"/>
          <c:x val="0.61508515815085163"/>
          <c:y val="3.2848928307516886E-2"/>
          <c:w val="0.37846374312699965"/>
          <c:h val="0.26300175189125824"/>
        </c:manualLayout>
      </c:layout>
      <c:overlay val="0"/>
      <c:spPr>
        <a:noFill/>
        <a:ln w="25400">
          <a:no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10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sz="1600"/>
              <a:t>Hugh</a:t>
            </a:r>
            <a:r>
              <a:rPr lang="en-US" sz="1600" baseline="0"/>
              <a:t> Smith Lake</a:t>
            </a:r>
            <a:endParaRPr lang="en-US" sz="1600"/>
          </a:p>
        </c:rich>
      </c:tx>
      <c:layout>
        <c:manualLayout>
          <c:xMode val="edge"/>
          <c:yMode val="edge"/>
          <c:x val="0.38149223238987018"/>
          <c:y val="9.7417409091344123E-4"/>
        </c:manualLayout>
      </c:layout>
      <c:overlay val="0"/>
      <c:spPr>
        <a:noFill/>
        <a:ln w="25400">
          <a:noFill/>
        </a:ln>
      </c:spPr>
    </c:title>
    <c:autoTitleDeleted val="0"/>
    <c:plotArea>
      <c:layout>
        <c:manualLayout>
          <c:layoutTarget val="inner"/>
          <c:xMode val="edge"/>
          <c:yMode val="edge"/>
          <c:x val="0.12243020973729635"/>
          <c:y val="8.5358856005068331E-2"/>
          <c:w val="0.86107133905559108"/>
          <c:h val="0.7711726551422452"/>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Data'!$D$130:$D$166</c:f>
              <c:numCache>
                <c:formatCode>#,##0</c:formatCode>
                <c:ptCount val="37"/>
                <c:pt idx="0">
                  <c:v>2144</c:v>
                </c:pt>
                <c:pt idx="1">
                  <c:v>1487</c:v>
                </c:pt>
                <c:pt idx="2">
                  <c:v>1407</c:v>
                </c:pt>
                <c:pt idx="3">
                  <c:v>903</c:v>
                </c:pt>
                <c:pt idx="4">
                  <c:v>1782</c:v>
                </c:pt>
                <c:pt idx="5">
                  <c:v>1117</c:v>
                </c:pt>
                <c:pt idx="6">
                  <c:v>513</c:v>
                </c:pt>
                <c:pt idx="7">
                  <c:v>433</c:v>
                </c:pt>
                <c:pt idx="8">
                  <c:v>870</c:v>
                </c:pt>
                <c:pt idx="9">
                  <c:v>1836</c:v>
                </c:pt>
                <c:pt idx="10">
                  <c:v>1426</c:v>
                </c:pt>
                <c:pt idx="11">
                  <c:v>832</c:v>
                </c:pt>
                <c:pt idx="12">
                  <c:v>1753</c:v>
                </c:pt>
                <c:pt idx="13">
                  <c:v>1781</c:v>
                </c:pt>
                <c:pt idx="14">
                  <c:v>950</c:v>
                </c:pt>
                <c:pt idx="15">
                  <c:v>732</c:v>
                </c:pt>
                <c:pt idx="16">
                  <c:v>983</c:v>
                </c:pt>
                <c:pt idx="17">
                  <c:v>1246</c:v>
                </c:pt>
                <c:pt idx="18">
                  <c:v>600</c:v>
                </c:pt>
                <c:pt idx="19">
                  <c:v>1580</c:v>
                </c:pt>
                <c:pt idx="20">
                  <c:v>3291</c:v>
                </c:pt>
                <c:pt idx="21">
                  <c:v>1510</c:v>
                </c:pt>
                <c:pt idx="22">
                  <c:v>840</c:v>
                </c:pt>
                <c:pt idx="23">
                  <c:v>1732</c:v>
                </c:pt>
                <c:pt idx="24">
                  <c:v>891</c:v>
                </c:pt>
                <c:pt idx="25">
                  <c:v>1244</c:v>
                </c:pt>
                <c:pt idx="26">
                  <c:v>1741</c:v>
                </c:pt>
                <c:pt idx="27">
                  <c:v>2281</c:v>
                </c:pt>
                <c:pt idx="28">
                  <c:v>2878</c:v>
                </c:pt>
                <c:pt idx="29">
                  <c:v>2137</c:v>
                </c:pt>
                <c:pt idx="30">
                  <c:v>1908</c:v>
                </c:pt>
                <c:pt idx="31">
                  <c:v>3048</c:v>
                </c:pt>
                <c:pt idx="32">
                  <c:v>4110</c:v>
                </c:pt>
                <c:pt idx="33">
                  <c:v>956</c:v>
                </c:pt>
                <c:pt idx="34">
                  <c:v>948</c:v>
                </c:pt>
                <c:pt idx="35">
                  <c:v>1266</c:v>
                </c:pt>
                <c:pt idx="36">
                  <c:v>619</c:v>
                </c:pt>
              </c:numCache>
            </c:numRef>
          </c:val>
        </c:ser>
        <c:ser>
          <c:idx val="0"/>
          <c:order val="1"/>
          <c:tx>
            <c:v>Other</c:v>
          </c:tx>
          <c:spPr>
            <a:solidFill>
              <a:srgbClr val="C0C0C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Data'!$C$130:$C$166</c:f>
              <c:numCache>
                <c:formatCode>_(* #,##0_);_(* \(#,##0\);_(* "-"??_);_(@_)</c:formatCode>
                <c:ptCount val="37"/>
                <c:pt idx="0">
                  <c:v>1230.5753876470587</c:v>
                </c:pt>
                <c:pt idx="1">
                  <c:v>1014.0181963656697</c:v>
                </c:pt>
                <c:pt idx="2">
                  <c:v>1350.6595404477289</c:v>
                </c:pt>
                <c:pt idx="3">
                  <c:v>669.11447398568021</c:v>
                </c:pt>
                <c:pt idx="4">
                  <c:v>985.58798862262915</c:v>
                </c:pt>
                <c:pt idx="5">
                  <c:v>469.47551346153847</c:v>
                </c:pt>
                <c:pt idx="6">
                  <c:v>553.92087272727258</c:v>
                </c:pt>
                <c:pt idx="7">
                  <c:v>754.4066980392156</c:v>
                </c:pt>
                <c:pt idx="8">
                  <c:v>2120.3495905882355</c:v>
                </c:pt>
                <c:pt idx="9">
                  <c:v>1827.4302368728897</c:v>
                </c:pt>
                <c:pt idx="10">
                  <c:v>1614.2097813915841</c:v>
                </c:pt>
                <c:pt idx="11">
                  <c:v>1182.6648083720929</c:v>
                </c:pt>
                <c:pt idx="12">
                  <c:v>3377.7121766470227</c:v>
                </c:pt>
                <c:pt idx="13">
                  <c:v>2908.8830356149738</c:v>
                </c:pt>
                <c:pt idx="14">
                  <c:v>1412.5816924618321</c:v>
                </c:pt>
                <c:pt idx="15">
                  <c:v>642.27624729458887</c:v>
                </c:pt>
                <c:pt idx="16">
                  <c:v>1616.7849101565732</c:v>
                </c:pt>
                <c:pt idx="17">
                  <c:v>1218.5799839416054</c:v>
                </c:pt>
                <c:pt idx="18">
                  <c:v>257.86700695530726</c:v>
                </c:pt>
                <c:pt idx="19">
                  <c:v>842.97839427618123</c:v>
                </c:pt>
                <c:pt idx="20">
                  <c:v>1223.4342523664409</c:v>
                </c:pt>
                <c:pt idx="21">
                  <c:v>1271.9577179381895</c:v>
                </c:pt>
                <c:pt idx="22">
                  <c:v>634.97066169912546</c:v>
                </c:pt>
                <c:pt idx="23">
                  <c:v>757.39708332706766</c:v>
                </c:pt>
                <c:pt idx="24">
                  <c:v>332.29241843391799</c:v>
                </c:pt>
                <c:pt idx="25">
                  <c:v>802.88434478455508</c:v>
                </c:pt>
                <c:pt idx="26">
                  <c:v>1319</c:v>
                </c:pt>
                <c:pt idx="27">
                  <c:v>1053</c:v>
                </c:pt>
                <c:pt idx="28">
                  <c:v>1334</c:v>
                </c:pt>
                <c:pt idx="29">
                  <c:v>1022</c:v>
                </c:pt>
                <c:pt idx="30">
                  <c:v>1434</c:v>
                </c:pt>
                <c:pt idx="31">
                  <c:v>2104</c:v>
                </c:pt>
                <c:pt idx="32">
                  <c:v>1724</c:v>
                </c:pt>
                <c:pt idx="33">
                  <c:v>528</c:v>
                </c:pt>
                <c:pt idx="34">
                  <c:v>751</c:v>
                </c:pt>
                <c:pt idx="35">
                  <c:v>485</c:v>
                </c:pt>
                <c:pt idx="36" formatCode="General">
                  <c:v>469</c:v>
                </c:pt>
              </c:numCache>
            </c:numRef>
          </c:val>
        </c:ser>
        <c:ser>
          <c:idx val="1"/>
          <c:order val="2"/>
          <c:tx>
            <c:v>Alaska Troll</c:v>
          </c:tx>
          <c:spPr>
            <a:solidFill>
              <a:srgbClr val="FFFFFF"/>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Data'!$B$130:$B$166</c:f>
              <c:numCache>
                <c:formatCode>_(* #,##0_);_(* \(#,##0\);_(* "-"??_);_(@_)</c:formatCode>
                <c:ptCount val="37"/>
                <c:pt idx="0">
                  <c:v>2757.8227129411762</c:v>
                </c:pt>
                <c:pt idx="1">
                  <c:v>1373.619409225608</c:v>
                </c:pt>
                <c:pt idx="2">
                  <c:v>1266.002262812432</c:v>
                </c:pt>
                <c:pt idx="3">
                  <c:v>867.94892823388955</c:v>
                </c:pt>
                <c:pt idx="4">
                  <c:v>1597.6548065454551</c:v>
                </c:pt>
                <c:pt idx="5">
                  <c:v>657.25781161538475</c:v>
                </c:pt>
                <c:pt idx="6">
                  <c:v>405.92055454545448</c:v>
                </c:pt>
                <c:pt idx="7">
                  <c:v>1216.7415215686278</c:v>
                </c:pt>
                <c:pt idx="8">
                  <c:v>1803.2502211764713</c:v>
                </c:pt>
                <c:pt idx="9">
                  <c:v>2103.3371628347909</c:v>
                </c:pt>
                <c:pt idx="10">
                  <c:v>1854.4718550844138</c:v>
                </c:pt>
                <c:pt idx="11">
                  <c:v>2227.1374611627898</c:v>
                </c:pt>
                <c:pt idx="12">
                  <c:v>4333.0464887241487</c:v>
                </c:pt>
                <c:pt idx="13">
                  <c:v>2018.3078434224599</c:v>
                </c:pt>
                <c:pt idx="14">
                  <c:v>1585.4382060305347</c:v>
                </c:pt>
                <c:pt idx="15">
                  <c:v>1321.3277620440876</c:v>
                </c:pt>
                <c:pt idx="16">
                  <c:v>1771.4823739124367</c:v>
                </c:pt>
                <c:pt idx="17">
                  <c:v>1756.6023003284683</c:v>
                </c:pt>
                <c:pt idx="18">
                  <c:v>488.56200189944082</c:v>
                </c:pt>
                <c:pt idx="19">
                  <c:v>696.43144301589678</c:v>
                </c:pt>
                <c:pt idx="20">
                  <c:v>891.5136973965391</c:v>
                </c:pt>
                <c:pt idx="21">
                  <c:v>894.44455078994667</c:v>
                </c:pt>
                <c:pt idx="22">
                  <c:v>1016.5876905103869</c:v>
                </c:pt>
                <c:pt idx="23">
                  <c:v>1162.8187437705315</c:v>
                </c:pt>
                <c:pt idx="24">
                  <c:v>702.58882001747122</c:v>
                </c:pt>
                <c:pt idx="25">
                  <c:v>1262.171751366167</c:v>
                </c:pt>
                <c:pt idx="26">
                  <c:v>716</c:v>
                </c:pt>
                <c:pt idx="27">
                  <c:v>1049</c:v>
                </c:pt>
                <c:pt idx="28">
                  <c:v>1205</c:v>
                </c:pt>
                <c:pt idx="29">
                  <c:v>778</c:v>
                </c:pt>
                <c:pt idx="30">
                  <c:v>821</c:v>
                </c:pt>
                <c:pt idx="31">
                  <c:v>1754</c:v>
                </c:pt>
                <c:pt idx="32">
                  <c:v>1873</c:v>
                </c:pt>
                <c:pt idx="33">
                  <c:v>470</c:v>
                </c:pt>
                <c:pt idx="34">
                  <c:v>767</c:v>
                </c:pt>
                <c:pt idx="35">
                  <c:v>674</c:v>
                </c:pt>
                <c:pt idx="36" formatCode="General">
                  <c:v>230</c:v>
                </c:pt>
              </c:numCache>
            </c:numRef>
          </c:val>
        </c:ser>
        <c:dLbls>
          <c:showLegendKey val="0"/>
          <c:showVal val="0"/>
          <c:showCatName val="0"/>
          <c:showSerName val="0"/>
          <c:showPercent val="0"/>
          <c:showBubbleSize val="0"/>
        </c:dLbls>
        <c:gapWidth val="80"/>
        <c:overlap val="100"/>
        <c:axId val="219499136"/>
        <c:axId val="219513216"/>
      </c:barChart>
      <c:lineChart>
        <c:grouping val="standard"/>
        <c:varyColors val="0"/>
        <c:ser>
          <c:idx val="3"/>
          <c:order val="3"/>
          <c:tx>
            <c:v>Goal</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Data'!$F$130:$F$166</c:f>
              <c:numCache>
                <c:formatCode>#,##0</c:formatCode>
                <c:ptCount val="37"/>
                <c:pt idx="0">
                  <c:v>1600</c:v>
                </c:pt>
                <c:pt idx="1">
                  <c:v>1600</c:v>
                </c:pt>
                <c:pt idx="2">
                  <c:v>1600</c:v>
                </c:pt>
                <c:pt idx="3">
                  <c:v>1600</c:v>
                </c:pt>
                <c:pt idx="4">
                  <c:v>1600</c:v>
                </c:pt>
                <c:pt idx="5">
                  <c:v>1600</c:v>
                </c:pt>
                <c:pt idx="6">
                  <c:v>1600</c:v>
                </c:pt>
                <c:pt idx="7">
                  <c:v>1600</c:v>
                </c:pt>
                <c:pt idx="8">
                  <c:v>1600</c:v>
                </c:pt>
                <c:pt idx="9">
                  <c:v>1600</c:v>
                </c:pt>
                <c:pt idx="10">
                  <c:v>1600</c:v>
                </c:pt>
                <c:pt idx="11">
                  <c:v>1600</c:v>
                </c:pt>
                <c:pt idx="12">
                  <c:v>1600</c:v>
                </c:pt>
                <c:pt idx="13">
                  <c:v>1600</c:v>
                </c:pt>
                <c:pt idx="14">
                  <c:v>1600</c:v>
                </c:pt>
                <c:pt idx="15">
                  <c:v>1600</c:v>
                </c:pt>
                <c:pt idx="16">
                  <c:v>1600</c:v>
                </c:pt>
                <c:pt idx="17">
                  <c:v>1600</c:v>
                </c:pt>
                <c:pt idx="18">
                  <c:v>1600</c:v>
                </c:pt>
                <c:pt idx="19">
                  <c:v>1600</c:v>
                </c:pt>
                <c:pt idx="20">
                  <c:v>1600</c:v>
                </c:pt>
                <c:pt idx="21">
                  <c:v>1600</c:v>
                </c:pt>
                <c:pt idx="22">
                  <c:v>1600</c:v>
                </c:pt>
                <c:pt idx="23">
                  <c:v>1600</c:v>
                </c:pt>
                <c:pt idx="24">
                  <c:v>1600</c:v>
                </c:pt>
                <c:pt idx="25">
                  <c:v>1600</c:v>
                </c:pt>
                <c:pt idx="26">
                  <c:v>1600</c:v>
                </c:pt>
                <c:pt idx="27">
                  <c:v>1600</c:v>
                </c:pt>
                <c:pt idx="28">
                  <c:v>1600</c:v>
                </c:pt>
                <c:pt idx="29">
                  <c:v>1600</c:v>
                </c:pt>
                <c:pt idx="30">
                  <c:v>1600</c:v>
                </c:pt>
                <c:pt idx="31">
                  <c:v>1600</c:v>
                </c:pt>
                <c:pt idx="32">
                  <c:v>1600</c:v>
                </c:pt>
                <c:pt idx="33">
                  <c:v>1600</c:v>
                </c:pt>
                <c:pt idx="34">
                  <c:v>1600</c:v>
                </c:pt>
                <c:pt idx="35">
                  <c:v>1600</c:v>
                </c:pt>
                <c:pt idx="36">
                  <c:v>1600</c:v>
                </c:pt>
              </c:numCache>
            </c:numRef>
          </c:val>
          <c:smooth val="0"/>
        </c:ser>
        <c:ser>
          <c:idx val="4"/>
          <c:order val="4"/>
          <c:tx>
            <c:v>Goal Bounds</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Data'!$E$130:$E$166</c:f>
              <c:numCache>
                <c:formatCode>#,##0</c:formatCode>
                <c:ptCount val="37"/>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pt idx="36">
                  <c:v>500</c:v>
                </c:pt>
              </c:numCache>
            </c:numRef>
          </c:val>
          <c:smooth val="0"/>
        </c:ser>
        <c:dLbls>
          <c:showLegendKey val="0"/>
          <c:showVal val="0"/>
          <c:showCatName val="0"/>
          <c:showSerName val="0"/>
          <c:showPercent val="0"/>
          <c:showBubbleSize val="0"/>
        </c:dLbls>
        <c:marker val="1"/>
        <c:smooth val="0"/>
        <c:axId val="219499136"/>
        <c:axId val="219513216"/>
      </c:lineChart>
      <c:catAx>
        <c:axId val="219499136"/>
        <c:scaling>
          <c:orientation val="minMax"/>
        </c:scaling>
        <c:delete val="0"/>
        <c:axPos val="b"/>
        <c:numFmt formatCode="0" sourceLinked="0"/>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19513216"/>
        <c:crosses val="autoZero"/>
        <c:auto val="0"/>
        <c:lblAlgn val="ctr"/>
        <c:lblOffset val="100"/>
        <c:tickLblSkip val="2"/>
        <c:tickMarkSkip val="1"/>
        <c:noMultiLvlLbl val="0"/>
      </c:catAx>
      <c:valAx>
        <c:axId val="219513216"/>
        <c:scaling>
          <c:orientation val="minMax"/>
          <c:max val="9500"/>
          <c:min val="0"/>
        </c:scaling>
        <c:delete val="0"/>
        <c:axPos val="l"/>
        <c:title>
          <c:tx>
            <c:rich>
              <a:bodyPr/>
              <a:lstStyle/>
              <a:p>
                <a:pPr>
                  <a:defRPr sz="1400" b="1" i="0" u="none" strike="noStrike" baseline="0">
                    <a:solidFill>
                      <a:srgbClr val="000000"/>
                    </a:solidFill>
                    <a:latin typeface="Arial"/>
                    <a:ea typeface="Arial"/>
                    <a:cs typeface="Arial"/>
                  </a:defRPr>
                </a:pPr>
                <a:r>
                  <a:rPr lang="en-US" sz="1400"/>
                  <a:t>Number of Coho Salmon</a:t>
                </a:r>
              </a:p>
            </c:rich>
          </c:tx>
          <c:layout>
            <c:manualLayout>
              <c:xMode val="edge"/>
              <c:yMode val="edge"/>
              <c:x val="1.4832470265541131E-3"/>
              <c:y val="0.1569896483489648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19499136"/>
        <c:crosses val="autoZero"/>
        <c:crossBetween val="between"/>
      </c:valAx>
      <c:spPr>
        <a:noFill/>
        <a:ln w="25400">
          <a:noFill/>
        </a:ln>
      </c:spPr>
    </c:plotArea>
    <c:legend>
      <c:legendPos val="r"/>
      <c:legendEntry>
        <c:idx val="3"/>
        <c:delete val="1"/>
      </c:legendEntry>
      <c:layout>
        <c:manualLayout>
          <c:xMode val="edge"/>
          <c:yMode val="edge"/>
          <c:x val="0.53148840178761436"/>
          <c:y val="9.1849622786683141E-2"/>
          <c:w val="0.36633754662246165"/>
          <c:h val="0.26708661417322838"/>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chartSpace>
</file>

<file path=xl/charts/chart1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69141041700695"/>
          <c:y val="4.5680132374757501E-2"/>
          <c:w val="0.87381026694923969"/>
          <c:h val="0.77841892046102934"/>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Data'!$D$130:$D$166</c:f>
              <c:numCache>
                <c:formatCode>#,##0</c:formatCode>
                <c:ptCount val="37"/>
                <c:pt idx="0">
                  <c:v>2144</c:v>
                </c:pt>
                <c:pt idx="1">
                  <c:v>1487</c:v>
                </c:pt>
                <c:pt idx="2">
                  <c:v>1407</c:v>
                </c:pt>
                <c:pt idx="3">
                  <c:v>903</c:v>
                </c:pt>
                <c:pt idx="4">
                  <c:v>1782</c:v>
                </c:pt>
                <c:pt idx="5">
                  <c:v>1117</c:v>
                </c:pt>
                <c:pt idx="6">
                  <c:v>513</c:v>
                </c:pt>
                <c:pt idx="7">
                  <c:v>433</c:v>
                </c:pt>
                <c:pt idx="8">
                  <c:v>870</c:v>
                </c:pt>
                <c:pt idx="9">
                  <c:v>1836</c:v>
                </c:pt>
                <c:pt idx="10">
                  <c:v>1426</c:v>
                </c:pt>
                <c:pt idx="11">
                  <c:v>832</c:v>
                </c:pt>
                <c:pt idx="12">
                  <c:v>1753</c:v>
                </c:pt>
                <c:pt idx="13">
                  <c:v>1781</c:v>
                </c:pt>
                <c:pt idx="14">
                  <c:v>950</c:v>
                </c:pt>
                <c:pt idx="15">
                  <c:v>732</c:v>
                </c:pt>
                <c:pt idx="16">
                  <c:v>983</c:v>
                </c:pt>
                <c:pt idx="17">
                  <c:v>1246</c:v>
                </c:pt>
                <c:pt idx="18">
                  <c:v>600</c:v>
                </c:pt>
                <c:pt idx="19">
                  <c:v>1580</c:v>
                </c:pt>
                <c:pt idx="20">
                  <c:v>3291</c:v>
                </c:pt>
                <c:pt idx="21">
                  <c:v>1510</c:v>
                </c:pt>
                <c:pt idx="22">
                  <c:v>840</c:v>
                </c:pt>
                <c:pt idx="23">
                  <c:v>1732</c:v>
                </c:pt>
                <c:pt idx="24">
                  <c:v>891</c:v>
                </c:pt>
                <c:pt idx="25">
                  <c:v>1244</c:v>
                </c:pt>
                <c:pt idx="26">
                  <c:v>1741</c:v>
                </c:pt>
                <c:pt idx="27">
                  <c:v>2281</c:v>
                </c:pt>
                <c:pt idx="28">
                  <c:v>2878</c:v>
                </c:pt>
                <c:pt idx="29">
                  <c:v>2137</c:v>
                </c:pt>
                <c:pt idx="30">
                  <c:v>1908</c:v>
                </c:pt>
                <c:pt idx="31">
                  <c:v>3048</c:v>
                </c:pt>
                <c:pt idx="32">
                  <c:v>4110</c:v>
                </c:pt>
                <c:pt idx="33">
                  <c:v>956</c:v>
                </c:pt>
                <c:pt idx="34">
                  <c:v>948</c:v>
                </c:pt>
                <c:pt idx="35">
                  <c:v>1266</c:v>
                </c:pt>
                <c:pt idx="36">
                  <c:v>619</c:v>
                </c:pt>
              </c:numCache>
            </c:numRef>
          </c:val>
        </c:ser>
        <c:ser>
          <c:idx val="0"/>
          <c:order val="1"/>
          <c:tx>
            <c:v>Other</c:v>
          </c:tx>
          <c:spPr>
            <a:solidFill>
              <a:srgbClr val="C0C0C0"/>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Data'!$C$130:$C$166</c:f>
              <c:numCache>
                <c:formatCode>_(* #,##0_);_(* \(#,##0\);_(* "-"??_);_(@_)</c:formatCode>
                <c:ptCount val="37"/>
                <c:pt idx="0">
                  <c:v>1230.5753876470587</c:v>
                </c:pt>
                <c:pt idx="1">
                  <c:v>1014.0181963656697</c:v>
                </c:pt>
                <c:pt idx="2">
                  <c:v>1350.6595404477289</c:v>
                </c:pt>
                <c:pt idx="3">
                  <c:v>669.11447398568021</c:v>
                </c:pt>
                <c:pt idx="4">
                  <c:v>985.58798862262915</c:v>
                </c:pt>
                <c:pt idx="5">
                  <c:v>469.47551346153847</c:v>
                </c:pt>
                <c:pt idx="6">
                  <c:v>553.92087272727258</c:v>
                </c:pt>
                <c:pt idx="7">
                  <c:v>754.4066980392156</c:v>
                </c:pt>
                <c:pt idx="8">
                  <c:v>2120.3495905882355</c:v>
                </c:pt>
                <c:pt idx="9">
                  <c:v>1827.4302368728897</c:v>
                </c:pt>
                <c:pt idx="10">
                  <c:v>1614.2097813915841</c:v>
                </c:pt>
                <c:pt idx="11">
                  <c:v>1182.6648083720929</c:v>
                </c:pt>
                <c:pt idx="12">
                  <c:v>3377.7121766470227</c:v>
                </c:pt>
                <c:pt idx="13">
                  <c:v>2908.8830356149738</c:v>
                </c:pt>
                <c:pt idx="14">
                  <c:v>1412.5816924618321</c:v>
                </c:pt>
                <c:pt idx="15">
                  <c:v>642.27624729458887</c:v>
                </c:pt>
                <c:pt idx="16">
                  <c:v>1616.7849101565732</c:v>
                </c:pt>
                <c:pt idx="17">
                  <c:v>1218.5799839416054</c:v>
                </c:pt>
                <c:pt idx="18">
                  <c:v>257.86700695530726</c:v>
                </c:pt>
                <c:pt idx="19">
                  <c:v>842.97839427618123</c:v>
                </c:pt>
                <c:pt idx="20">
                  <c:v>1223.4342523664409</c:v>
                </c:pt>
                <c:pt idx="21">
                  <c:v>1271.9577179381895</c:v>
                </c:pt>
                <c:pt idx="22">
                  <c:v>634.97066169912546</c:v>
                </c:pt>
                <c:pt idx="23">
                  <c:v>757.39708332706766</c:v>
                </c:pt>
                <c:pt idx="24">
                  <c:v>332.29241843391799</c:v>
                </c:pt>
                <c:pt idx="25">
                  <c:v>802.88434478455508</c:v>
                </c:pt>
                <c:pt idx="26">
                  <c:v>1319</c:v>
                </c:pt>
                <c:pt idx="27">
                  <c:v>1053</c:v>
                </c:pt>
                <c:pt idx="28">
                  <c:v>1334</c:v>
                </c:pt>
                <c:pt idx="29">
                  <c:v>1022</c:v>
                </c:pt>
                <c:pt idx="30">
                  <c:v>1434</c:v>
                </c:pt>
                <c:pt idx="31">
                  <c:v>2104</c:v>
                </c:pt>
                <c:pt idx="32">
                  <c:v>1724</c:v>
                </c:pt>
                <c:pt idx="33">
                  <c:v>528</c:v>
                </c:pt>
                <c:pt idx="34">
                  <c:v>751</c:v>
                </c:pt>
                <c:pt idx="35">
                  <c:v>485</c:v>
                </c:pt>
                <c:pt idx="36" formatCode="General">
                  <c:v>469</c:v>
                </c:pt>
              </c:numCache>
            </c:numRef>
          </c:val>
        </c:ser>
        <c:ser>
          <c:idx val="1"/>
          <c:order val="2"/>
          <c:tx>
            <c:v>Alaska Troll</c:v>
          </c:tx>
          <c:spPr>
            <a:solidFill>
              <a:srgbClr val="FFFFFF"/>
            </a:solidFill>
            <a:ln w="12700">
              <a:solidFill>
                <a:srgbClr val="000000"/>
              </a:solidFill>
              <a:prstDash val="solid"/>
            </a:ln>
          </c:spPr>
          <c:invertIfNegative val="0"/>
          <c:cat>
            <c:numRef>
              <c:f>'Catch_Escapement Data'!$A$130:$A$166</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Data'!$B$130:$B$166</c:f>
              <c:numCache>
                <c:formatCode>_(* #,##0_);_(* \(#,##0\);_(* "-"??_);_(@_)</c:formatCode>
                <c:ptCount val="37"/>
                <c:pt idx="0">
                  <c:v>2757.8227129411762</c:v>
                </c:pt>
                <c:pt idx="1">
                  <c:v>1373.619409225608</c:v>
                </c:pt>
                <c:pt idx="2">
                  <c:v>1266.002262812432</c:v>
                </c:pt>
                <c:pt idx="3">
                  <c:v>867.94892823388955</c:v>
                </c:pt>
                <c:pt idx="4">
                  <c:v>1597.6548065454551</c:v>
                </c:pt>
                <c:pt idx="5">
                  <c:v>657.25781161538475</c:v>
                </c:pt>
                <c:pt idx="6">
                  <c:v>405.92055454545448</c:v>
                </c:pt>
                <c:pt idx="7">
                  <c:v>1216.7415215686278</c:v>
                </c:pt>
                <c:pt idx="8">
                  <c:v>1803.2502211764713</c:v>
                </c:pt>
                <c:pt idx="9">
                  <c:v>2103.3371628347909</c:v>
                </c:pt>
                <c:pt idx="10">
                  <c:v>1854.4718550844138</c:v>
                </c:pt>
                <c:pt idx="11">
                  <c:v>2227.1374611627898</c:v>
                </c:pt>
                <c:pt idx="12">
                  <c:v>4333.0464887241487</c:v>
                </c:pt>
                <c:pt idx="13">
                  <c:v>2018.3078434224599</c:v>
                </c:pt>
                <c:pt idx="14">
                  <c:v>1585.4382060305347</c:v>
                </c:pt>
                <c:pt idx="15">
                  <c:v>1321.3277620440876</c:v>
                </c:pt>
                <c:pt idx="16">
                  <c:v>1771.4823739124367</c:v>
                </c:pt>
                <c:pt idx="17">
                  <c:v>1756.6023003284683</c:v>
                </c:pt>
                <c:pt idx="18">
                  <c:v>488.56200189944082</c:v>
                </c:pt>
                <c:pt idx="19">
                  <c:v>696.43144301589678</c:v>
                </c:pt>
                <c:pt idx="20">
                  <c:v>891.5136973965391</c:v>
                </c:pt>
                <c:pt idx="21">
                  <c:v>894.44455078994667</c:v>
                </c:pt>
                <c:pt idx="22">
                  <c:v>1016.5876905103869</c:v>
                </c:pt>
                <c:pt idx="23">
                  <c:v>1162.8187437705315</c:v>
                </c:pt>
                <c:pt idx="24">
                  <c:v>702.58882001747122</c:v>
                </c:pt>
                <c:pt idx="25">
                  <c:v>1262.171751366167</c:v>
                </c:pt>
                <c:pt idx="26">
                  <c:v>716</c:v>
                </c:pt>
                <c:pt idx="27">
                  <c:v>1049</c:v>
                </c:pt>
                <c:pt idx="28">
                  <c:v>1205</c:v>
                </c:pt>
                <c:pt idx="29">
                  <c:v>778</c:v>
                </c:pt>
                <c:pt idx="30">
                  <c:v>821</c:v>
                </c:pt>
                <c:pt idx="31">
                  <c:v>1754</c:v>
                </c:pt>
                <c:pt idx="32">
                  <c:v>1873</c:v>
                </c:pt>
                <c:pt idx="33">
                  <c:v>470</c:v>
                </c:pt>
                <c:pt idx="34">
                  <c:v>767</c:v>
                </c:pt>
                <c:pt idx="35">
                  <c:v>674</c:v>
                </c:pt>
                <c:pt idx="36" formatCode="General">
                  <c:v>230</c:v>
                </c:pt>
              </c:numCache>
            </c:numRef>
          </c:val>
        </c:ser>
        <c:dLbls>
          <c:showLegendKey val="0"/>
          <c:showVal val="0"/>
          <c:showCatName val="0"/>
          <c:showSerName val="0"/>
          <c:showPercent val="0"/>
          <c:showBubbleSize val="0"/>
        </c:dLbls>
        <c:gapWidth val="80"/>
        <c:overlap val="100"/>
        <c:axId val="219558656"/>
        <c:axId val="219560576"/>
      </c:barChart>
      <c:lineChart>
        <c:grouping val="standard"/>
        <c:varyColors val="0"/>
        <c:ser>
          <c:idx val="3"/>
          <c:order val="3"/>
          <c:tx>
            <c:v>Goal</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Data'!$F$130:$F$166</c:f>
              <c:numCache>
                <c:formatCode>#,##0</c:formatCode>
                <c:ptCount val="37"/>
                <c:pt idx="0">
                  <c:v>1600</c:v>
                </c:pt>
                <c:pt idx="1">
                  <c:v>1600</c:v>
                </c:pt>
                <c:pt idx="2">
                  <c:v>1600</c:v>
                </c:pt>
                <c:pt idx="3">
                  <c:v>1600</c:v>
                </c:pt>
                <c:pt idx="4">
                  <c:v>1600</c:v>
                </c:pt>
                <c:pt idx="5">
                  <c:v>1600</c:v>
                </c:pt>
                <c:pt idx="6">
                  <c:v>1600</c:v>
                </c:pt>
                <c:pt idx="7">
                  <c:v>1600</c:v>
                </c:pt>
                <c:pt idx="8">
                  <c:v>1600</c:v>
                </c:pt>
                <c:pt idx="9">
                  <c:v>1600</c:v>
                </c:pt>
                <c:pt idx="10">
                  <c:v>1600</c:v>
                </c:pt>
                <c:pt idx="11">
                  <c:v>1600</c:v>
                </c:pt>
                <c:pt idx="12">
                  <c:v>1600</c:v>
                </c:pt>
                <c:pt idx="13">
                  <c:v>1600</c:v>
                </c:pt>
                <c:pt idx="14">
                  <c:v>1600</c:v>
                </c:pt>
                <c:pt idx="15">
                  <c:v>1600</c:v>
                </c:pt>
                <c:pt idx="16">
                  <c:v>1600</c:v>
                </c:pt>
                <c:pt idx="17">
                  <c:v>1600</c:v>
                </c:pt>
                <c:pt idx="18">
                  <c:v>1600</c:v>
                </c:pt>
                <c:pt idx="19">
                  <c:v>1600</c:v>
                </c:pt>
                <c:pt idx="20">
                  <c:v>1600</c:v>
                </c:pt>
                <c:pt idx="21">
                  <c:v>1600</c:v>
                </c:pt>
                <c:pt idx="22">
                  <c:v>1600</c:v>
                </c:pt>
                <c:pt idx="23">
                  <c:v>1600</c:v>
                </c:pt>
                <c:pt idx="24">
                  <c:v>1600</c:v>
                </c:pt>
                <c:pt idx="25">
                  <c:v>1600</c:v>
                </c:pt>
                <c:pt idx="26">
                  <c:v>1600</c:v>
                </c:pt>
                <c:pt idx="27">
                  <c:v>1600</c:v>
                </c:pt>
                <c:pt idx="28">
                  <c:v>1600</c:v>
                </c:pt>
                <c:pt idx="29">
                  <c:v>1600</c:v>
                </c:pt>
                <c:pt idx="30">
                  <c:v>1600</c:v>
                </c:pt>
                <c:pt idx="31">
                  <c:v>1600</c:v>
                </c:pt>
                <c:pt idx="32">
                  <c:v>1600</c:v>
                </c:pt>
                <c:pt idx="33">
                  <c:v>1600</c:v>
                </c:pt>
                <c:pt idx="34">
                  <c:v>1600</c:v>
                </c:pt>
                <c:pt idx="35">
                  <c:v>1600</c:v>
                </c:pt>
                <c:pt idx="36">
                  <c:v>1600</c:v>
                </c:pt>
              </c:numCache>
            </c:numRef>
          </c:val>
          <c:smooth val="0"/>
        </c:ser>
        <c:ser>
          <c:idx val="4"/>
          <c:order val="4"/>
          <c:tx>
            <c:v>Goal Bounds</c:v>
          </c:tx>
          <c:spPr>
            <a:ln w="25400">
              <a:solidFill>
                <a:srgbClr val="000000"/>
              </a:solidFill>
              <a:prstDash val="solid"/>
            </a:ln>
          </c:spPr>
          <c:marker>
            <c:symbol val="none"/>
          </c:marker>
          <c:cat>
            <c:numRef>
              <c:f>AukeCr!$A$8:$A$43</c:f>
              <c:numCache>
                <c:formatCode>General</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'Catch_Escapement Data'!$E$130:$E$166</c:f>
              <c:numCache>
                <c:formatCode>#,##0</c:formatCode>
                <c:ptCount val="37"/>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500</c:v>
                </c:pt>
                <c:pt idx="16">
                  <c:v>500</c:v>
                </c:pt>
                <c:pt idx="17">
                  <c:v>500</c:v>
                </c:pt>
                <c:pt idx="18">
                  <c:v>500</c:v>
                </c:pt>
                <c:pt idx="19">
                  <c:v>500</c:v>
                </c:pt>
                <c:pt idx="20">
                  <c:v>500</c:v>
                </c:pt>
                <c:pt idx="21">
                  <c:v>500</c:v>
                </c:pt>
                <c:pt idx="22">
                  <c:v>500</c:v>
                </c:pt>
                <c:pt idx="23">
                  <c:v>500</c:v>
                </c:pt>
                <c:pt idx="24">
                  <c:v>500</c:v>
                </c:pt>
                <c:pt idx="25">
                  <c:v>500</c:v>
                </c:pt>
                <c:pt idx="26">
                  <c:v>500</c:v>
                </c:pt>
                <c:pt idx="27">
                  <c:v>500</c:v>
                </c:pt>
                <c:pt idx="28">
                  <c:v>500</c:v>
                </c:pt>
                <c:pt idx="29">
                  <c:v>500</c:v>
                </c:pt>
                <c:pt idx="30">
                  <c:v>500</c:v>
                </c:pt>
                <c:pt idx="31">
                  <c:v>500</c:v>
                </c:pt>
                <c:pt idx="32">
                  <c:v>500</c:v>
                </c:pt>
                <c:pt idx="33">
                  <c:v>500</c:v>
                </c:pt>
                <c:pt idx="34">
                  <c:v>500</c:v>
                </c:pt>
                <c:pt idx="35">
                  <c:v>500</c:v>
                </c:pt>
                <c:pt idx="36">
                  <c:v>500</c:v>
                </c:pt>
              </c:numCache>
            </c:numRef>
          </c:val>
          <c:smooth val="0"/>
        </c:ser>
        <c:dLbls>
          <c:showLegendKey val="0"/>
          <c:showVal val="0"/>
          <c:showCatName val="0"/>
          <c:showSerName val="0"/>
          <c:showPercent val="0"/>
          <c:showBubbleSize val="0"/>
        </c:dLbls>
        <c:marker val="1"/>
        <c:smooth val="0"/>
        <c:axId val="219558656"/>
        <c:axId val="219560576"/>
      </c:lineChart>
      <c:catAx>
        <c:axId val="219558656"/>
        <c:scaling>
          <c:orientation val="minMax"/>
        </c:scaling>
        <c:delete val="0"/>
        <c:axPos val="b"/>
        <c:title>
          <c:tx>
            <c:rich>
              <a:bodyPr/>
              <a:lstStyle/>
              <a:p>
                <a:pPr>
                  <a:defRPr sz="1200">
                    <a:latin typeface="Arial" panose="020B0604020202020204" pitchFamily="34" charset="0"/>
                    <a:cs typeface="Arial" panose="020B0604020202020204" pitchFamily="34" charset="0"/>
                  </a:defRPr>
                </a:pPr>
                <a:r>
                  <a:rPr lang="en-US" sz="1200">
                    <a:latin typeface="Arial" panose="020B0604020202020204" pitchFamily="34" charset="0"/>
                    <a:cs typeface="Arial" panose="020B0604020202020204" pitchFamily="34" charset="0"/>
                  </a:rPr>
                  <a:t>Year</a:t>
                </a:r>
              </a:p>
            </c:rich>
          </c:tx>
          <c:layout>
            <c:manualLayout>
              <c:xMode val="edge"/>
              <c:yMode val="edge"/>
              <c:x val="0.51656385912049807"/>
              <c:y val="0.9212164290274526"/>
            </c:manualLayout>
          </c:layout>
          <c:overlay val="0"/>
        </c:title>
        <c:numFmt formatCode="0" sourceLinked="0"/>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219560576"/>
        <c:crosses val="autoZero"/>
        <c:auto val="0"/>
        <c:lblAlgn val="ctr"/>
        <c:lblOffset val="100"/>
        <c:tickLblSkip val="2"/>
        <c:tickMarkSkip val="1"/>
        <c:noMultiLvlLbl val="0"/>
      </c:catAx>
      <c:valAx>
        <c:axId val="219560576"/>
        <c:scaling>
          <c:orientation val="minMax"/>
          <c:max val="9500"/>
          <c:min val="0"/>
        </c:scaling>
        <c:delete val="0"/>
        <c:axPos val="l"/>
        <c:title>
          <c:tx>
            <c:rich>
              <a:bodyPr/>
              <a:lstStyle/>
              <a:p>
                <a:pPr>
                  <a:defRPr sz="1200" b="0" i="0" u="none" strike="noStrike" baseline="0">
                    <a:solidFill>
                      <a:srgbClr val="000000"/>
                    </a:solidFill>
                    <a:latin typeface="Arial"/>
                    <a:ea typeface="Arial"/>
                    <a:cs typeface="Arial"/>
                  </a:defRPr>
                </a:pPr>
                <a:r>
                  <a:rPr lang="en-US" sz="1200" b="0"/>
                  <a:t>Number of Coho Salmon</a:t>
                </a:r>
              </a:p>
            </c:rich>
          </c:tx>
          <c:layout>
            <c:manualLayout>
              <c:xMode val="edge"/>
              <c:yMode val="edge"/>
              <c:x val="1.4832712697916371E-3"/>
              <c:y val="0.18020401503866071"/>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19558656"/>
        <c:crosses val="autoZero"/>
        <c:crossBetween val="between"/>
      </c:valAx>
      <c:spPr>
        <a:noFill/>
        <a:ln w="25400">
          <a:noFill/>
        </a:ln>
      </c:spPr>
    </c:plotArea>
    <c:legend>
      <c:legendPos val="r"/>
      <c:legendEntry>
        <c:idx val="3"/>
        <c:delete val="1"/>
      </c:legendEntry>
      <c:layout>
        <c:manualLayout>
          <c:xMode val="edge"/>
          <c:yMode val="edge"/>
          <c:x val="0.45939035598889488"/>
          <c:y val="6.6544654891111582E-2"/>
          <c:w val="0.36633754662246165"/>
          <c:h val="0.26708661417322838"/>
        </c:manualLayout>
      </c:layout>
      <c:overlay val="0"/>
      <c:spPr>
        <a:noFill/>
        <a:ln w="25400">
          <a:no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chartSpace>
</file>

<file path=xl/charts/chart1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sz="1600"/>
              <a:t>Ford</a:t>
            </a:r>
            <a:r>
              <a:rPr lang="en-US" sz="1600" baseline="0"/>
              <a:t> Arm</a:t>
            </a:r>
            <a:r>
              <a:rPr lang="en-US" sz="1600"/>
              <a:t> Creek</a:t>
            </a:r>
          </a:p>
        </c:rich>
      </c:tx>
      <c:layout>
        <c:manualLayout>
          <c:xMode val="edge"/>
          <c:yMode val="edge"/>
          <c:x val="0.41272346362110141"/>
          <c:y val="2.3073628013987039E-2"/>
        </c:manualLayout>
      </c:layout>
      <c:overlay val="0"/>
      <c:spPr>
        <a:noFill/>
        <a:ln w="25400">
          <a:noFill/>
        </a:ln>
      </c:spPr>
    </c:title>
    <c:autoTitleDeleted val="0"/>
    <c:plotArea>
      <c:layout>
        <c:manualLayout>
          <c:layoutTarget val="inner"/>
          <c:xMode val="edge"/>
          <c:yMode val="edge"/>
          <c:x val="0.13203981934690595"/>
          <c:y val="8.5358856005068331E-2"/>
          <c:w val="0.85146172944598142"/>
          <c:h val="0.7711726551422452"/>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Data'!$A$7:$A$43</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Data'!$D$93:$D$127</c:f>
              <c:numCache>
                <c:formatCode>#,##0</c:formatCode>
                <c:ptCount val="35"/>
                <c:pt idx="0">
                  <c:v>2655</c:v>
                </c:pt>
                <c:pt idx="1">
                  <c:v>1931</c:v>
                </c:pt>
                <c:pt idx="2">
                  <c:v>0</c:v>
                </c:pt>
                <c:pt idx="3">
                  <c:v>2324</c:v>
                </c:pt>
                <c:pt idx="4">
                  <c:v>1552</c:v>
                </c:pt>
                <c:pt idx="5">
                  <c:v>1694</c:v>
                </c:pt>
                <c:pt idx="6">
                  <c:v>3119</c:v>
                </c:pt>
                <c:pt idx="7">
                  <c:v>2176</c:v>
                </c:pt>
                <c:pt idx="8">
                  <c:v>2192</c:v>
                </c:pt>
                <c:pt idx="9">
                  <c:v>2761</c:v>
                </c:pt>
                <c:pt idx="10">
                  <c:v>3866</c:v>
                </c:pt>
                <c:pt idx="11">
                  <c:v>4202</c:v>
                </c:pt>
                <c:pt idx="12">
                  <c:v>3227</c:v>
                </c:pt>
                <c:pt idx="13">
                  <c:v>2446</c:v>
                </c:pt>
                <c:pt idx="14">
                  <c:v>2500</c:v>
                </c:pt>
                <c:pt idx="15">
                  <c:v>4718</c:v>
                </c:pt>
                <c:pt idx="16">
                  <c:v>7049</c:v>
                </c:pt>
                <c:pt idx="17">
                  <c:v>3800</c:v>
                </c:pt>
                <c:pt idx="18">
                  <c:v>2304</c:v>
                </c:pt>
                <c:pt idx="19">
                  <c:v>2209</c:v>
                </c:pt>
                <c:pt idx="20">
                  <c:v>7109</c:v>
                </c:pt>
                <c:pt idx="21">
                  <c:v>6789</c:v>
                </c:pt>
                <c:pt idx="22">
                  <c:v>3539</c:v>
                </c:pt>
                <c:pt idx="23">
                  <c:v>4257</c:v>
                </c:pt>
                <c:pt idx="24">
                  <c:v>4737</c:v>
                </c:pt>
                <c:pt idx="25">
                  <c:v>2567</c:v>
                </c:pt>
                <c:pt idx="26">
                  <c:v>5173</c:v>
                </c:pt>
                <c:pt idx="27">
                  <c:v>2181</c:v>
                </c:pt>
                <c:pt idx="28">
                  <c:v>1610</c:v>
                </c:pt>
                <c:pt idx="29">
                  <c:v>1908</c:v>
                </c:pt>
                <c:pt idx="30">
                  <c:v>2282</c:v>
                </c:pt>
                <c:pt idx="31">
                  <c:v>1573</c:v>
                </c:pt>
                <c:pt idx="32">
                  <c:v>3025</c:v>
                </c:pt>
                <c:pt idx="33">
                  <c:v>3281</c:v>
                </c:pt>
              </c:numCache>
            </c:numRef>
          </c:val>
        </c:ser>
        <c:ser>
          <c:idx val="0"/>
          <c:order val="1"/>
          <c:tx>
            <c:v>Other</c:v>
          </c:tx>
          <c:spPr>
            <a:solidFill>
              <a:srgbClr val="C0C0C0"/>
            </a:solidFill>
            <a:ln w="12700">
              <a:solidFill>
                <a:srgbClr val="000000"/>
              </a:solidFill>
              <a:prstDash val="solid"/>
            </a:ln>
          </c:spPr>
          <c:invertIfNegative val="0"/>
          <c:cat>
            <c:numRef>
              <c:f>'Catch_Escapement Data'!$A$7:$A$43</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Data'!$C$93:$C$127</c:f>
              <c:numCache>
                <c:formatCode>#,##0</c:formatCode>
                <c:ptCount val="35"/>
                <c:pt idx="0">
                  <c:v>106</c:v>
                </c:pt>
                <c:pt idx="1">
                  <c:v>912</c:v>
                </c:pt>
                <c:pt idx="2">
                  <c:v>0</c:v>
                </c:pt>
                <c:pt idx="3">
                  <c:v>0</c:v>
                </c:pt>
                <c:pt idx="4">
                  <c:v>63</c:v>
                </c:pt>
                <c:pt idx="5">
                  <c:v>81</c:v>
                </c:pt>
                <c:pt idx="6">
                  <c:v>77</c:v>
                </c:pt>
                <c:pt idx="7">
                  <c:v>185</c:v>
                </c:pt>
                <c:pt idx="8">
                  <c:v>100</c:v>
                </c:pt>
                <c:pt idx="9">
                  <c:v>54</c:v>
                </c:pt>
                <c:pt idx="10">
                  <c:v>233</c:v>
                </c:pt>
                <c:pt idx="11">
                  <c:v>610</c:v>
                </c:pt>
                <c:pt idx="12">
                  <c:v>1404</c:v>
                </c:pt>
                <c:pt idx="13">
                  <c:v>759</c:v>
                </c:pt>
                <c:pt idx="14">
                  <c:v>281</c:v>
                </c:pt>
                <c:pt idx="15">
                  <c:v>351</c:v>
                </c:pt>
                <c:pt idx="16">
                  <c:v>1240</c:v>
                </c:pt>
                <c:pt idx="17">
                  <c:v>502</c:v>
                </c:pt>
                <c:pt idx="18">
                  <c:v>1141</c:v>
                </c:pt>
                <c:pt idx="19">
                  <c:v>595</c:v>
                </c:pt>
                <c:pt idx="20">
                  <c:v>2258</c:v>
                </c:pt>
                <c:pt idx="21">
                  <c:v>2274</c:v>
                </c:pt>
                <c:pt idx="22">
                  <c:v>843</c:v>
                </c:pt>
                <c:pt idx="23">
                  <c:v>732</c:v>
                </c:pt>
                <c:pt idx="24">
                  <c:v>1211</c:v>
                </c:pt>
                <c:pt idx="25">
                  <c:v>426</c:v>
                </c:pt>
                <c:pt idx="26">
                  <c:v>1324</c:v>
                </c:pt>
                <c:pt idx="27">
                  <c:v>341</c:v>
                </c:pt>
                <c:pt idx="28">
                  <c:v>702</c:v>
                </c:pt>
                <c:pt idx="29">
                  <c:v>6317</c:v>
                </c:pt>
                <c:pt idx="30">
                  <c:v>1013</c:v>
                </c:pt>
                <c:pt idx="31">
                  <c:v>2172</c:v>
                </c:pt>
                <c:pt idx="32">
                  <c:v>2727</c:v>
                </c:pt>
                <c:pt idx="33">
                  <c:v>498</c:v>
                </c:pt>
              </c:numCache>
            </c:numRef>
          </c:val>
        </c:ser>
        <c:ser>
          <c:idx val="1"/>
          <c:order val="2"/>
          <c:tx>
            <c:v>Alaska Troll</c:v>
          </c:tx>
          <c:spPr>
            <a:solidFill>
              <a:srgbClr val="FFFFFF"/>
            </a:solidFill>
            <a:ln w="12700">
              <a:solidFill>
                <a:srgbClr val="000000"/>
              </a:solidFill>
              <a:prstDash val="solid"/>
            </a:ln>
          </c:spPr>
          <c:invertIfNegative val="0"/>
          <c:cat>
            <c:numRef>
              <c:f>'Catch_Escapement Data'!$A$7:$A$43</c:f>
              <c:numCache>
                <c:formatCode>General</c:formatCod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2018</c:v>
                </c:pt>
              </c:numCache>
            </c:numRef>
          </c:cat>
          <c:val>
            <c:numRef>
              <c:f>'Catch_Escapement Data'!$B$93:$B$127</c:f>
              <c:numCache>
                <c:formatCode>#,##0</c:formatCode>
                <c:ptCount val="35"/>
                <c:pt idx="0">
                  <c:v>1927</c:v>
                </c:pt>
                <c:pt idx="1">
                  <c:v>3344</c:v>
                </c:pt>
                <c:pt idx="2">
                  <c:v>0</c:v>
                </c:pt>
                <c:pt idx="3">
                  <c:v>2482</c:v>
                </c:pt>
                <c:pt idx="4">
                  <c:v>2483</c:v>
                </c:pt>
                <c:pt idx="5">
                  <c:v>1458</c:v>
                </c:pt>
                <c:pt idx="6">
                  <c:v>2816</c:v>
                </c:pt>
                <c:pt idx="7">
                  <c:v>3799</c:v>
                </c:pt>
                <c:pt idx="8">
                  <c:v>2982</c:v>
                </c:pt>
                <c:pt idx="9">
                  <c:v>3203</c:v>
                </c:pt>
                <c:pt idx="10">
                  <c:v>5252</c:v>
                </c:pt>
                <c:pt idx="11">
                  <c:v>7749</c:v>
                </c:pt>
                <c:pt idx="12">
                  <c:v>6856</c:v>
                </c:pt>
                <c:pt idx="13">
                  <c:v>3582</c:v>
                </c:pt>
                <c:pt idx="14">
                  <c:v>3083</c:v>
                </c:pt>
                <c:pt idx="15">
                  <c:v>4702</c:v>
                </c:pt>
                <c:pt idx="16">
                  <c:v>7835</c:v>
                </c:pt>
                <c:pt idx="17">
                  <c:v>5893</c:v>
                </c:pt>
                <c:pt idx="18">
                  <c:v>4604</c:v>
                </c:pt>
                <c:pt idx="19">
                  <c:v>5821</c:v>
                </c:pt>
                <c:pt idx="20">
                  <c:v>5751</c:v>
                </c:pt>
                <c:pt idx="21">
                  <c:v>4154</c:v>
                </c:pt>
                <c:pt idx="22">
                  <c:v>7722</c:v>
                </c:pt>
                <c:pt idx="23">
                  <c:v>5134</c:v>
                </c:pt>
                <c:pt idx="24">
                  <c:v>3866</c:v>
                </c:pt>
                <c:pt idx="25">
                  <c:v>5673</c:v>
                </c:pt>
                <c:pt idx="26">
                  <c:v>4563</c:v>
                </c:pt>
                <c:pt idx="27">
                  <c:v>4604</c:v>
                </c:pt>
                <c:pt idx="28">
                  <c:v>2151</c:v>
                </c:pt>
                <c:pt idx="29">
                  <c:v>2613</c:v>
                </c:pt>
                <c:pt idx="30">
                  <c:v>2884</c:v>
                </c:pt>
                <c:pt idx="31">
                  <c:v>3426</c:v>
                </c:pt>
                <c:pt idx="32">
                  <c:v>4927</c:v>
                </c:pt>
                <c:pt idx="33">
                  <c:v>3078</c:v>
                </c:pt>
              </c:numCache>
            </c:numRef>
          </c:val>
        </c:ser>
        <c:dLbls>
          <c:showLegendKey val="0"/>
          <c:showVal val="0"/>
          <c:showCatName val="0"/>
          <c:showSerName val="0"/>
          <c:showPercent val="0"/>
          <c:showBubbleSize val="0"/>
        </c:dLbls>
        <c:gapWidth val="80"/>
        <c:overlap val="100"/>
        <c:axId val="220105344"/>
        <c:axId val="219627904"/>
      </c:barChart>
      <c:lineChart>
        <c:grouping val="standard"/>
        <c:varyColors val="0"/>
        <c:ser>
          <c:idx val="3"/>
          <c:order val="3"/>
          <c:tx>
            <c:v>Goal</c:v>
          </c:tx>
          <c:spPr>
            <a:ln w="25400">
              <a:solidFill>
                <a:srgbClr val="000000"/>
              </a:solidFill>
              <a:prstDash val="solid"/>
            </a:ln>
          </c:spPr>
          <c:marker>
            <c:symbol val="none"/>
          </c:marker>
          <c:cat>
            <c:strRef>
              <c:f>AukeCr!$A$8:$A$44</c:f>
              <c:strCach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Average</c:v>
                </c:pt>
              </c:strCache>
            </c:strRef>
          </c:cat>
          <c:val>
            <c:numRef>
              <c:f>'Catch_Escapement Data'!$F$93:$F$129</c:f>
              <c:numCache>
                <c:formatCode>#,##0</c:formatCode>
                <c:ptCount val="37"/>
                <c:pt idx="0">
                  <c:v>2900</c:v>
                </c:pt>
                <c:pt idx="1">
                  <c:v>2900</c:v>
                </c:pt>
                <c:pt idx="2">
                  <c:v>2900</c:v>
                </c:pt>
                <c:pt idx="3">
                  <c:v>2900</c:v>
                </c:pt>
                <c:pt idx="4">
                  <c:v>2900</c:v>
                </c:pt>
                <c:pt idx="5">
                  <c:v>2900</c:v>
                </c:pt>
                <c:pt idx="6">
                  <c:v>2900</c:v>
                </c:pt>
                <c:pt idx="7">
                  <c:v>2900</c:v>
                </c:pt>
                <c:pt idx="8">
                  <c:v>2900</c:v>
                </c:pt>
                <c:pt idx="9">
                  <c:v>2900</c:v>
                </c:pt>
                <c:pt idx="10">
                  <c:v>2900</c:v>
                </c:pt>
                <c:pt idx="11">
                  <c:v>2900</c:v>
                </c:pt>
                <c:pt idx="12">
                  <c:v>2900</c:v>
                </c:pt>
                <c:pt idx="13">
                  <c:v>2900</c:v>
                </c:pt>
                <c:pt idx="14">
                  <c:v>2900</c:v>
                </c:pt>
                <c:pt idx="15">
                  <c:v>2900</c:v>
                </c:pt>
                <c:pt idx="16">
                  <c:v>2900</c:v>
                </c:pt>
                <c:pt idx="17">
                  <c:v>2900</c:v>
                </c:pt>
                <c:pt idx="18">
                  <c:v>2900</c:v>
                </c:pt>
                <c:pt idx="19">
                  <c:v>2900</c:v>
                </c:pt>
                <c:pt idx="20">
                  <c:v>2900</c:v>
                </c:pt>
                <c:pt idx="21">
                  <c:v>2900</c:v>
                </c:pt>
                <c:pt idx="22">
                  <c:v>2900</c:v>
                </c:pt>
                <c:pt idx="23">
                  <c:v>2900</c:v>
                </c:pt>
                <c:pt idx="24">
                  <c:v>2900</c:v>
                </c:pt>
                <c:pt idx="25">
                  <c:v>2900</c:v>
                </c:pt>
                <c:pt idx="26">
                  <c:v>2900</c:v>
                </c:pt>
                <c:pt idx="27">
                  <c:v>2900</c:v>
                </c:pt>
                <c:pt idx="28">
                  <c:v>2900</c:v>
                </c:pt>
                <c:pt idx="29">
                  <c:v>2900</c:v>
                </c:pt>
                <c:pt idx="30">
                  <c:v>2900</c:v>
                </c:pt>
                <c:pt idx="31">
                  <c:v>2900</c:v>
                </c:pt>
                <c:pt idx="32">
                  <c:v>2900</c:v>
                </c:pt>
                <c:pt idx="33">
                  <c:v>2900</c:v>
                </c:pt>
                <c:pt idx="34">
                  <c:v>2900</c:v>
                </c:pt>
                <c:pt idx="36">
                  <c:v>0</c:v>
                </c:pt>
              </c:numCache>
            </c:numRef>
          </c:val>
          <c:smooth val="0"/>
        </c:ser>
        <c:ser>
          <c:idx val="4"/>
          <c:order val="4"/>
          <c:tx>
            <c:v>Goal Bounds</c:v>
          </c:tx>
          <c:spPr>
            <a:ln w="25400">
              <a:solidFill>
                <a:srgbClr val="000000"/>
              </a:solidFill>
              <a:prstDash val="solid"/>
            </a:ln>
          </c:spPr>
          <c:marker>
            <c:symbol val="none"/>
          </c:marker>
          <c:cat>
            <c:strRef>
              <c:f>AukeCr!$A$8:$A$44</c:f>
              <c:strCache>
                <c:ptCount val="3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pt idx="36">
                  <c:v>Average</c:v>
                </c:pt>
              </c:strCache>
            </c:strRef>
          </c:cat>
          <c:val>
            <c:numRef>
              <c:f>'Catch_Escapement Data'!$E$93:$E$129</c:f>
              <c:numCache>
                <c:formatCode>#,##0</c:formatCode>
                <c:ptCount val="37"/>
                <c:pt idx="0">
                  <c:v>1300</c:v>
                </c:pt>
                <c:pt idx="1">
                  <c:v>1300</c:v>
                </c:pt>
                <c:pt idx="2">
                  <c:v>1300</c:v>
                </c:pt>
                <c:pt idx="3">
                  <c:v>1300</c:v>
                </c:pt>
                <c:pt idx="4">
                  <c:v>1300</c:v>
                </c:pt>
                <c:pt idx="5">
                  <c:v>1300</c:v>
                </c:pt>
                <c:pt idx="6">
                  <c:v>1300</c:v>
                </c:pt>
                <c:pt idx="7">
                  <c:v>1300</c:v>
                </c:pt>
                <c:pt idx="8">
                  <c:v>1300</c:v>
                </c:pt>
                <c:pt idx="9">
                  <c:v>1300</c:v>
                </c:pt>
                <c:pt idx="10">
                  <c:v>1300</c:v>
                </c:pt>
                <c:pt idx="11">
                  <c:v>1300</c:v>
                </c:pt>
                <c:pt idx="12">
                  <c:v>1300</c:v>
                </c:pt>
                <c:pt idx="13">
                  <c:v>1300</c:v>
                </c:pt>
                <c:pt idx="14">
                  <c:v>1300</c:v>
                </c:pt>
                <c:pt idx="15">
                  <c:v>1300</c:v>
                </c:pt>
                <c:pt idx="16">
                  <c:v>1300</c:v>
                </c:pt>
                <c:pt idx="17">
                  <c:v>1300</c:v>
                </c:pt>
                <c:pt idx="18">
                  <c:v>1300</c:v>
                </c:pt>
                <c:pt idx="19">
                  <c:v>1300</c:v>
                </c:pt>
                <c:pt idx="20">
                  <c:v>1300</c:v>
                </c:pt>
                <c:pt idx="21">
                  <c:v>1300</c:v>
                </c:pt>
                <c:pt idx="22">
                  <c:v>1300</c:v>
                </c:pt>
                <c:pt idx="23">
                  <c:v>1300</c:v>
                </c:pt>
                <c:pt idx="24">
                  <c:v>1300</c:v>
                </c:pt>
                <c:pt idx="25">
                  <c:v>1300</c:v>
                </c:pt>
                <c:pt idx="26">
                  <c:v>1300</c:v>
                </c:pt>
                <c:pt idx="27">
                  <c:v>1300</c:v>
                </c:pt>
                <c:pt idx="28">
                  <c:v>1300</c:v>
                </c:pt>
                <c:pt idx="29">
                  <c:v>1300</c:v>
                </c:pt>
                <c:pt idx="30">
                  <c:v>1300</c:v>
                </c:pt>
                <c:pt idx="31">
                  <c:v>1300</c:v>
                </c:pt>
                <c:pt idx="32">
                  <c:v>1300</c:v>
                </c:pt>
                <c:pt idx="33">
                  <c:v>1300</c:v>
                </c:pt>
                <c:pt idx="34">
                  <c:v>1300</c:v>
                </c:pt>
                <c:pt idx="36">
                  <c:v>0</c:v>
                </c:pt>
              </c:numCache>
            </c:numRef>
          </c:val>
          <c:smooth val="0"/>
        </c:ser>
        <c:dLbls>
          <c:showLegendKey val="0"/>
          <c:showVal val="0"/>
          <c:showCatName val="0"/>
          <c:showSerName val="0"/>
          <c:showPercent val="0"/>
          <c:showBubbleSize val="0"/>
        </c:dLbls>
        <c:marker val="1"/>
        <c:smooth val="0"/>
        <c:axId val="220105344"/>
        <c:axId val="219627904"/>
      </c:lineChart>
      <c:catAx>
        <c:axId val="220105344"/>
        <c:scaling>
          <c:orientation val="minMax"/>
        </c:scaling>
        <c:delete val="0"/>
        <c:axPos val="b"/>
        <c:numFmt formatCode="0" sourceLinked="0"/>
        <c:majorTickMark val="out"/>
        <c:minorTickMark val="none"/>
        <c:tickLblPos val="nextTo"/>
        <c:spPr>
          <a:ln w="3175">
            <a:solidFill>
              <a:srgbClr val="000000"/>
            </a:solidFill>
            <a:prstDash val="solid"/>
          </a:ln>
        </c:spPr>
        <c:txPr>
          <a:bodyPr rot="-5400000" vert="horz"/>
          <a:lstStyle/>
          <a:p>
            <a:pPr>
              <a:defRPr sz="900" b="1" i="0" u="none" strike="noStrike" baseline="0">
                <a:solidFill>
                  <a:srgbClr val="000000"/>
                </a:solidFill>
                <a:latin typeface="Arial"/>
                <a:ea typeface="Arial"/>
                <a:cs typeface="Arial"/>
              </a:defRPr>
            </a:pPr>
            <a:endParaRPr lang="en-US"/>
          </a:p>
        </c:txPr>
        <c:crossAx val="219627904"/>
        <c:crosses val="autoZero"/>
        <c:auto val="0"/>
        <c:lblAlgn val="ctr"/>
        <c:lblOffset val="100"/>
        <c:tickLblSkip val="2"/>
        <c:tickMarkSkip val="1"/>
        <c:noMultiLvlLbl val="0"/>
      </c:catAx>
      <c:valAx>
        <c:axId val="219627904"/>
        <c:scaling>
          <c:orientation val="minMax"/>
          <c:min val="0"/>
        </c:scaling>
        <c:delete val="0"/>
        <c:axPos val="l"/>
        <c:title>
          <c:tx>
            <c:rich>
              <a:bodyPr/>
              <a:lstStyle/>
              <a:p>
                <a:pPr>
                  <a:defRPr sz="1400" b="1" i="0" u="none" strike="noStrike" baseline="0">
                    <a:solidFill>
                      <a:srgbClr val="000000"/>
                    </a:solidFill>
                    <a:latin typeface="Arial"/>
                    <a:ea typeface="Arial"/>
                    <a:cs typeface="Arial"/>
                  </a:defRPr>
                </a:pPr>
                <a:r>
                  <a:rPr lang="en-US" sz="1400"/>
                  <a:t>Number of Coho Salmon</a:t>
                </a:r>
              </a:p>
            </c:rich>
          </c:tx>
          <c:layout>
            <c:manualLayout>
              <c:xMode val="edge"/>
              <c:yMode val="edge"/>
              <c:x val="1.4832470265541131E-3"/>
              <c:y val="0.1606728906694771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1" i="0" u="none" strike="noStrike" baseline="0">
                <a:solidFill>
                  <a:srgbClr val="000000"/>
                </a:solidFill>
                <a:latin typeface="Arial"/>
                <a:ea typeface="Arial"/>
                <a:cs typeface="Arial"/>
              </a:defRPr>
            </a:pPr>
            <a:endParaRPr lang="en-US"/>
          </a:p>
        </c:txPr>
        <c:crossAx val="220105344"/>
        <c:crosses val="autoZero"/>
        <c:crossBetween val="between"/>
      </c:valAx>
      <c:spPr>
        <a:noFill/>
        <a:ln w="25400">
          <a:noFill/>
        </a:ln>
      </c:spPr>
    </c:plotArea>
    <c:legend>
      <c:legendPos val="r"/>
      <c:legendEntry>
        <c:idx val="3"/>
        <c:delete val="1"/>
      </c:legendEntry>
      <c:layout>
        <c:manualLayout>
          <c:xMode val="edge"/>
          <c:yMode val="edge"/>
          <c:x val="8.223915253836514E-2"/>
          <c:y val="9.55328651071954E-2"/>
          <c:w val="0.36633754662246165"/>
          <c:h val="0.26708661417322838"/>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oddHeader>&amp;A</c:oddHeader>
      <c:oddFooter>Page &amp;P</c:oddFooter>
    </c:headerFooter>
    <c:pageMargins b="1" l="0.75" r="0.75" t="1" header="0.5" footer="0.5"/>
    <c:pageSetup orientation="landscape" verticalDpi="300"/>
  </c:printSettings>
  <c:userShapes r:id="rId1"/>
</c:chartSpace>
</file>

<file path=xl/charts/chart1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150"/>
        <c:axId val="217150592"/>
        <c:axId val="217152128"/>
      </c:barChart>
      <c:catAx>
        <c:axId val="217150592"/>
        <c:scaling>
          <c:orientation val="minMax"/>
        </c:scaling>
        <c:delete val="0"/>
        <c:axPos val="b"/>
        <c:majorTickMark val="in"/>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Calibri"/>
                <a:ea typeface="Calibri"/>
                <a:cs typeface="Calibri"/>
              </a:defRPr>
            </a:pPr>
            <a:endParaRPr lang="en-US"/>
          </a:p>
        </c:txPr>
        <c:crossAx val="217152128"/>
        <c:crosses val="autoZero"/>
        <c:auto val="1"/>
        <c:lblAlgn val="ctr"/>
        <c:lblOffset val="100"/>
        <c:tickMarkSkip val="1"/>
        <c:noMultiLvlLbl val="0"/>
      </c:catAx>
      <c:valAx>
        <c:axId val="217152128"/>
        <c:scaling>
          <c:orientation val="minMax"/>
        </c:scaling>
        <c:delete val="0"/>
        <c:axPos val="l"/>
        <c:majorGridlines>
          <c:spPr>
            <a:ln w="3175">
              <a:solidFill>
                <a:srgbClr val="000000"/>
              </a:solidFill>
              <a:prstDash val="solid"/>
            </a:ln>
          </c:spPr>
        </c:majorGridlines>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Calibri"/>
                <a:ea typeface="Calibri"/>
                <a:cs typeface="Calibri"/>
              </a:defRPr>
            </a:pPr>
            <a:endParaRPr lang="en-US"/>
          </a:p>
        </c:txPr>
        <c:crossAx val="217150592"/>
        <c:crosses val="autoZero"/>
        <c:crossBetween val="between"/>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11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anose="020B0604020202020204" pitchFamily="34" charset="0"/>
                <a:cs typeface="Arial" panose="020B0604020202020204" pitchFamily="34" charset="0"/>
              </a:defRPr>
            </a:pPr>
            <a:r>
              <a:rPr lang="en-US" sz="1600">
                <a:latin typeface="Arial" panose="020B0604020202020204" pitchFamily="34" charset="0"/>
                <a:cs typeface="Arial" panose="020B0604020202020204" pitchFamily="34" charset="0"/>
              </a:rPr>
              <a:t>Berners River Coho</a:t>
            </a:r>
            <a:r>
              <a:rPr lang="en-US" sz="1600" baseline="0">
                <a:latin typeface="Arial" panose="020B0604020202020204" pitchFamily="34" charset="0"/>
                <a:cs typeface="Arial" panose="020B0604020202020204" pitchFamily="34" charset="0"/>
              </a:rPr>
              <a:t> Salmon Return </a:t>
            </a:r>
          </a:p>
          <a:p>
            <a:pPr>
              <a:defRPr sz="1600">
                <a:latin typeface="Arial" panose="020B0604020202020204" pitchFamily="34" charset="0"/>
                <a:cs typeface="Arial" panose="020B0604020202020204" pitchFamily="34" charset="0"/>
              </a:defRPr>
            </a:pPr>
            <a:r>
              <a:rPr lang="en-US" sz="1600" baseline="0">
                <a:latin typeface="Arial" panose="020B0604020202020204" pitchFamily="34" charset="0"/>
                <a:cs typeface="Arial" panose="020B0604020202020204" pitchFamily="34" charset="0"/>
              </a:rPr>
              <a:t>(Based on Unexpanded Escapement Count)</a:t>
            </a:r>
            <a:endParaRPr lang="en-US" sz="1600">
              <a:latin typeface="Arial" panose="020B0604020202020204" pitchFamily="34" charset="0"/>
              <a:cs typeface="Arial" panose="020B0604020202020204" pitchFamily="34" charset="0"/>
            </a:endParaRPr>
          </a:p>
        </c:rich>
      </c:tx>
      <c:layout>
        <c:manualLayout>
          <c:xMode val="edge"/>
          <c:yMode val="edge"/>
          <c:x val="0.24110948905109489"/>
          <c:y val="1.5633721427131909E-2"/>
        </c:manualLayout>
      </c:layout>
      <c:overlay val="1"/>
    </c:title>
    <c:autoTitleDeleted val="0"/>
    <c:plotArea>
      <c:layout>
        <c:manualLayout>
          <c:layoutTarget val="inner"/>
          <c:xMode val="edge"/>
          <c:yMode val="edge"/>
          <c:x val="0.13066406115293983"/>
          <c:y val="9.67412571622316E-2"/>
          <c:w val="0.85669429277544684"/>
          <c:h val="0.76540994290614173"/>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Data'!$A$46:$A$90</c:f>
              <c:numCache>
                <c:formatCode>General</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'Catch_Escapement Data'!$D$46:$D$90</c:f>
              <c:numCache>
                <c:formatCode>#,##0</c:formatCode>
                <c:ptCount val="45"/>
                <c:pt idx="0">
                  <c:v>4124</c:v>
                </c:pt>
                <c:pt idx="4">
                  <c:v>3119</c:v>
                </c:pt>
                <c:pt idx="5">
                  <c:v>3460</c:v>
                </c:pt>
                <c:pt idx="8">
                  <c:v>7505</c:v>
                </c:pt>
                <c:pt idx="9">
                  <c:v>9840</c:v>
                </c:pt>
                <c:pt idx="10">
                  <c:v>2825</c:v>
                </c:pt>
                <c:pt idx="11">
                  <c:v>6169</c:v>
                </c:pt>
                <c:pt idx="12">
                  <c:v>1752</c:v>
                </c:pt>
                <c:pt idx="13">
                  <c:v>3260</c:v>
                </c:pt>
                <c:pt idx="14">
                  <c:v>2724</c:v>
                </c:pt>
                <c:pt idx="15">
                  <c:v>7509</c:v>
                </c:pt>
                <c:pt idx="16">
                  <c:v>11050</c:v>
                </c:pt>
                <c:pt idx="17">
                  <c:v>11530</c:v>
                </c:pt>
                <c:pt idx="18">
                  <c:v>15300</c:v>
                </c:pt>
                <c:pt idx="19">
                  <c:v>15670</c:v>
                </c:pt>
                <c:pt idx="20">
                  <c:v>15920</c:v>
                </c:pt>
                <c:pt idx="21">
                  <c:v>4945</c:v>
                </c:pt>
                <c:pt idx="22">
                  <c:v>6050</c:v>
                </c:pt>
                <c:pt idx="23">
                  <c:v>10050</c:v>
                </c:pt>
                <c:pt idx="24">
                  <c:v>6802</c:v>
                </c:pt>
                <c:pt idx="25">
                  <c:v>9920</c:v>
                </c:pt>
                <c:pt idx="26">
                  <c:v>10650</c:v>
                </c:pt>
                <c:pt idx="27">
                  <c:v>19290</c:v>
                </c:pt>
                <c:pt idx="28">
                  <c:v>27700</c:v>
                </c:pt>
                <c:pt idx="29">
                  <c:v>10110</c:v>
                </c:pt>
                <c:pt idx="30">
                  <c:v>14450</c:v>
                </c:pt>
                <c:pt idx="31">
                  <c:v>5220</c:v>
                </c:pt>
                <c:pt idx="32">
                  <c:v>5470</c:v>
                </c:pt>
                <c:pt idx="33">
                  <c:v>3915</c:v>
                </c:pt>
                <c:pt idx="34">
                  <c:v>6870</c:v>
                </c:pt>
                <c:pt idx="35">
                  <c:v>4230</c:v>
                </c:pt>
                <c:pt idx="36">
                  <c:v>7520</c:v>
                </c:pt>
                <c:pt idx="37">
                  <c:v>6050</c:v>
                </c:pt>
                <c:pt idx="38">
                  <c:v>5480</c:v>
                </c:pt>
                <c:pt idx="39">
                  <c:v>6280</c:v>
                </c:pt>
                <c:pt idx="40">
                  <c:v>15480</c:v>
                </c:pt>
                <c:pt idx="41">
                  <c:v>9940</c:v>
                </c:pt>
                <c:pt idx="42">
                  <c:v>6733</c:v>
                </c:pt>
                <c:pt idx="43">
                  <c:v>7040</c:v>
                </c:pt>
                <c:pt idx="44">
                  <c:v>3550</c:v>
                </c:pt>
              </c:numCache>
            </c:numRef>
          </c:val>
        </c:ser>
        <c:ser>
          <c:idx val="0"/>
          <c:order val="1"/>
          <c:tx>
            <c:v>Other Fisheries</c:v>
          </c:tx>
          <c:spPr>
            <a:solidFill>
              <a:srgbClr val="C0C0C0"/>
            </a:solidFill>
            <a:ln w="12700">
              <a:solidFill>
                <a:srgbClr val="000000"/>
              </a:solidFill>
              <a:prstDash val="solid"/>
            </a:ln>
          </c:spPr>
          <c:invertIfNegative val="0"/>
          <c:cat>
            <c:numRef>
              <c:f>'Catch_Escapement Data'!$A$46:$A$90</c:f>
              <c:numCache>
                <c:formatCode>General</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'Catch_Escapement Data'!$C$46:$C$90</c:f>
              <c:numCache>
                <c:formatCode>#,##0</c:formatCode>
                <c:ptCount val="45"/>
                <c:pt idx="0">
                  <c:v>4986.5901639344265</c:v>
                </c:pt>
                <c:pt idx="4">
                  <c:v>4143.6868244444504</c:v>
                </c:pt>
                <c:pt idx="5">
                  <c:v>2280.0084872727275</c:v>
                </c:pt>
                <c:pt idx="8">
                  <c:v>10964.724093749999</c:v>
                </c:pt>
                <c:pt idx="9">
                  <c:v>7398.0341876190532</c:v>
                </c:pt>
                <c:pt idx="11">
                  <c:v>7305.9263485714255</c:v>
                </c:pt>
                <c:pt idx="12">
                  <c:v>9370.0138746666598</c:v>
                </c:pt>
                <c:pt idx="13">
                  <c:v>3483.3823206451616</c:v>
                </c:pt>
                <c:pt idx="14">
                  <c:v>6363.9396100000022</c:v>
                </c:pt>
                <c:pt idx="15">
                  <c:v>1664.5295875675677</c:v>
                </c:pt>
                <c:pt idx="16">
                  <c:v>7903.7236924422314</c:v>
                </c:pt>
                <c:pt idx="17">
                  <c:v>17008.220035610553</c:v>
                </c:pt>
                <c:pt idx="18">
                  <c:v>15376.580432960342</c:v>
                </c:pt>
                <c:pt idx="19">
                  <c:v>14627.286861220649</c:v>
                </c:pt>
                <c:pt idx="20">
                  <c:v>30109.870411608859</c:v>
                </c:pt>
                <c:pt idx="21">
                  <c:v>15104.459928559276</c:v>
                </c:pt>
                <c:pt idx="22">
                  <c:v>7074.9686336538462</c:v>
                </c:pt>
                <c:pt idx="23">
                  <c:v>2781.3509854027516</c:v>
                </c:pt>
                <c:pt idx="24">
                  <c:v>5910.6912592145454</c:v>
                </c:pt>
                <c:pt idx="25">
                  <c:v>10348.749160845062</c:v>
                </c:pt>
                <c:pt idx="26">
                  <c:v>6004.0087996874972</c:v>
                </c:pt>
                <c:pt idx="27">
                  <c:v>4048.4054414634797</c:v>
                </c:pt>
                <c:pt idx="28">
                  <c:v>13468.621889380582</c:v>
                </c:pt>
                <c:pt idx="29">
                  <c:v>12178.241481890531</c:v>
                </c:pt>
                <c:pt idx="30">
                  <c:v>7932.1244014004769</c:v>
                </c:pt>
                <c:pt idx="31">
                  <c:v>2899.1893495575223</c:v>
                </c:pt>
                <c:pt idx="32">
                  <c:v>6270.6875726886228</c:v>
                </c:pt>
                <c:pt idx="33">
                  <c:v>1869.0850097283762</c:v>
                </c:pt>
                <c:pt idx="34">
                  <c:v>3618.5646731159577</c:v>
                </c:pt>
                <c:pt idx="35">
                  <c:v>2280.7571149367091</c:v>
                </c:pt>
                <c:pt idx="36">
                  <c:v>7845.4991998376936</c:v>
                </c:pt>
                <c:pt idx="37">
                  <c:v>2257.4466386363638</c:v>
                </c:pt>
                <c:pt idx="38">
                  <c:v>979.64220288319086</c:v>
                </c:pt>
                <c:pt idx="39">
                  <c:v>7266.9495325000007</c:v>
                </c:pt>
                <c:pt idx="40">
                  <c:v>6867.170445164742</c:v>
                </c:pt>
                <c:pt idx="41">
                  <c:v>2166</c:v>
                </c:pt>
                <c:pt idx="42">
                  <c:v>2295.8126686792439</c:v>
                </c:pt>
                <c:pt idx="43">
                  <c:v>2803</c:v>
                </c:pt>
                <c:pt idx="44">
                  <c:v>3143</c:v>
                </c:pt>
              </c:numCache>
            </c:numRef>
          </c:val>
        </c:ser>
        <c:ser>
          <c:idx val="1"/>
          <c:order val="2"/>
          <c:tx>
            <c:v>Troll Catch</c:v>
          </c:tx>
          <c:spPr>
            <a:solidFill>
              <a:srgbClr val="FFFFFF"/>
            </a:solidFill>
            <a:ln w="12700">
              <a:solidFill>
                <a:srgbClr val="000000"/>
              </a:solidFill>
              <a:prstDash val="solid"/>
            </a:ln>
          </c:spPr>
          <c:invertIfNegative val="0"/>
          <c:cat>
            <c:numRef>
              <c:f>'Catch_Escapement Data'!$A$46:$A$90</c:f>
              <c:numCache>
                <c:formatCode>General</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'Catch_Escapement Data'!$B$46:$B$90</c:f>
              <c:numCache>
                <c:formatCode>#,##0</c:formatCode>
                <c:ptCount val="45"/>
                <c:pt idx="0">
                  <c:v>9161.4098360655735</c:v>
                </c:pt>
                <c:pt idx="4">
                  <c:v>7208.2104200000003</c:v>
                </c:pt>
                <c:pt idx="5">
                  <c:v>4892.1190690909107</c:v>
                </c:pt>
                <c:pt idx="8">
                  <c:v>14139.742350000006</c:v>
                </c:pt>
                <c:pt idx="9">
                  <c:v>17176.461926666681</c:v>
                </c:pt>
                <c:pt idx="11">
                  <c:v>10861.480585714284</c:v>
                </c:pt>
                <c:pt idx="12">
                  <c:v>13565.22991599998</c:v>
                </c:pt>
                <c:pt idx="13">
                  <c:v>7210.7570332258092</c:v>
                </c:pt>
                <c:pt idx="14">
                  <c:v>6060.4003293750011</c:v>
                </c:pt>
                <c:pt idx="15">
                  <c:v>10582.789888648653</c:v>
                </c:pt>
                <c:pt idx="16">
                  <c:v>15006.906562552591</c:v>
                </c:pt>
                <c:pt idx="17">
                  <c:v>6448.5848185505256</c:v>
                </c:pt>
                <c:pt idx="18">
                  <c:v>15318.194687812569</c:v>
                </c:pt>
                <c:pt idx="19">
                  <c:v>19308.334788727647</c:v>
                </c:pt>
                <c:pt idx="20">
                  <c:v>27339.017989400378</c:v>
                </c:pt>
                <c:pt idx="21">
                  <c:v>8765.6907583897864</c:v>
                </c:pt>
                <c:pt idx="22">
                  <c:v>10528.730040144168</c:v>
                </c:pt>
                <c:pt idx="23">
                  <c:v>2452.8423084848455</c:v>
                </c:pt>
                <c:pt idx="24">
                  <c:v>10424.447558787861</c:v>
                </c:pt>
                <c:pt idx="25">
                  <c:v>12876.411924788617</c:v>
                </c:pt>
                <c:pt idx="26">
                  <c:v>4810.7035637946483</c:v>
                </c:pt>
                <c:pt idx="27">
                  <c:v>8814.3456853610987</c:v>
                </c:pt>
                <c:pt idx="28">
                  <c:v>8649.799148571401</c:v>
                </c:pt>
                <c:pt idx="29">
                  <c:v>6822.780148593728</c:v>
                </c:pt>
                <c:pt idx="30">
                  <c:v>10791.879529411573</c:v>
                </c:pt>
                <c:pt idx="31">
                  <c:v>4638.6855929203448</c:v>
                </c:pt>
                <c:pt idx="32">
                  <c:v>4081.5165299999962</c:v>
                </c:pt>
                <c:pt idx="33">
                  <c:v>2937.46540720339</c:v>
                </c:pt>
                <c:pt idx="34">
                  <c:v>3878.1945390909154</c:v>
                </c:pt>
                <c:pt idx="35">
                  <c:v>2806.6890000000003</c:v>
                </c:pt>
                <c:pt idx="36">
                  <c:v>6451.0321920064944</c:v>
                </c:pt>
                <c:pt idx="37">
                  <c:v>3721.6134204545397</c:v>
                </c:pt>
                <c:pt idx="38">
                  <c:v>2070.8644198484849</c:v>
                </c:pt>
                <c:pt idx="39">
                  <c:v>7520.6314891346174</c:v>
                </c:pt>
                <c:pt idx="40">
                  <c:v>4301.1241040387176</c:v>
                </c:pt>
                <c:pt idx="41">
                  <c:v>3543</c:v>
                </c:pt>
                <c:pt idx="42">
                  <c:v>919.40433610062894</c:v>
                </c:pt>
                <c:pt idx="43">
                  <c:v>4455</c:v>
                </c:pt>
                <c:pt idx="44">
                  <c:v>1087</c:v>
                </c:pt>
              </c:numCache>
            </c:numRef>
          </c:val>
        </c:ser>
        <c:dLbls>
          <c:showLegendKey val="0"/>
          <c:showVal val="0"/>
          <c:showCatName val="0"/>
          <c:showSerName val="0"/>
          <c:showPercent val="0"/>
          <c:showBubbleSize val="0"/>
        </c:dLbls>
        <c:gapWidth val="80"/>
        <c:overlap val="100"/>
        <c:axId val="217273856"/>
        <c:axId val="217275776"/>
      </c:barChart>
      <c:lineChart>
        <c:grouping val="standard"/>
        <c:varyColors val="0"/>
        <c:ser>
          <c:idx val="3"/>
          <c:order val="3"/>
          <c:tx>
            <c:v>Escapement Goal Bounds</c:v>
          </c:tx>
          <c:spPr>
            <a:ln w="38100">
              <a:solidFill>
                <a:srgbClr val="FF0000"/>
              </a:solidFill>
              <a:prstDash val="solid"/>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Data'!$E$46:$E$90</c:f>
              <c:numCache>
                <c:formatCode>#,##0</c:formatCode>
                <c:ptCount val="45"/>
                <c:pt idx="0">
                  <c:v>3600</c:v>
                </c:pt>
                <c:pt idx="1">
                  <c:v>3600</c:v>
                </c:pt>
                <c:pt idx="2">
                  <c:v>3600</c:v>
                </c:pt>
                <c:pt idx="3">
                  <c:v>3600</c:v>
                </c:pt>
                <c:pt idx="4">
                  <c:v>3600</c:v>
                </c:pt>
                <c:pt idx="5">
                  <c:v>3600</c:v>
                </c:pt>
                <c:pt idx="6">
                  <c:v>3600</c:v>
                </c:pt>
                <c:pt idx="7">
                  <c:v>3600</c:v>
                </c:pt>
                <c:pt idx="8">
                  <c:v>3600</c:v>
                </c:pt>
                <c:pt idx="9">
                  <c:v>3600</c:v>
                </c:pt>
                <c:pt idx="10">
                  <c:v>3600</c:v>
                </c:pt>
                <c:pt idx="11">
                  <c:v>3600</c:v>
                </c:pt>
                <c:pt idx="12">
                  <c:v>3600</c:v>
                </c:pt>
                <c:pt idx="13">
                  <c:v>3600</c:v>
                </c:pt>
                <c:pt idx="14">
                  <c:v>3600</c:v>
                </c:pt>
                <c:pt idx="15">
                  <c:v>3600</c:v>
                </c:pt>
                <c:pt idx="16">
                  <c:v>3600</c:v>
                </c:pt>
                <c:pt idx="17">
                  <c:v>3600</c:v>
                </c:pt>
                <c:pt idx="18">
                  <c:v>3600</c:v>
                </c:pt>
                <c:pt idx="19">
                  <c:v>3600</c:v>
                </c:pt>
                <c:pt idx="20">
                  <c:v>3600</c:v>
                </c:pt>
                <c:pt idx="21">
                  <c:v>3600</c:v>
                </c:pt>
                <c:pt idx="22">
                  <c:v>3600</c:v>
                </c:pt>
                <c:pt idx="23">
                  <c:v>3600</c:v>
                </c:pt>
                <c:pt idx="24">
                  <c:v>3600</c:v>
                </c:pt>
                <c:pt idx="25">
                  <c:v>3600</c:v>
                </c:pt>
                <c:pt idx="26">
                  <c:v>3600</c:v>
                </c:pt>
                <c:pt idx="27">
                  <c:v>3600</c:v>
                </c:pt>
                <c:pt idx="28">
                  <c:v>3600</c:v>
                </c:pt>
                <c:pt idx="29">
                  <c:v>3600</c:v>
                </c:pt>
                <c:pt idx="30">
                  <c:v>3600</c:v>
                </c:pt>
                <c:pt idx="31">
                  <c:v>3600</c:v>
                </c:pt>
                <c:pt idx="32">
                  <c:v>3600</c:v>
                </c:pt>
                <c:pt idx="33">
                  <c:v>3600</c:v>
                </c:pt>
                <c:pt idx="34">
                  <c:v>3600</c:v>
                </c:pt>
                <c:pt idx="35">
                  <c:v>3600</c:v>
                </c:pt>
                <c:pt idx="36">
                  <c:v>3600</c:v>
                </c:pt>
                <c:pt idx="37">
                  <c:v>3600</c:v>
                </c:pt>
                <c:pt idx="38">
                  <c:v>3600</c:v>
                </c:pt>
                <c:pt idx="39">
                  <c:v>3600</c:v>
                </c:pt>
                <c:pt idx="40">
                  <c:v>3600</c:v>
                </c:pt>
                <c:pt idx="41">
                  <c:v>3600</c:v>
                </c:pt>
                <c:pt idx="42">
                  <c:v>3600</c:v>
                </c:pt>
                <c:pt idx="43">
                  <c:v>3600</c:v>
                </c:pt>
                <c:pt idx="44">
                  <c:v>3600</c:v>
                </c:pt>
              </c:numCache>
            </c:numRef>
          </c:val>
          <c:smooth val="0"/>
        </c:ser>
        <c:ser>
          <c:idx val="4"/>
          <c:order val="4"/>
          <c:tx>
            <c:v>Upper Bound</c:v>
          </c:tx>
          <c:spPr>
            <a:ln w="38100">
              <a:solidFill>
                <a:srgbClr val="FF0000"/>
              </a:solidFill>
              <a:prstDash val="solid"/>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Data'!$F$46:$F$90</c:f>
              <c:numCache>
                <c:formatCode>#,##0</c:formatCode>
                <c:ptCount val="45"/>
                <c:pt idx="0">
                  <c:v>8100</c:v>
                </c:pt>
                <c:pt idx="1">
                  <c:v>8100</c:v>
                </c:pt>
                <c:pt idx="2">
                  <c:v>8100</c:v>
                </c:pt>
                <c:pt idx="3">
                  <c:v>8100</c:v>
                </c:pt>
                <c:pt idx="4">
                  <c:v>8100</c:v>
                </c:pt>
                <c:pt idx="5">
                  <c:v>8100</c:v>
                </c:pt>
                <c:pt idx="6">
                  <c:v>8100</c:v>
                </c:pt>
                <c:pt idx="7">
                  <c:v>8100</c:v>
                </c:pt>
                <c:pt idx="8">
                  <c:v>8100</c:v>
                </c:pt>
                <c:pt idx="9">
                  <c:v>8100</c:v>
                </c:pt>
                <c:pt idx="10">
                  <c:v>8100</c:v>
                </c:pt>
                <c:pt idx="11">
                  <c:v>8100</c:v>
                </c:pt>
                <c:pt idx="12">
                  <c:v>8100</c:v>
                </c:pt>
                <c:pt idx="13">
                  <c:v>8100</c:v>
                </c:pt>
                <c:pt idx="14">
                  <c:v>8100</c:v>
                </c:pt>
                <c:pt idx="15">
                  <c:v>8100</c:v>
                </c:pt>
                <c:pt idx="16">
                  <c:v>8100</c:v>
                </c:pt>
                <c:pt idx="17">
                  <c:v>8100</c:v>
                </c:pt>
                <c:pt idx="18">
                  <c:v>8100</c:v>
                </c:pt>
                <c:pt idx="19">
                  <c:v>8100</c:v>
                </c:pt>
                <c:pt idx="20">
                  <c:v>8100</c:v>
                </c:pt>
                <c:pt idx="21">
                  <c:v>8100</c:v>
                </c:pt>
                <c:pt idx="22">
                  <c:v>8100</c:v>
                </c:pt>
                <c:pt idx="23">
                  <c:v>8100</c:v>
                </c:pt>
                <c:pt idx="24">
                  <c:v>8100</c:v>
                </c:pt>
                <c:pt idx="25">
                  <c:v>8100</c:v>
                </c:pt>
                <c:pt idx="26">
                  <c:v>8100</c:v>
                </c:pt>
                <c:pt idx="27">
                  <c:v>8100</c:v>
                </c:pt>
                <c:pt idx="28">
                  <c:v>8100</c:v>
                </c:pt>
                <c:pt idx="29">
                  <c:v>8100</c:v>
                </c:pt>
                <c:pt idx="30">
                  <c:v>8100</c:v>
                </c:pt>
                <c:pt idx="31">
                  <c:v>8100</c:v>
                </c:pt>
                <c:pt idx="32">
                  <c:v>8100</c:v>
                </c:pt>
                <c:pt idx="33">
                  <c:v>8100</c:v>
                </c:pt>
                <c:pt idx="34">
                  <c:v>8100</c:v>
                </c:pt>
                <c:pt idx="35">
                  <c:v>8100</c:v>
                </c:pt>
                <c:pt idx="36">
                  <c:v>8100</c:v>
                </c:pt>
                <c:pt idx="37">
                  <c:v>8100</c:v>
                </c:pt>
                <c:pt idx="38">
                  <c:v>8100</c:v>
                </c:pt>
                <c:pt idx="39">
                  <c:v>8100</c:v>
                </c:pt>
                <c:pt idx="40">
                  <c:v>8100</c:v>
                </c:pt>
                <c:pt idx="41">
                  <c:v>8100</c:v>
                </c:pt>
                <c:pt idx="42">
                  <c:v>8100</c:v>
                </c:pt>
                <c:pt idx="43">
                  <c:v>8100</c:v>
                </c:pt>
                <c:pt idx="44">
                  <c:v>8100</c:v>
                </c:pt>
              </c:numCache>
            </c:numRef>
          </c:val>
          <c:smooth val="0"/>
        </c:ser>
        <c:dLbls>
          <c:showLegendKey val="0"/>
          <c:showVal val="0"/>
          <c:showCatName val="0"/>
          <c:showSerName val="0"/>
          <c:showPercent val="0"/>
          <c:showBubbleSize val="0"/>
        </c:dLbls>
        <c:marker val="1"/>
        <c:smooth val="0"/>
        <c:axId val="217273856"/>
        <c:axId val="217275776"/>
      </c:lineChart>
      <c:catAx>
        <c:axId val="217273856"/>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sz="1400" b="0" baseline="0"/>
                  <a:t>Year</a:t>
                </a:r>
              </a:p>
            </c:rich>
          </c:tx>
          <c:layout>
            <c:manualLayout>
              <c:xMode val="edge"/>
              <c:yMode val="edge"/>
              <c:x val="0.53594497768070959"/>
              <c:y val="0.94404956645879157"/>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17275776"/>
        <c:crosses val="autoZero"/>
        <c:auto val="0"/>
        <c:lblAlgn val="ctr"/>
        <c:lblOffset val="100"/>
        <c:tickLblSkip val="1"/>
        <c:tickMarkSkip val="1"/>
        <c:noMultiLvlLbl val="0"/>
      </c:catAx>
      <c:valAx>
        <c:axId val="217275776"/>
        <c:scaling>
          <c:orientation val="minMax"/>
          <c:max val="77300"/>
          <c:min val="0"/>
        </c:scaling>
        <c:delete val="0"/>
        <c:axPos val="l"/>
        <c:title>
          <c:tx>
            <c:rich>
              <a:bodyPr rot="-5400000" vert="horz"/>
              <a:lstStyle/>
              <a:p>
                <a:pPr>
                  <a:defRPr sz="1400">
                    <a:latin typeface="Arial" panose="020B0604020202020204" pitchFamily="34" charset="0"/>
                    <a:cs typeface="Arial" panose="020B0604020202020204" pitchFamily="34" charset="0"/>
                  </a:defRPr>
                </a:pPr>
                <a:r>
                  <a:rPr lang="en-US" sz="1400">
                    <a:latin typeface="Arial" panose="020B0604020202020204" pitchFamily="34" charset="0"/>
                    <a:cs typeface="Arial" panose="020B0604020202020204" pitchFamily="34" charset="0"/>
                  </a:rPr>
                  <a:t>Number of Fish</a:t>
                </a:r>
              </a:p>
            </c:rich>
          </c:tx>
          <c:layout>
            <c:manualLayout>
              <c:xMode val="edge"/>
              <c:yMode val="edge"/>
              <c:x val="1.4516236565319847E-2"/>
              <c:y val="0.30369690909544939"/>
            </c:manualLayout>
          </c:layout>
          <c:overlay val="0"/>
        </c:title>
        <c:numFmt formatCode="#,##0" sourceLinked="0"/>
        <c:majorTickMark val="out"/>
        <c:minorTickMark val="none"/>
        <c:tickLblPos val="nextTo"/>
        <c:spPr>
          <a:ln w="12700">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7273856"/>
        <c:crosses val="autoZero"/>
        <c:crossBetween val="between"/>
        <c:majorUnit val="20000"/>
      </c:valAx>
      <c:spPr>
        <a:noFill/>
        <a:ln w="25400">
          <a:noFill/>
        </a:ln>
      </c:spPr>
    </c:plotArea>
    <c:legend>
      <c:legendPos val="r"/>
      <c:legendEntry>
        <c:idx val="4"/>
        <c:delete val="1"/>
      </c:legendEntry>
      <c:layout>
        <c:manualLayout>
          <c:xMode val="edge"/>
          <c:yMode val="edge"/>
          <c:x val="0.59172749391727497"/>
          <c:y val="0.12665125687030834"/>
          <c:w val="0.38041021514646434"/>
          <c:h val="0.20493364373333972"/>
        </c:manualLayout>
      </c:layout>
      <c:overlay val="0"/>
      <c:spPr>
        <a:noFill/>
        <a:ln w="25400">
          <a:no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1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anose="020B0604020202020204" pitchFamily="34" charset="0"/>
                <a:cs typeface="Arial" panose="020B0604020202020204" pitchFamily="34" charset="0"/>
              </a:defRPr>
            </a:pPr>
            <a:r>
              <a:rPr lang="en-US" sz="1600">
                <a:latin typeface="Arial" panose="020B0604020202020204" pitchFamily="34" charset="0"/>
                <a:cs typeface="Arial" panose="020B0604020202020204" pitchFamily="34" charset="0"/>
              </a:rPr>
              <a:t>Berners River Coho</a:t>
            </a:r>
            <a:r>
              <a:rPr lang="en-US" sz="1600" baseline="0">
                <a:latin typeface="Arial" panose="020B0604020202020204" pitchFamily="34" charset="0"/>
                <a:cs typeface="Arial" panose="020B0604020202020204" pitchFamily="34" charset="0"/>
              </a:rPr>
              <a:t> Salmon Return </a:t>
            </a:r>
          </a:p>
          <a:p>
            <a:pPr>
              <a:defRPr sz="1600">
                <a:latin typeface="Arial" panose="020B0604020202020204" pitchFamily="34" charset="0"/>
                <a:cs typeface="Arial" panose="020B0604020202020204" pitchFamily="34" charset="0"/>
              </a:defRPr>
            </a:pPr>
            <a:r>
              <a:rPr lang="en-US" sz="1600" baseline="0">
                <a:latin typeface="Arial" panose="020B0604020202020204" pitchFamily="34" charset="0"/>
                <a:cs typeface="Arial" panose="020B0604020202020204" pitchFamily="34" charset="0"/>
              </a:rPr>
              <a:t>(Based on Unexpanded Escapement Count)</a:t>
            </a:r>
            <a:endParaRPr lang="en-US" sz="1600">
              <a:latin typeface="Arial" panose="020B0604020202020204" pitchFamily="34" charset="0"/>
              <a:cs typeface="Arial" panose="020B0604020202020204" pitchFamily="34" charset="0"/>
            </a:endParaRPr>
          </a:p>
        </c:rich>
      </c:tx>
      <c:layout>
        <c:manualLayout>
          <c:xMode val="edge"/>
          <c:yMode val="edge"/>
          <c:x val="0.24110948905109489"/>
          <c:y val="1.5633721427131909E-2"/>
        </c:manualLayout>
      </c:layout>
      <c:overlay val="1"/>
    </c:title>
    <c:autoTitleDeleted val="0"/>
    <c:plotArea>
      <c:layout>
        <c:manualLayout>
          <c:layoutTarget val="inner"/>
          <c:xMode val="edge"/>
          <c:yMode val="edge"/>
          <c:x val="0.13066406115293983"/>
          <c:y val="9.67412571622316E-2"/>
          <c:w val="0.85669429277544684"/>
          <c:h val="0.76540994290614173"/>
        </c:manualLayout>
      </c:layout>
      <c:barChart>
        <c:barDir val="col"/>
        <c:grouping val="stacked"/>
        <c:varyColors val="0"/>
        <c:ser>
          <c:idx val="2"/>
          <c:order val="0"/>
          <c:tx>
            <c:v>Escapement</c:v>
          </c:tx>
          <c:spPr>
            <a:solidFill>
              <a:srgbClr val="000000"/>
            </a:solidFill>
            <a:ln w="12700">
              <a:solidFill>
                <a:srgbClr val="000000"/>
              </a:solidFill>
              <a:prstDash val="solid"/>
            </a:ln>
          </c:spPr>
          <c:invertIfNegative val="0"/>
          <c:cat>
            <c:numRef>
              <c:f>'Catch_Escapement Data'!$A$46:$A$90</c:f>
              <c:numCache>
                <c:formatCode>General</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'Catch_Escapement Data'!$D$46:$D$90</c:f>
              <c:numCache>
                <c:formatCode>#,##0</c:formatCode>
                <c:ptCount val="45"/>
                <c:pt idx="0">
                  <c:v>4124</c:v>
                </c:pt>
                <c:pt idx="4">
                  <c:v>3119</c:v>
                </c:pt>
                <c:pt idx="5">
                  <c:v>3460</c:v>
                </c:pt>
                <c:pt idx="8">
                  <c:v>7505</c:v>
                </c:pt>
                <c:pt idx="9">
                  <c:v>9840</c:v>
                </c:pt>
                <c:pt idx="10">
                  <c:v>2825</c:v>
                </c:pt>
                <c:pt idx="11">
                  <c:v>6169</c:v>
                </c:pt>
                <c:pt idx="12">
                  <c:v>1752</c:v>
                </c:pt>
                <c:pt idx="13">
                  <c:v>3260</c:v>
                </c:pt>
                <c:pt idx="14">
                  <c:v>2724</c:v>
                </c:pt>
                <c:pt idx="15">
                  <c:v>7509</c:v>
                </c:pt>
                <c:pt idx="16">
                  <c:v>11050</c:v>
                </c:pt>
                <c:pt idx="17">
                  <c:v>11530</c:v>
                </c:pt>
                <c:pt idx="18">
                  <c:v>15300</c:v>
                </c:pt>
                <c:pt idx="19">
                  <c:v>15670</c:v>
                </c:pt>
                <c:pt idx="20">
                  <c:v>15920</c:v>
                </c:pt>
                <c:pt idx="21">
                  <c:v>4945</c:v>
                </c:pt>
                <c:pt idx="22">
                  <c:v>6050</c:v>
                </c:pt>
                <c:pt idx="23">
                  <c:v>10050</c:v>
                </c:pt>
                <c:pt idx="24">
                  <c:v>6802</c:v>
                </c:pt>
                <c:pt idx="25">
                  <c:v>9920</c:v>
                </c:pt>
                <c:pt idx="26">
                  <c:v>10650</c:v>
                </c:pt>
                <c:pt idx="27">
                  <c:v>19290</c:v>
                </c:pt>
                <c:pt idx="28">
                  <c:v>27700</c:v>
                </c:pt>
                <c:pt idx="29">
                  <c:v>10110</c:v>
                </c:pt>
                <c:pt idx="30">
                  <c:v>14450</c:v>
                </c:pt>
                <c:pt idx="31">
                  <c:v>5220</c:v>
                </c:pt>
                <c:pt idx="32">
                  <c:v>5470</c:v>
                </c:pt>
                <c:pt idx="33">
                  <c:v>3915</c:v>
                </c:pt>
                <c:pt idx="34">
                  <c:v>6870</c:v>
                </c:pt>
                <c:pt idx="35">
                  <c:v>4230</c:v>
                </c:pt>
                <c:pt idx="36">
                  <c:v>7520</c:v>
                </c:pt>
                <c:pt idx="37">
                  <c:v>6050</c:v>
                </c:pt>
                <c:pt idx="38">
                  <c:v>5480</c:v>
                </c:pt>
                <c:pt idx="39">
                  <c:v>6280</c:v>
                </c:pt>
                <c:pt idx="40">
                  <c:v>15480</c:v>
                </c:pt>
                <c:pt idx="41">
                  <c:v>9940</c:v>
                </c:pt>
                <c:pt idx="42">
                  <c:v>6733</c:v>
                </c:pt>
                <c:pt idx="43">
                  <c:v>7040</c:v>
                </c:pt>
                <c:pt idx="44">
                  <c:v>3550</c:v>
                </c:pt>
              </c:numCache>
            </c:numRef>
          </c:val>
        </c:ser>
        <c:ser>
          <c:idx val="0"/>
          <c:order val="1"/>
          <c:tx>
            <c:v>Other Fisheries</c:v>
          </c:tx>
          <c:spPr>
            <a:solidFill>
              <a:srgbClr val="C0C0C0"/>
            </a:solidFill>
            <a:ln w="12700">
              <a:solidFill>
                <a:srgbClr val="000000"/>
              </a:solidFill>
              <a:prstDash val="solid"/>
            </a:ln>
          </c:spPr>
          <c:invertIfNegative val="0"/>
          <c:cat>
            <c:numRef>
              <c:f>'Catch_Escapement Data'!$A$46:$A$90</c:f>
              <c:numCache>
                <c:formatCode>General</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'Catch_Escapement Data'!$C$46:$C$90</c:f>
              <c:numCache>
                <c:formatCode>#,##0</c:formatCode>
                <c:ptCount val="45"/>
                <c:pt idx="0">
                  <c:v>4986.5901639344265</c:v>
                </c:pt>
                <c:pt idx="4">
                  <c:v>4143.6868244444504</c:v>
                </c:pt>
                <c:pt idx="5">
                  <c:v>2280.0084872727275</c:v>
                </c:pt>
                <c:pt idx="8">
                  <c:v>10964.724093749999</c:v>
                </c:pt>
                <c:pt idx="9">
                  <c:v>7398.0341876190532</c:v>
                </c:pt>
                <c:pt idx="11">
                  <c:v>7305.9263485714255</c:v>
                </c:pt>
                <c:pt idx="12">
                  <c:v>9370.0138746666598</c:v>
                </c:pt>
                <c:pt idx="13">
                  <c:v>3483.3823206451616</c:v>
                </c:pt>
                <c:pt idx="14">
                  <c:v>6363.9396100000022</c:v>
                </c:pt>
                <c:pt idx="15">
                  <c:v>1664.5295875675677</c:v>
                </c:pt>
                <c:pt idx="16">
                  <c:v>7903.7236924422314</c:v>
                </c:pt>
                <c:pt idx="17">
                  <c:v>17008.220035610553</c:v>
                </c:pt>
                <c:pt idx="18">
                  <c:v>15376.580432960342</c:v>
                </c:pt>
                <c:pt idx="19">
                  <c:v>14627.286861220649</c:v>
                </c:pt>
                <c:pt idx="20">
                  <c:v>30109.870411608859</c:v>
                </c:pt>
                <c:pt idx="21">
                  <c:v>15104.459928559276</c:v>
                </c:pt>
                <c:pt idx="22">
                  <c:v>7074.9686336538462</c:v>
                </c:pt>
                <c:pt idx="23">
                  <c:v>2781.3509854027516</c:v>
                </c:pt>
                <c:pt idx="24">
                  <c:v>5910.6912592145454</c:v>
                </c:pt>
                <c:pt idx="25">
                  <c:v>10348.749160845062</c:v>
                </c:pt>
                <c:pt idx="26">
                  <c:v>6004.0087996874972</c:v>
                </c:pt>
                <c:pt idx="27">
                  <c:v>4048.4054414634797</c:v>
                </c:pt>
                <c:pt idx="28">
                  <c:v>13468.621889380582</c:v>
                </c:pt>
                <c:pt idx="29">
                  <c:v>12178.241481890531</c:v>
                </c:pt>
                <c:pt idx="30">
                  <c:v>7932.1244014004769</c:v>
                </c:pt>
                <c:pt idx="31">
                  <c:v>2899.1893495575223</c:v>
                </c:pt>
                <c:pt idx="32">
                  <c:v>6270.6875726886228</c:v>
                </c:pt>
                <c:pt idx="33">
                  <c:v>1869.0850097283762</c:v>
                </c:pt>
                <c:pt idx="34">
                  <c:v>3618.5646731159577</c:v>
                </c:pt>
                <c:pt idx="35">
                  <c:v>2280.7571149367091</c:v>
                </c:pt>
                <c:pt idx="36">
                  <c:v>7845.4991998376936</c:v>
                </c:pt>
                <c:pt idx="37">
                  <c:v>2257.4466386363638</c:v>
                </c:pt>
                <c:pt idx="38">
                  <c:v>979.64220288319086</c:v>
                </c:pt>
                <c:pt idx="39">
                  <c:v>7266.9495325000007</c:v>
                </c:pt>
                <c:pt idx="40">
                  <c:v>6867.170445164742</c:v>
                </c:pt>
                <c:pt idx="41">
                  <c:v>2166</c:v>
                </c:pt>
                <c:pt idx="42">
                  <c:v>2295.8126686792439</c:v>
                </c:pt>
                <c:pt idx="43">
                  <c:v>2803</c:v>
                </c:pt>
                <c:pt idx="44">
                  <c:v>3143</c:v>
                </c:pt>
              </c:numCache>
            </c:numRef>
          </c:val>
        </c:ser>
        <c:ser>
          <c:idx val="1"/>
          <c:order val="2"/>
          <c:tx>
            <c:v>Troll Catch</c:v>
          </c:tx>
          <c:spPr>
            <a:solidFill>
              <a:srgbClr val="FFFFFF"/>
            </a:solidFill>
            <a:ln w="12700">
              <a:solidFill>
                <a:srgbClr val="000000"/>
              </a:solidFill>
              <a:prstDash val="solid"/>
            </a:ln>
          </c:spPr>
          <c:invertIfNegative val="0"/>
          <c:cat>
            <c:numRef>
              <c:f>'Catch_Escapement Data'!$A$46:$A$90</c:f>
              <c:numCache>
                <c:formatCode>General</c:formatCode>
                <c:ptCount val="45"/>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numCache>
            </c:numRef>
          </c:cat>
          <c:val>
            <c:numRef>
              <c:f>'Catch_Escapement Data'!$B$46:$B$90</c:f>
              <c:numCache>
                <c:formatCode>#,##0</c:formatCode>
                <c:ptCount val="45"/>
                <c:pt idx="0">
                  <c:v>9161.4098360655735</c:v>
                </c:pt>
                <c:pt idx="4">
                  <c:v>7208.2104200000003</c:v>
                </c:pt>
                <c:pt idx="5">
                  <c:v>4892.1190690909107</c:v>
                </c:pt>
                <c:pt idx="8">
                  <c:v>14139.742350000006</c:v>
                </c:pt>
                <c:pt idx="9">
                  <c:v>17176.461926666681</c:v>
                </c:pt>
                <c:pt idx="11">
                  <c:v>10861.480585714284</c:v>
                </c:pt>
                <c:pt idx="12">
                  <c:v>13565.22991599998</c:v>
                </c:pt>
                <c:pt idx="13">
                  <c:v>7210.7570332258092</c:v>
                </c:pt>
                <c:pt idx="14">
                  <c:v>6060.4003293750011</c:v>
                </c:pt>
                <c:pt idx="15">
                  <c:v>10582.789888648653</c:v>
                </c:pt>
                <c:pt idx="16">
                  <c:v>15006.906562552591</c:v>
                </c:pt>
                <c:pt idx="17">
                  <c:v>6448.5848185505256</c:v>
                </c:pt>
                <c:pt idx="18">
                  <c:v>15318.194687812569</c:v>
                </c:pt>
                <c:pt idx="19">
                  <c:v>19308.334788727647</c:v>
                </c:pt>
                <c:pt idx="20">
                  <c:v>27339.017989400378</c:v>
                </c:pt>
                <c:pt idx="21">
                  <c:v>8765.6907583897864</c:v>
                </c:pt>
                <c:pt idx="22">
                  <c:v>10528.730040144168</c:v>
                </c:pt>
                <c:pt idx="23">
                  <c:v>2452.8423084848455</c:v>
                </c:pt>
                <c:pt idx="24">
                  <c:v>10424.447558787861</c:v>
                </c:pt>
                <c:pt idx="25">
                  <c:v>12876.411924788617</c:v>
                </c:pt>
                <c:pt idx="26">
                  <c:v>4810.7035637946483</c:v>
                </c:pt>
                <c:pt idx="27">
                  <c:v>8814.3456853610987</c:v>
                </c:pt>
                <c:pt idx="28">
                  <c:v>8649.799148571401</c:v>
                </c:pt>
                <c:pt idx="29">
                  <c:v>6822.780148593728</c:v>
                </c:pt>
                <c:pt idx="30">
                  <c:v>10791.879529411573</c:v>
                </c:pt>
                <c:pt idx="31">
                  <c:v>4638.6855929203448</c:v>
                </c:pt>
                <c:pt idx="32">
                  <c:v>4081.5165299999962</c:v>
                </c:pt>
                <c:pt idx="33">
                  <c:v>2937.46540720339</c:v>
                </c:pt>
                <c:pt idx="34">
                  <c:v>3878.1945390909154</c:v>
                </c:pt>
                <c:pt idx="35">
                  <c:v>2806.6890000000003</c:v>
                </c:pt>
                <c:pt idx="36">
                  <c:v>6451.0321920064944</c:v>
                </c:pt>
                <c:pt idx="37">
                  <c:v>3721.6134204545397</c:v>
                </c:pt>
                <c:pt idx="38">
                  <c:v>2070.8644198484849</c:v>
                </c:pt>
                <c:pt idx="39">
                  <c:v>7520.6314891346174</c:v>
                </c:pt>
                <c:pt idx="40">
                  <c:v>4301.1241040387176</c:v>
                </c:pt>
                <c:pt idx="41">
                  <c:v>3543</c:v>
                </c:pt>
                <c:pt idx="42">
                  <c:v>919.40433610062894</c:v>
                </c:pt>
                <c:pt idx="43">
                  <c:v>4455</c:v>
                </c:pt>
                <c:pt idx="44">
                  <c:v>1087</c:v>
                </c:pt>
              </c:numCache>
            </c:numRef>
          </c:val>
        </c:ser>
        <c:dLbls>
          <c:showLegendKey val="0"/>
          <c:showVal val="0"/>
          <c:showCatName val="0"/>
          <c:showSerName val="0"/>
          <c:showPercent val="0"/>
          <c:showBubbleSize val="0"/>
        </c:dLbls>
        <c:gapWidth val="80"/>
        <c:overlap val="100"/>
        <c:axId val="221480448"/>
        <c:axId val="221482368"/>
      </c:barChart>
      <c:lineChart>
        <c:grouping val="standard"/>
        <c:varyColors val="0"/>
        <c:ser>
          <c:idx val="3"/>
          <c:order val="3"/>
          <c:tx>
            <c:v>Escapement Goal Bounds</c:v>
          </c:tx>
          <c:spPr>
            <a:ln w="38100">
              <a:solidFill>
                <a:srgbClr val="FF0000"/>
              </a:solidFill>
              <a:prstDash val="solid"/>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Data'!$E$46:$E$90</c:f>
              <c:numCache>
                <c:formatCode>#,##0</c:formatCode>
                <c:ptCount val="45"/>
                <c:pt idx="0">
                  <c:v>3600</c:v>
                </c:pt>
                <c:pt idx="1">
                  <c:v>3600</c:v>
                </c:pt>
                <c:pt idx="2">
                  <c:v>3600</c:v>
                </c:pt>
                <c:pt idx="3">
                  <c:v>3600</c:v>
                </c:pt>
                <c:pt idx="4">
                  <c:v>3600</c:v>
                </c:pt>
                <c:pt idx="5">
                  <c:v>3600</c:v>
                </c:pt>
                <c:pt idx="6">
                  <c:v>3600</c:v>
                </c:pt>
                <c:pt idx="7">
                  <c:v>3600</c:v>
                </c:pt>
                <c:pt idx="8">
                  <c:v>3600</c:v>
                </c:pt>
                <c:pt idx="9">
                  <c:v>3600</c:v>
                </c:pt>
                <c:pt idx="10">
                  <c:v>3600</c:v>
                </c:pt>
                <c:pt idx="11">
                  <c:v>3600</c:v>
                </c:pt>
                <c:pt idx="12">
                  <c:v>3600</c:v>
                </c:pt>
                <c:pt idx="13">
                  <c:v>3600</c:v>
                </c:pt>
                <c:pt idx="14">
                  <c:v>3600</c:v>
                </c:pt>
                <c:pt idx="15">
                  <c:v>3600</c:v>
                </c:pt>
                <c:pt idx="16">
                  <c:v>3600</c:v>
                </c:pt>
                <c:pt idx="17">
                  <c:v>3600</c:v>
                </c:pt>
                <c:pt idx="18">
                  <c:v>3600</c:v>
                </c:pt>
                <c:pt idx="19">
                  <c:v>3600</c:v>
                </c:pt>
                <c:pt idx="20">
                  <c:v>3600</c:v>
                </c:pt>
                <c:pt idx="21">
                  <c:v>3600</c:v>
                </c:pt>
                <c:pt idx="22">
                  <c:v>3600</c:v>
                </c:pt>
                <c:pt idx="23">
                  <c:v>3600</c:v>
                </c:pt>
                <c:pt idx="24">
                  <c:v>3600</c:v>
                </c:pt>
                <c:pt idx="25">
                  <c:v>3600</c:v>
                </c:pt>
                <c:pt idx="26">
                  <c:v>3600</c:v>
                </c:pt>
                <c:pt idx="27">
                  <c:v>3600</c:v>
                </c:pt>
                <c:pt idx="28">
                  <c:v>3600</c:v>
                </c:pt>
                <c:pt idx="29">
                  <c:v>3600</c:v>
                </c:pt>
                <c:pt idx="30">
                  <c:v>3600</c:v>
                </c:pt>
                <c:pt idx="31">
                  <c:v>3600</c:v>
                </c:pt>
                <c:pt idx="32">
                  <c:v>3600</c:v>
                </c:pt>
                <c:pt idx="33">
                  <c:v>3600</c:v>
                </c:pt>
                <c:pt idx="34">
                  <c:v>3600</c:v>
                </c:pt>
                <c:pt idx="35">
                  <c:v>3600</c:v>
                </c:pt>
                <c:pt idx="36">
                  <c:v>3600</c:v>
                </c:pt>
                <c:pt idx="37">
                  <c:v>3600</c:v>
                </c:pt>
                <c:pt idx="38">
                  <c:v>3600</c:v>
                </c:pt>
                <c:pt idx="39">
                  <c:v>3600</c:v>
                </c:pt>
                <c:pt idx="40">
                  <c:v>3600</c:v>
                </c:pt>
                <c:pt idx="41">
                  <c:v>3600</c:v>
                </c:pt>
                <c:pt idx="42">
                  <c:v>3600</c:v>
                </c:pt>
                <c:pt idx="43">
                  <c:v>3600</c:v>
                </c:pt>
                <c:pt idx="44">
                  <c:v>3600</c:v>
                </c:pt>
              </c:numCache>
            </c:numRef>
          </c:val>
          <c:smooth val="0"/>
        </c:ser>
        <c:ser>
          <c:idx val="4"/>
          <c:order val="4"/>
          <c:tx>
            <c:v>Upper Bound</c:v>
          </c:tx>
          <c:spPr>
            <a:ln w="38100">
              <a:solidFill>
                <a:srgbClr val="FF0000"/>
              </a:solidFill>
              <a:prstDash val="solid"/>
            </a:ln>
          </c:spPr>
          <c:marker>
            <c:symbol val="none"/>
          </c:marker>
          <c:cat>
            <c:strRef>
              <c:f>ChilkatTable!$A$8:$A$38</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2000-2017 Avg.</c:v>
                </c:pt>
              </c:strCache>
            </c:strRef>
          </c:cat>
          <c:val>
            <c:numRef>
              <c:f>'Catch_Escapement Data'!$F$46:$F$90</c:f>
              <c:numCache>
                <c:formatCode>#,##0</c:formatCode>
                <c:ptCount val="45"/>
                <c:pt idx="0">
                  <c:v>8100</c:v>
                </c:pt>
                <c:pt idx="1">
                  <c:v>8100</c:v>
                </c:pt>
                <c:pt idx="2">
                  <c:v>8100</c:v>
                </c:pt>
                <c:pt idx="3">
                  <c:v>8100</c:v>
                </c:pt>
                <c:pt idx="4">
                  <c:v>8100</c:v>
                </c:pt>
                <c:pt idx="5">
                  <c:v>8100</c:v>
                </c:pt>
                <c:pt idx="6">
                  <c:v>8100</c:v>
                </c:pt>
                <c:pt idx="7">
                  <c:v>8100</c:v>
                </c:pt>
                <c:pt idx="8">
                  <c:v>8100</c:v>
                </c:pt>
                <c:pt idx="9">
                  <c:v>8100</c:v>
                </c:pt>
                <c:pt idx="10">
                  <c:v>8100</c:v>
                </c:pt>
                <c:pt idx="11">
                  <c:v>8100</c:v>
                </c:pt>
                <c:pt idx="12">
                  <c:v>8100</c:v>
                </c:pt>
                <c:pt idx="13">
                  <c:v>8100</c:v>
                </c:pt>
                <c:pt idx="14">
                  <c:v>8100</c:v>
                </c:pt>
                <c:pt idx="15">
                  <c:v>8100</c:v>
                </c:pt>
                <c:pt idx="16">
                  <c:v>8100</c:v>
                </c:pt>
                <c:pt idx="17">
                  <c:v>8100</c:v>
                </c:pt>
                <c:pt idx="18">
                  <c:v>8100</c:v>
                </c:pt>
                <c:pt idx="19">
                  <c:v>8100</c:v>
                </c:pt>
                <c:pt idx="20">
                  <c:v>8100</c:v>
                </c:pt>
                <c:pt idx="21">
                  <c:v>8100</c:v>
                </c:pt>
                <c:pt idx="22">
                  <c:v>8100</c:v>
                </c:pt>
                <c:pt idx="23">
                  <c:v>8100</c:v>
                </c:pt>
                <c:pt idx="24">
                  <c:v>8100</c:v>
                </c:pt>
                <c:pt idx="25">
                  <c:v>8100</c:v>
                </c:pt>
                <c:pt idx="26">
                  <c:v>8100</c:v>
                </c:pt>
                <c:pt idx="27">
                  <c:v>8100</c:v>
                </c:pt>
                <c:pt idx="28">
                  <c:v>8100</c:v>
                </c:pt>
                <c:pt idx="29">
                  <c:v>8100</c:v>
                </c:pt>
                <c:pt idx="30">
                  <c:v>8100</c:v>
                </c:pt>
                <c:pt idx="31">
                  <c:v>8100</c:v>
                </c:pt>
                <c:pt idx="32">
                  <c:v>8100</c:v>
                </c:pt>
                <c:pt idx="33">
                  <c:v>8100</c:v>
                </c:pt>
                <c:pt idx="34">
                  <c:v>8100</c:v>
                </c:pt>
                <c:pt idx="35">
                  <c:v>8100</c:v>
                </c:pt>
                <c:pt idx="36">
                  <c:v>8100</c:v>
                </c:pt>
                <c:pt idx="37">
                  <c:v>8100</c:v>
                </c:pt>
                <c:pt idx="38">
                  <c:v>8100</c:v>
                </c:pt>
                <c:pt idx="39">
                  <c:v>8100</c:v>
                </c:pt>
                <c:pt idx="40">
                  <c:v>8100</c:v>
                </c:pt>
                <c:pt idx="41">
                  <c:v>8100</c:v>
                </c:pt>
                <c:pt idx="42">
                  <c:v>8100</c:v>
                </c:pt>
                <c:pt idx="43">
                  <c:v>8100</c:v>
                </c:pt>
                <c:pt idx="44">
                  <c:v>8100</c:v>
                </c:pt>
              </c:numCache>
            </c:numRef>
          </c:val>
          <c:smooth val="0"/>
        </c:ser>
        <c:dLbls>
          <c:showLegendKey val="0"/>
          <c:showVal val="0"/>
          <c:showCatName val="0"/>
          <c:showSerName val="0"/>
          <c:showPercent val="0"/>
          <c:showBubbleSize val="0"/>
        </c:dLbls>
        <c:marker val="1"/>
        <c:smooth val="0"/>
        <c:axId val="221480448"/>
        <c:axId val="221482368"/>
      </c:lineChart>
      <c:catAx>
        <c:axId val="221480448"/>
        <c:scaling>
          <c:orientation val="minMax"/>
        </c:scaling>
        <c:delete val="0"/>
        <c:axPos val="b"/>
        <c:title>
          <c:tx>
            <c:rich>
              <a:bodyPr/>
              <a:lstStyle/>
              <a:p>
                <a:pPr>
                  <a:defRPr sz="1400" b="0" i="0" u="none" strike="noStrike" baseline="0">
                    <a:solidFill>
                      <a:srgbClr val="000000"/>
                    </a:solidFill>
                    <a:latin typeface="Arial"/>
                    <a:ea typeface="Arial"/>
                    <a:cs typeface="Arial"/>
                  </a:defRPr>
                </a:pPr>
                <a:r>
                  <a:rPr lang="en-US" sz="1400" b="0" baseline="0"/>
                  <a:t>Year</a:t>
                </a:r>
              </a:p>
            </c:rich>
          </c:tx>
          <c:layout>
            <c:manualLayout>
              <c:xMode val="edge"/>
              <c:yMode val="edge"/>
              <c:x val="0.53594497768070959"/>
              <c:y val="0.94404956645879157"/>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221482368"/>
        <c:crosses val="autoZero"/>
        <c:auto val="0"/>
        <c:lblAlgn val="ctr"/>
        <c:lblOffset val="100"/>
        <c:tickLblSkip val="1"/>
        <c:tickMarkSkip val="1"/>
        <c:noMultiLvlLbl val="0"/>
      </c:catAx>
      <c:valAx>
        <c:axId val="221482368"/>
        <c:scaling>
          <c:orientation val="minMax"/>
          <c:max val="77300"/>
          <c:min val="0"/>
        </c:scaling>
        <c:delete val="0"/>
        <c:axPos val="l"/>
        <c:title>
          <c:tx>
            <c:rich>
              <a:bodyPr rot="-5400000" vert="horz"/>
              <a:lstStyle/>
              <a:p>
                <a:pPr>
                  <a:defRPr sz="1400">
                    <a:latin typeface="Arial" panose="020B0604020202020204" pitchFamily="34" charset="0"/>
                    <a:cs typeface="Arial" panose="020B0604020202020204" pitchFamily="34" charset="0"/>
                  </a:defRPr>
                </a:pPr>
                <a:r>
                  <a:rPr lang="en-US" sz="1400">
                    <a:latin typeface="Arial" panose="020B0604020202020204" pitchFamily="34" charset="0"/>
                    <a:cs typeface="Arial" panose="020B0604020202020204" pitchFamily="34" charset="0"/>
                  </a:rPr>
                  <a:t>Number of Fish</a:t>
                </a:r>
              </a:p>
            </c:rich>
          </c:tx>
          <c:layout>
            <c:manualLayout>
              <c:xMode val="edge"/>
              <c:yMode val="edge"/>
              <c:x val="1.4516236565319847E-2"/>
              <c:y val="0.30369690909544939"/>
            </c:manualLayout>
          </c:layout>
          <c:overlay val="0"/>
        </c:title>
        <c:numFmt formatCode="#,##0" sourceLinked="0"/>
        <c:majorTickMark val="out"/>
        <c:minorTickMark val="none"/>
        <c:tickLblPos val="nextTo"/>
        <c:spPr>
          <a:ln w="12700">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21480448"/>
        <c:crosses val="autoZero"/>
        <c:crossBetween val="between"/>
        <c:majorUnit val="20000"/>
      </c:valAx>
      <c:spPr>
        <a:noFill/>
        <a:ln w="25400">
          <a:noFill/>
        </a:ln>
      </c:spPr>
    </c:plotArea>
    <c:legend>
      <c:legendPos val="r"/>
      <c:legendEntry>
        <c:idx val="4"/>
        <c:delete val="1"/>
      </c:legendEntry>
      <c:layout>
        <c:manualLayout>
          <c:xMode val="edge"/>
          <c:yMode val="edge"/>
          <c:x val="0.14014598540145987"/>
          <c:y val="0.13111803442091746"/>
          <c:w val="0.38041021514646434"/>
          <c:h val="0.20493364373333972"/>
        </c:manualLayout>
      </c:layout>
      <c:overlay val="0"/>
      <c:spPr>
        <a:noFill/>
        <a:ln w="25400">
          <a:no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1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c:printSettings>
  <c:userShapes r:id="rId1"/>
</c:chartSpace>
</file>

<file path=xl/charts/chart1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Taku</a:t>
            </a:r>
          </a:p>
        </c:rich>
      </c:tx>
      <c:layout>
        <c:manualLayout>
          <c:xMode val="edge"/>
          <c:yMode val="edge"/>
          <c:x val="0.46192944191835172"/>
          <c:y val="2.6315581520051926E-2"/>
        </c:manualLayout>
      </c:layout>
      <c:overlay val="0"/>
      <c:spPr>
        <a:noFill/>
        <a:ln w="25400">
          <a:noFill/>
        </a:ln>
      </c:spPr>
    </c:title>
    <c:autoTitleDeleted val="0"/>
    <c:plotArea>
      <c:layout>
        <c:manualLayout>
          <c:layoutTarget val="inner"/>
          <c:xMode val="edge"/>
          <c:yMode val="edge"/>
          <c:x val="0.2081220853353096"/>
          <c:y val="1.7942583732057416E-2"/>
          <c:w val="0.73350344709639603"/>
          <c:h val="0.91267942583732053"/>
        </c:manualLayout>
      </c:layout>
      <c:scatterChart>
        <c:scatterStyle val="lineMarker"/>
        <c:varyColors val="0"/>
        <c:ser>
          <c:idx val="0"/>
          <c:order val="0"/>
          <c:spPr>
            <a:ln w="28575">
              <a:noFill/>
            </a:ln>
          </c:spPr>
          <c:marker>
            <c:symbol val="square"/>
            <c:size val="5"/>
            <c:spPr>
              <a:solidFill>
                <a:srgbClr val="000080"/>
              </a:solidFill>
              <a:ln>
                <a:solidFill>
                  <a:srgbClr val="000080"/>
                </a:solidFill>
                <a:prstDash val="solid"/>
              </a:ln>
            </c:spPr>
          </c:marker>
          <c:trendline>
            <c:spPr>
              <a:ln w="25400">
                <a:solidFill>
                  <a:srgbClr val="000000"/>
                </a:solidFill>
                <a:prstDash val="solid"/>
              </a:ln>
            </c:spPr>
            <c:trendlineType val="linear"/>
            <c:dispRSqr val="1"/>
            <c:dispEq val="1"/>
            <c:trendlineLbl>
              <c:layout>
                <c:manualLayout>
                  <c:x val="8.4664790220798675E-2"/>
                  <c:y val="0.34305027063004678"/>
                </c:manualLayout>
              </c:layout>
              <c:numFmt formatCode="General" sourceLinked="0"/>
              <c:spPr>
                <a:noFill/>
                <a:ln w="25400">
                  <a:noFill/>
                </a:ln>
              </c:spPr>
              <c:txPr>
                <a:bodyPr/>
                <a:lstStyle/>
                <a:p>
                  <a:pPr>
                    <a:defRPr sz="800" b="0" i="0" u="none" strike="noStrike" baseline="0">
                      <a:solidFill>
                        <a:srgbClr val="000000"/>
                      </a:solidFill>
                      <a:latin typeface="Arial"/>
                      <a:ea typeface="Arial"/>
                      <a:cs typeface="Arial"/>
                    </a:defRPr>
                  </a:pPr>
                  <a:endParaRPr lang="en-US"/>
                </a:p>
              </c:txPr>
            </c:trendlineLbl>
          </c:trendline>
          <c:xVal>
            <c:numRef>
              <c:f>'Taku Table'!$X$17:$X$25</c:f>
              <c:numCache>
                <c:formatCode>#,##0</c:formatCode>
                <c:ptCount val="9"/>
                <c:pt idx="0">
                  <c:v>19450</c:v>
                </c:pt>
                <c:pt idx="1">
                  <c:v>19760</c:v>
                </c:pt>
                <c:pt idx="2">
                  <c:v>6138</c:v>
                </c:pt>
                <c:pt idx="3">
                  <c:v>7509</c:v>
                </c:pt>
                <c:pt idx="4">
                  <c:v>12474</c:v>
                </c:pt>
                <c:pt idx="5">
                  <c:v>8443</c:v>
                </c:pt>
                <c:pt idx="6">
                  <c:v>12313</c:v>
                </c:pt>
                <c:pt idx="7">
                  <c:v>13219</c:v>
                </c:pt>
                <c:pt idx="8">
                  <c:v>23943</c:v>
                </c:pt>
              </c:numCache>
            </c:numRef>
          </c:xVal>
          <c:yVal>
            <c:numRef>
              <c:f>'Taku Table'!$U$12:$U$20</c:f>
              <c:numCache>
                <c:formatCode>0.0</c:formatCode>
                <c:ptCount val="9"/>
                <c:pt idx="0">
                  <c:v>61.772182161071967</c:v>
                </c:pt>
                <c:pt idx="1">
                  <c:v>74.807767736549977</c:v>
                </c:pt>
                <c:pt idx="2">
                  <c:v>44.074472220600114</c:v>
                </c:pt>
                <c:pt idx="3">
                  <c:v>39.676587924995992</c:v>
                </c:pt>
                <c:pt idx="4">
                  <c:v>18.440695397967986</c:v>
                </c:pt>
                <c:pt idx="5">
                  <c:v>36.598030104593306</c:v>
                </c:pt>
                <c:pt idx="6">
                  <c:v>33.407871331548399</c:v>
                </c:pt>
                <c:pt idx="7">
                  <c:v>28.678174124704519</c:v>
                </c:pt>
                <c:pt idx="8">
                  <c:v>49.301353652307427</c:v>
                </c:pt>
              </c:numCache>
            </c:numRef>
          </c:yVal>
          <c:smooth val="0"/>
        </c:ser>
        <c:dLbls>
          <c:showLegendKey val="0"/>
          <c:showVal val="0"/>
          <c:showCatName val="0"/>
          <c:showSerName val="0"/>
          <c:showPercent val="0"/>
          <c:showBubbleSize val="0"/>
        </c:dLbls>
        <c:axId val="221563904"/>
        <c:axId val="228000896"/>
      </c:scatterChart>
      <c:valAx>
        <c:axId val="2215639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Coho Run Size</a:t>
                </a:r>
              </a:p>
            </c:rich>
          </c:tx>
          <c:layout>
            <c:manualLayout>
              <c:xMode val="edge"/>
              <c:yMode val="edge"/>
              <c:x val="0.4695437014035217"/>
              <c:y val="0.96291863517060372"/>
            </c:manualLayout>
          </c:layout>
          <c:overlay val="0"/>
          <c:spPr>
            <a:noFill/>
            <a:ln w="25400">
              <a:noFill/>
            </a:ln>
          </c:spPr>
        </c:title>
        <c:numFmt formatCode="#,##0" sourceLinked="0"/>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228000896"/>
        <c:crosses val="autoZero"/>
        <c:crossBetween val="midCat"/>
      </c:valAx>
      <c:valAx>
        <c:axId val="22800089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Chinook Run Size</a:t>
                </a:r>
              </a:p>
            </c:rich>
          </c:tx>
          <c:layout>
            <c:manualLayout>
              <c:xMode val="edge"/>
              <c:yMode val="edge"/>
              <c:x val="2.0304609811097558E-2"/>
              <c:y val="0.42344503711229642"/>
            </c:manualLayout>
          </c:layout>
          <c:overlay val="0"/>
          <c:spPr>
            <a:noFill/>
            <a:ln w="25400">
              <a:noFill/>
            </a:ln>
          </c:spPr>
        </c:title>
        <c:numFmt formatCode="0.0" sourceLinked="1"/>
        <c:majorTickMark val="out"/>
        <c:minorTickMark val="none"/>
        <c:tickLblPos val="nextTo"/>
        <c:spPr>
          <a:ln w="12700">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221563904"/>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353999891108865"/>
          <c:y val="4.6925640494855654E-2"/>
          <c:w val="0.74336347428397598"/>
          <c:h val="0.82038964589282126"/>
        </c:manualLayout>
      </c:layout>
      <c:scatterChart>
        <c:scatterStyle val="lineMarker"/>
        <c:varyColors val="0"/>
        <c:ser>
          <c:idx val="0"/>
          <c:order val="0"/>
          <c:tx>
            <c:v>1992-2001</c:v>
          </c:tx>
          <c:spPr>
            <a:ln w="28575">
              <a:noFill/>
            </a:ln>
          </c:spPr>
          <c:marker>
            <c:symbol val="circle"/>
            <c:size val="7"/>
            <c:spPr>
              <a:solidFill>
                <a:srgbClr val="FF0000"/>
              </a:solidFill>
              <a:ln>
                <a:solidFill>
                  <a:srgbClr val="FF0000"/>
                </a:solidFill>
                <a:prstDash val="solid"/>
              </a:ln>
            </c:spPr>
          </c:marker>
          <c:trendline>
            <c:spPr>
              <a:ln w="38100">
                <a:solidFill>
                  <a:srgbClr val="00CCFF"/>
                </a:solidFill>
                <a:prstDash val="solid"/>
              </a:ln>
            </c:spPr>
            <c:trendlineType val="linear"/>
            <c:dispRSqr val="1"/>
            <c:dispEq val="1"/>
            <c:trendlineLbl>
              <c:layout>
                <c:manualLayout>
                  <c:x val="4.7840202401252398E-2"/>
                  <c:y val="0.41154762981023163"/>
                </c:manualLayout>
              </c:layout>
              <c:numFmt formatCode="General" sourceLinked="0"/>
              <c:spPr>
                <a:noFill/>
                <a:ln w="25400">
                  <a:noFill/>
                </a:ln>
              </c:spPr>
              <c:txPr>
                <a:bodyPr/>
                <a:lstStyle/>
                <a:p>
                  <a:pPr>
                    <a:defRPr sz="1200" b="1" i="0" u="none" strike="noStrike" baseline="0">
                      <a:solidFill>
                        <a:srgbClr val="000000"/>
                      </a:solidFill>
                      <a:latin typeface="Arial"/>
                      <a:ea typeface="Arial"/>
                      <a:cs typeface="Arial"/>
                    </a:defRPr>
                  </a:pPr>
                  <a:endParaRPr lang="en-US"/>
                </a:p>
              </c:txPr>
            </c:trendlineLbl>
          </c:trendline>
          <c:xVal>
            <c:numRef>
              <c:f>'Taku Table'!$AY$11:$AY$20</c:f>
              <c:numCache>
                <c:formatCode>General_)</c:formatCode>
                <c:ptCount val="10"/>
              </c:numCache>
            </c:numRef>
          </c:xVal>
          <c:yVal>
            <c:numRef>
              <c:f>'Taku Table'!$AZ$11:$AZ$20</c:f>
              <c:numCache>
                <c:formatCode>General_)</c:formatCode>
                <c:ptCount val="10"/>
              </c:numCache>
            </c:numRef>
          </c:yVal>
          <c:smooth val="0"/>
        </c:ser>
        <c:ser>
          <c:idx val="1"/>
          <c:order val="1"/>
          <c:tx>
            <c:v>2002-2003</c:v>
          </c:tx>
          <c:spPr>
            <a:ln w="28575">
              <a:noFill/>
            </a:ln>
          </c:spPr>
          <c:marker>
            <c:symbol val="square"/>
            <c:size val="7"/>
            <c:spPr>
              <a:solidFill>
                <a:srgbClr val="00FFFF"/>
              </a:solidFill>
              <a:ln>
                <a:solidFill>
                  <a:srgbClr val="3366FF"/>
                </a:solidFill>
                <a:prstDash val="solid"/>
              </a:ln>
            </c:spPr>
          </c:marker>
          <c:dLbls>
            <c:dLbl>
              <c:idx val="0"/>
              <c:tx>
                <c:strRef>
                  <c:f>'Taku Table'!$A$21</c:f>
                  <c:strCache>
                    <c:ptCount val="1"/>
                    <c:pt idx="0">
                      <c:v>2002 </c:v>
                    </c:pt>
                  </c:strCache>
                </c:strRef>
              </c:tx>
              <c:spPr>
                <a:noFill/>
                <a:ln w="25400">
                  <a:noFill/>
                </a:ln>
              </c:spPr>
              <c:txPr>
                <a:bodyPr/>
                <a:lstStyle/>
                <a:p>
                  <a:pPr>
                    <a:defRPr sz="1100" b="0" i="0" u="none" strike="noStrike" baseline="0">
                      <a:solidFill>
                        <a:srgbClr val="00FFFF"/>
                      </a:solidFill>
                      <a:latin typeface="Times New Roman"/>
                      <a:ea typeface="Times New Roman"/>
                      <a:cs typeface="Times New Roman"/>
                    </a:defRPr>
                  </a:pPr>
                  <a:endParaRPr lang="en-US"/>
                </a:p>
              </c:txPr>
              <c:showLegendKey val="0"/>
              <c:showVal val="0"/>
              <c:showCatName val="0"/>
              <c:showSerName val="0"/>
              <c:showPercent val="0"/>
              <c:showBubbleSize val="0"/>
            </c:dLbl>
            <c:dLbl>
              <c:idx val="1"/>
              <c:tx>
                <c:strRef>
                  <c:f>'Taku Table'!$A$22</c:f>
                  <c:strCache>
                    <c:ptCount val="1"/>
                    <c:pt idx="0">
                      <c:v>2003 </c:v>
                    </c:pt>
                  </c:strCache>
                </c:strRef>
              </c:tx>
              <c:spPr>
                <a:noFill/>
                <a:ln w="25400">
                  <a:noFill/>
                </a:ln>
              </c:spPr>
              <c:txPr>
                <a:bodyPr/>
                <a:lstStyle/>
                <a:p>
                  <a:pPr>
                    <a:defRPr sz="1100" b="0" i="0" u="none" strike="noStrike" baseline="0">
                      <a:solidFill>
                        <a:srgbClr val="00FFFF"/>
                      </a:solidFill>
                      <a:latin typeface="Times New Roman"/>
                      <a:ea typeface="Times New Roman"/>
                      <a:cs typeface="Times New Roman"/>
                    </a:defRPr>
                  </a:pPr>
                  <a:endParaRPr lang="en-US"/>
                </a:p>
              </c:txPr>
              <c:showLegendKey val="0"/>
              <c:showVal val="0"/>
              <c:showCatName val="0"/>
              <c:showSerName val="0"/>
              <c:showPercent val="0"/>
              <c:showBubbleSize val="0"/>
            </c:dLbl>
            <c:showLegendKey val="0"/>
            <c:showVal val="0"/>
            <c:showCatName val="0"/>
            <c:showSerName val="0"/>
            <c:showPercent val="0"/>
            <c:showBubbleSize val="0"/>
          </c:dLbls>
          <c:xVal>
            <c:numRef>
              <c:f>'Taku Table'!$AY$21:$AY$22</c:f>
              <c:numCache>
                <c:formatCode>General_)</c:formatCode>
                <c:ptCount val="2"/>
              </c:numCache>
            </c:numRef>
          </c:xVal>
          <c:yVal>
            <c:numRef>
              <c:f>'Taku Table'!$AZ$21:$AZ$22</c:f>
              <c:numCache>
                <c:formatCode>General_)</c:formatCode>
                <c:ptCount val="2"/>
              </c:numCache>
            </c:numRef>
          </c:yVal>
          <c:smooth val="0"/>
        </c:ser>
        <c:dLbls>
          <c:showLegendKey val="0"/>
          <c:showVal val="0"/>
          <c:showCatName val="0"/>
          <c:showSerName val="0"/>
          <c:showPercent val="0"/>
          <c:showBubbleSize val="0"/>
        </c:dLbls>
        <c:axId val="228053376"/>
        <c:axId val="228055296"/>
      </c:scatterChart>
      <c:valAx>
        <c:axId val="22805337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Taku Inlet Cum. CPUE</a:t>
                </a:r>
              </a:p>
            </c:rich>
          </c:tx>
          <c:layout>
            <c:manualLayout>
              <c:xMode val="edge"/>
              <c:yMode val="edge"/>
              <c:x val="0.42123930968805889"/>
              <c:y val="0.9288038753998193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228055296"/>
        <c:crosses val="autoZero"/>
        <c:crossBetween val="midCat"/>
      </c:valAx>
      <c:valAx>
        <c:axId val="228055296"/>
        <c:scaling>
          <c:orientation val="minMax"/>
          <c:min val="0"/>
        </c:scaling>
        <c:delete val="0"/>
        <c:axPos val="l"/>
        <c:title>
          <c:tx>
            <c:rich>
              <a:bodyPr/>
              <a:lstStyle/>
              <a:p>
                <a:pPr>
                  <a:defRPr sz="1200" b="1" i="0" u="none" strike="noStrike" baseline="0">
                    <a:solidFill>
                      <a:srgbClr val="000000"/>
                    </a:solidFill>
                    <a:latin typeface="Arial"/>
                    <a:ea typeface="Arial"/>
                    <a:cs typeface="Arial"/>
                  </a:defRPr>
                </a:pPr>
                <a:r>
                  <a:rPr lang="en-US"/>
                  <a:t>Taku Estimated Inside Run Size</a:t>
                </a:r>
              </a:p>
            </c:rich>
          </c:tx>
          <c:layout>
            <c:manualLayout>
              <c:xMode val="edge"/>
              <c:yMode val="edge"/>
              <c:x val="2.831858407079646E-2"/>
              <c:y val="0.28964444556970576"/>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228053376"/>
        <c:crosses val="autoZero"/>
        <c:crossBetween val="midCat"/>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318021201413428"/>
          <c:y val="4.6849794629848604E-2"/>
          <c:w val="0.72968197879858654"/>
          <c:h val="0.82067916110217554"/>
        </c:manualLayout>
      </c:layout>
      <c:scatterChart>
        <c:scatterStyle val="lineMarker"/>
        <c:varyColors val="0"/>
        <c:ser>
          <c:idx val="0"/>
          <c:order val="0"/>
          <c:tx>
            <c:v>1992-2001</c:v>
          </c:tx>
          <c:spPr>
            <a:ln w="28575">
              <a:noFill/>
            </a:ln>
          </c:spPr>
          <c:marker>
            <c:symbol val="circle"/>
            <c:size val="7"/>
            <c:spPr>
              <a:solidFill>
                <a:srgbClr val="FF0000"/>
              </a:solidFill>
              <a:ln>
                <a:solidFill>
                  <a:srgbClr val="FF0000"/>
                </a:solidFill>
                <a:prstDash val="solid"/>
              </a:ln>
            </c:spPr>
          </c:marker>
          <c:trendline>
            <c:spPr>
              <a:ln w="38100">
                <a:solidFill>
                  <a:srgbClr val="00CCFF"/>
                </a:solidFill>
                <a:prstDash val="solid"/>
              </a:ln>
            </c:spPr>
            <c:trendlineType val="linear"/>
            <c:dispRSqr val="1"/>
            <c:dispEq val="1"/>
            <c:trendlineLbl>
              <c:layout>
                <c:manualLayout>
                  <c:x val="3.0251987052855089E-2"/>
                  <c:y val="0.41135284084639018"/>
                </c:manualLayout>
              </c:layout>
              <c:numFmt formatCode="General" sourceLinked="0"/>
              <c:spPr>
                <a:noFill/>
                <a:ln w="25400">
                  <a:noFill/>
                </a:ln>
              </c:spPr>
              <c:txPr>
                <a:bodyPr/>
                <a:lstStyle/>
                <a:p>
                  <a:pPr>
                    <a:defRPr sz="1200" b="1" i="0" u="none" strike="noStrike" baseline="0">
                      <a:solidFill>
                        <a:srgbClr val="000000"/>
                      </a:solidFill>
                      <a:latin typeface="Arial"/>
                      <a:ea typeface="Arial"/>
                      <a:cs typeface="Arial"/>
                    </a:defRPr>
                  </a:pPr>
                  <a:endParaRPr lang="en-US"/>
                </a:p>
              </c:txPr>
            </c:trendlineLbl>
          </c:trendline>
          <c:xVal>
            <c:numRef>
              <c:f>'Taku Table'!$BB$11:$BB$20</c:f>
              <c:numCache>
                <c:formatCode>General_)</c:formatCode>
                <c:ptCount val="10"/>
              </c:numCache>
            </c:numRef>
          </c:xVal>
          <c:yVal>
            <c:numRef>
              <c:f>'Taku Table'!$AZ$11:$AZ$20</c:f>
              <c:numCache>
                <c:formatCode>General_)</c:formatCode>
                <c:ptCount val="10"/>
              </c:numCache>
            </c:numRef>
          </c:yVal>
          <c:smooth val="0"/>
        </c:ser>
        <c:ser>
          <c:idx val="1"/>
          <c:order val="1"/>
          <c:tx>
            <c:v>2002-2003</c:v>
          </c:tx>
          <c:spPr>
            <a:ln w="28575">
              <a:noFill/>
            </a:ln>
          </c:spPr>
          <c:marker>
            <c:symbol val="square"/>
            <c:size val="7"/>
            <c:spPr>
              <a:solidFill>
                <a:srgbClr val="00FFFF"/>
              </a:solidFill>
              <a:ln>
                <a:solidFill>
                  <a:srgbClr val="3366FF"/>
                </a:solidFill>
                <a:prstDash val="solid"/>
              </a:ln>
            </c:spPr>
          </c:marker>
          <c:dLbls>
            <c:dLbl>
              <c:idx val="0"/>
              <c:tx>
                <c:strRef>
                  <c:f>'Taku Table'!$A$21</c:f>
                  <c:strCache>
                    <c:ptCount val="1"/>
                    <c:pt idx="0">
                      <c:v>2002 </c:v>
                    </c:pt>
                  </c:strCache>
                </c:strRef>
              </c:tx>
              <c:spPr>
                <a:noFill/>
                <a:ln w="25400">
                  <a:noFill/>
                </a:ln>
              </c:spPr>
              <c:txPr>
                <a:bodyPr/>
                <a:lstStyle/>
                <a:p>
                  <a:pPr>
                    <a:defRPr sz="1100" b="0" i="0" u="none" strike="noStrike" baseline="0">
                      <a:solidFill>
                        <a:srgbClr val="00FFFF"/>
                      </a:solidFill>
                      <a:latin typeface="Times New Roman"/>
                      <a:ea typeface="Times New Roman"/>
                      <a:cs typeface="Times New Roman"/>
                    </a:defRPr>
                  </a:pPr>
                  <a:endParaRPr lang="en-US"/>
                </a:p>
              </c:txPr>
              <c:showLegendKey val="0"/>
              <c:showVal val="0"/>
              <c:showCatName val="0"/>
              <c:showSerName val="0"/>
              <c:showPercent val="0"/>
              <c:showBubbleSize val="0"/>
            </c:dLbl>
            <c:dLbl>
              <c:idx val="1"/>
              <c:tx>
                <c:strRef>
                  <c:f>'Taku Table'!$A$22</c:f>
                  <c:strCache>
                    <c:ptCount val="1"/>
                    <c:pt idx="0">
                      <c:v>2003 </c:v>
                    </c:pt>
                  </c:strCache>
                </c:strRef>
              </c:tx>
              <c:spPr>
                <a:noFill/>
                <a:ln w="25400">
                  <a:noFill/>
                </a:ln>
              </c:spPr>
              <c:txPr>
                <a:bodyPr/>
                <a:lstStyle/>
                <a:p>
                  <a:pPr>
                    <a:defRPr sz="1100" b="0" i="0" u="none" strike="noStrike" baseline="0">
                      <a:solidFill>
                        <a:srgbClr val="00FFFF"/>
                      </a:solidFill>
                      <a:latin typeface="Times New Roman"/>
                      <a:ea typeface="Times New Roman"/>
                      <a:cs typeface="Times New Roman"/>
                    </a:defRPr>
                  </a:pPr>
                  <a:endParaRPr lang="en-US"/>
                </a:p>
              </c:txPr>
              <c:showLegendKey val="0"/>
              <c:showVal val="0"/>
              <c:showCatName val="0"/>
              <c:showSerName val="0"/>
              <c:showPercent val="0"/>
              <c:showBubbleSize val="0"/>
            </c:dLbl>
            <c:showLegendKey val="0"/>
            <c:showVal val="0"/>
            <c:showCatName val="0"/>
            <c:showSerName val="0"/>
            <c:showPercent val="0"/>
            <c:showBubbleSize val="0"/>
          </c:dLbls>
          <c:xVal>
            <c:numRef>
              <c:f>'Taku Table'!$BB$21:$BB$22</c:f>
              <c:numCache>
                <c:formatCode>General_)</c:formatCode>
                <c:ptCount val="2"/>
              </c:numCache>
            </c:numRef>
          </c:xVal>
          <c:yVal>
            <c:numRef>
              <c:f>'Taku Table'!$AZ$21:$AZ$22</c:f>
              <c:numCache>
                <c:formatCode>General_)</c:formatCode>
                <c:ptCount val="2"/>
              </c:numCache>
            </c:numRef>
          </c:yVal>
          <c:smooth val="0"/>
        </c:ser>
        <c:dLbls>
          <c:showLegendKey val="0"/>
          <c:showVal val="0"/>
          <c:showCatName val="0"/>
          <c:showSerName val="0"/>
          <c:showPercent val="0"/>
          <c:showBubbleSize val="0"/>
        </c:dLbls>
        <c:axId val="228111488"/>
        <c:axId val="228113408"/>
      </c:scatterChart>
      <c:valAx>
        <c:axId val="228111488"/>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Berners Inside Estimated Run Size</a:t>
                </a:r>
              </a:p>
            </c:rich>
          </c:tx>
          <c:layout>
            <c:manualLayout>
              <c:xMode val="edge"/>
              <c:yMode val="edge"/>
              <c:x val="0.32862190812720848"/>
              <c:y val="0.92891846583693161"/>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228113408"/>
        <c:crosses val="autoZero"/>
        <c:crossBetween val="midCat"/>
      </c:valAx>
      <c:valAx>
        <c:axId val="228113408"/>
        <c:scaling>
          <c:orientation val="minMax"/>
          <c:min val="0"/>
        </c:scaling>
        <c:delete val="0"/>
        <c:axPos val="l"/>
        <c:title>
          <c:tx>
            <c:rich>
              <a:bodyPr/>
              <a:lstStyle/>
              <a:p>
                <a:pPr>
                  <a:defRPr sz="1200" b="1" i="0" u="none" strike="noStrike" baseline="0">
                    <a:solidFill>
                      <a:srgbClr val="000000"/>
                    </a:solidFill>
                    <a:latin typeface="Arial"/>
                    <a:ea typeface="Arial"/>
                    <a:cs typeface="Arial"/>
                  </a:defRPr>
                </a:pPr>
                <a:r>
                  <a:rPr lang="en-US"/>
                  <a:t>Taku Estimated Inside Run Size</a:t>
                </a:r>
              </a:p>
            </c:rich>
          </c:tx>
          <c:layout>
            <c:manualLayout>
              <c:xMode val="edge"/>
              <c:yMode val="edge"/>
              <c:x val="2.8268551236749116E-2"/>
              <c:y val="0.2907919735839471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228111488"/>
        <c:crosses val="autoZero"/>
        <c:crossBetween val="midCat"/>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81272084805653"/>
          <c:y val="4.6849794629848604E-2"/>
          <c:w val="0.75618374558303891"/>
          <c:h val="0.82067916110217554"/>
        </c:manualLayout>
      </c:layout>
      <c:scatterChart>
        <c:scatterStyle val="lineMarker"/>
        <c:varyColors val="0"/>
        <c:ser>
          <c:idx val="0"/>
          <c:order val="0"/>
          <c:tx>
            <c:v>1992-2001</c:v>
          </c:tx>
          <c:spPr>
            <a:ln w="28575">
              <a:noFill/>
            </a:ln>
          </c:spPr>
          <c:marker>
            <c:symbol val="circle"/>
            <c:size val="7"/>
            <c:spPr>
              <a:solidFill>
                <a:srgbClr val="FF0000"/>
              </a:solidFill>
              <a:ln>
                <a:solidFill>
                  <a:srgbClr val="FF0000"/>
                </a:solidFill>
                <a:prstDash val="solid"/>
              </a:ln>
            </c:spPr>
          </c:marker>
          <c:trendline>
            <c:spPr>
              <a:ln w="38100">
                <a:solidFill>
                  <a:srgbClr val="00CCFF"/>
                </a:solidFill>
                <a:prstDash val="solid"/>
              </a:ln>
            </c:spPr>
            <c:trendlineType val="linear"/>
            <c:dispRSqr val="1"/>
            <c:dispEq val="1"/>
            <c:trendlineLbl>
              <c:layout>
                <c:manualLayout>
                  <c:x val="3.4262819621045604E-2"/>
                  <c:y val="0.41110361472019713"/>
                </c:manualLayout>
              </c:layout>
              <c:numFmt formatCode="General" sourceLinked="0"/>
              <c:spPr>
                <a:noFill/>
                <a:ln w="25400">
                  <a:noFill/>
                </a:ln>
              </c:spPr>
              <c:txPr>
                <a:bodyPr/>
                <a:lstStyle/>
                <a:p>
                  <a:pPr>
                    <a:defRPr sz="1200" b="1" i="0" u="none" strike="noStrike" baseline="0">
                      <a:solidFill>
                        <a:srgbClr val="000000"/>
                      </a:solidFill>
                      <a:latin typeface="Arial"/>
                      <a:ea typeface="Arial"/>
                      <a:cs typeface="Arial"/>
                    </a:defRPr>
                  </a:pPr>
                  <a:endParaRPr lang="en-US"/>
                </a:p>
              </c:txPr>
            </c:trendlineLbl>
          </c:trendline>
          <c:xVal>
            <c:numRef>
              <c:f>'Taku Table'!$AY$11:$AY$22</c:f>
              <c:numCache>
                <c:formatCode>General_)</c:formatCode>
                <c:ptCount val="12"/>
              </c:numCache>
            </c:numRef>
          </c:xVal>
          <c:yVal>
            <c:numRef>
              <c:f>'Taku Table'!$BB$11:$BB$22</c:f>
              <c:numCache>
                <c:formatCode>General_)</c:formatCode>
                <c:ptCount val="12"/>
              </c:numCache>
            </c:numRef>
          </c:yVal>
          <c:smooth val="0"/>
        </c:ser>
        <c:ser>
          <c:idx val="1"/>
          <c:order val="1"/>
          <c:tx>
            <c:v>2002-2003</c:v>
          </c:tx>
          <c:spPr>
            <a:ln w="28575">
              <a:noFill/>
            </a:ln>
          </c:spPr>
          <c:marker>
            <c:symbol val="square"/>
            <c:size val="7"/>
            <c:spPr>
              <a:solidFill>
                <a:srgbClr val="00FFFF"/>
              </a:solidFill>
              <a:ln>
                <a:solidFill>
                  <a:srgbClr val="3366FF"/>
                </a:solidFill>
                <a:prstDash val="solid"/>
              </a:ln>
            </c:spPr>
          </c:marker>
          <c:dLbls>
            <c:dLbl>
              <c:idx val="0"/>
              <c:tx>
                <c:strRef>
                  <c:f>'Taku Table'!$A$21</c:f>
                  <c:strCache>
                    <c:ptCount val="1"/>
                    <c:pt idx="0">
                      <c:v>2002 </c:v>
                    </c:pt>
                  </c:strCache>
                </c:strRef>
              </c:tx>
              <c:spPr>
                <a:noFill/>
                <a:ln w="25400">
                  <a:noFill/>
                </a:ln>
              </c:spPr>
              <c:txPr>
                <a:bodyPr/>
                <a:lstStyle/>
                <a:p>
                  <a:pPr>
                    <a:defRPr sz="1100" b="0" i="0" u="none" strike="noStrike" baseline="0">
                      <a:solidFill>
                        <a:srgbClr val="00FFFF"/>
                      </a:solidFill>
                      <a:latin typeface="Times New Roman"/>
                      <a:ea typeface="Times New Roman"/>
                      <a:cs typeface="Times New Roman"/>
                    </a:defRPr>
                  </a:pPr>
                  <a:endParaRPr lang="en-US"/>
                </a:p>
              </c:txPr>
              <c:showLegendKey val="0"/>
              <c:showVal val="0"/>
              <c:showCatName val="0"/>
              <c:showSerName val="0"/>
              <c:showPercent val="0"/>
              <c:showBubbleSize val="0"/>
            </c:dLbl>
            <c:dLbl>
              <c:idx val="1"/>
              <c:tx>
                <c:strRef>
                  <c:f>'Taku Table'!$A$22</c:f>
                  <c:strCache>
                    <c:ptCount val="1"/>
                    <c:pt idx="0">
                      <c:v>2003 </c:v>
                    </c:pt>
                  </c:strCache>
                </c:strRef>
              </c:tx>
              <c:spPr>
                <a:noFill/>
                <a:ln w="25400">
                  <a:noFill/>
                </a:ln>
              </c:spPr>
              <c:txPr>
                <a:bodyPr/>
                <a:lstStyle/>
                <a:p>
                  <a:pPr>
                    <a:defRPr sz="1100" b="0" i="0" u="none" strike="noStrike" baseline="0">
                      <a:solidFill>
                        <a:srgbClr val="00FFFF"/>
                      </a:solidFill>
                      <a:latin typeface="Times New Roman"/>
                      <a:ea typeface="Times New Roman"/>
                      <a:cs typeface="Times New Roman"/>
                    </a:defRPr>
                  </a:pPr>
                  <a:endParaRPr lang="en-US"/>
                </a:p>
              </c:txPr>
              <c:showLegendKey val="0"/>
              <c:showVal val="0"/>
              <c:showCatName val="0"/>
              <c:showSerName val="0"/>
              <c:showPercent val="0"/>
              <c:showBubbleSize val="0"/>
            </c:dLbl>
            <c:showLegendKey val="0"/>
            <c:showVal val="0"/>
            <c:showCatName val="0"/>
            <c:showSerName val="0"/>
            <c:showPercent val="0"/>
            <c:showBubbleSize val="0"/>
          </c:dLbls>
          <c:xVal>
            <c:numRef>
              <c:f>'Taku Table'!$AY$21:$AY$22</c:f>
              <c:numCache>
                <c:formatCode>General_)</c:formatCode>
                <c:ptCount val="2"/>
              </c:numCache>
            </c:numRef>
          </c:xVal>
          <c:yVal>
            <c:numRef>
              <c:f>'Taku Table'!$BB$21:$BB$22</c:f>
              <c:numCache>
                <c:formatCode>General_)</c:formatCode>
                <c:ptCount val="2"/>
              </c:numCache>
            </c:numRef>
          </c:yVal>
          <c:smooth val="0"/>
        </c:ser>
        <c:dLbls>
          <c:showLegendKey val="0"/>
          <c:showVal val="0"/>
          <c:showCatName val="0"/>
          <c:showSerName val="0"/>
          <c:showPercent val="0"/>
          <c:showBubbleSize val="0"/>
        </c:dLbls>
        <c:axId val="228235136"/>
        <c:axId val="228237312"/>
      </c:scatterChart>
      <c:valAx>
        <c:axId val="22823513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Taku Inlet Cum. CPUE</a:t>
                </a:r>
              </a:p>
            </c:rich>
          </c:tx>
          <c:layout>
            <c:manualLayout>
              <c:xMode val="edge"/>
              <c:yMode val="edge"/>
              <c:x val="0.41519434628975266"/>
              <c:y val="0.92891846583693161"/>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228237312"/>
        <c:crosses val="autoZero"/>
        <c:crossBetween val="midCat"/>
      </c:valAx>
      <c:valAx>
        <c:axId val="228237312"/>
        <c:scaling>
          <c:orientation val="minMax"/>
          <c:min val="0"/>
        </c:scaling>
        <c:delete val="0"/>
        <c:axPos val="l"/>
        <c:title>
          <c:tx>
            <c:rich>
              <a:bodyPr/>
              <a:lstStyle/>
              <a:p>
                <a:pPr>
                  <a:defRPr sz="1200" b="1" i="0" u="none" strike="noStrike" baseline="0">
                    <a:solidFill>
                      <a:srgbClr val="000000"/>
                    </a:solidFill>
                    <a:latin typeface="Arial"/>
                    <a:ea typeface="Arial"/>
                    <a:cs typeface="Arial"/>
                  </a:defRPr>
                </a:pPr>
                <a:r>
                  <a:rPr lang="en-US"/>
                  <a:t>Taku Estimated Inside Run Size</a:t>
                </a:r>
              </a:p>
            </c:rich>
          </c:tx>
          <c:layout>
            <c:manualLayout>
              <c:xMode val="edge"/>
              <c:yMode val="edge"/>
              <c:x val="2.8268551236749116E-2"/>
              <c:y val="0.29079197358394715"/>
            </c:manualLayout>
          </c:layout>
          <c:overlay val="0"/>
          <c:spPr>
            <a:noFill/>
            <a:ln w="25400">
              <a:noFill/>
            </a:ln>
          </c:spPr>
        </c:title>
        <c:numFmt formatCode="General_)" sourceLinked="1"/>
        <c:majorTickMark val="out"/>
        <c:minorTickMark val="none"/>
        <c:tickLblPos val="nextTo"/>
        <c:spPr>
          <a:ln w="12700">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228235136"/>
        <c:crosses val="autoZero"/>
        <c:crossBetween val="midCat"/>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Calibri"/>
                <a:ea typeface="Calibri"/>
                <a:cs typeface="Calibri"/>
              </a:defRPr>
            </a:pPr>
            <a:r>
              <a:rPr lang="en-US"/>
              <a:t>Troll Fishery Exploitation Rate</a:t>
            </a:r>
          </a:p>
        </c:rich>
      </c:tx>
      <c:layout>
        <c:manualLayout>
          <c:xMode val="edge"/>
          <c:yMode val="edge"/>
          <c:x val="0.28516539599216761"/>
          <c:y val="4.5977011494252873E-3"/>
        </c:manualLayout>
      </c:layout>
      <c:overlay val="1"/>
    </c:title>
    <c:autoTitleDeleted val="0"/>
    <c:plotArea>
      <c:layout>
        <c:manualLayout>
          <c:layoutTarget val="inner"/>
          <c:xMode val="edge"/>
          <c:yMode val="edge"/>
          <c:x val="0.10948840769903762"/>
          <c:y val="5.1400554097404488E-2"/>
          <c:w val="0.87626159230096234"/>
          <c:h val="0.71816236763508012"/>
        </c:manualLayout>
      </c:layout>
      <c:lineChart>
        <c:grouping val="standard"/>
        <c:varyColors val="0"/>
        <c:ser>
          <c:idx val="1"/>
          <c:order val="0"/>
          <c:tx>
            <c:v>Auke Creek</c:v>
          </c:tx>
          <c:spPr>
            <a:ln w="22225">
              <a:solidFill>
                <a:schemeClr val="tx1"/>
              </a:solidFill>
              <a:prstDash val="dash"/>
            </a:ln>
          </c:spPr>
          <c:marker>
            <c:symbol val="none"/>
          </c:marker>
          <c:trendline>
            <c:trendlineType val="linear"/>
            <c:dispRSqr val="0"/>
            <c:dispEq val="0"/>
          </c:trendline>
          <c:cat>
            <c:numRef>
              <c:f>'Taku Table'!$CE$11:$CE$35</c:f>
              <c:numCache>
                <c:formatCode>General_)</c:formatCode>
                <c:ptCount val="25"/>
              </c:numCache>
            </c:numRef>
          </c:cat>
          <c:val>
            <c:numRef>
              <c:f>'Taku Table'!$CG$11:$CG$35</c:f>
              <c:numCache>
                <c:formatCode>General_)</c:formatCode>
                <c:ptCount val="25"/>
              </c:numCache>
            </c:numRef>
          </c:val>
          <c:smooth val="0"/>
        </c:ser>
        <c:ser>
          <c:idx val="0"/>
          <c:order val="1"/>
          <c:tx>
            <c:v>Taku River</c:v>
          </c:tx>
          <c:spPr>
            <a:ln>
              <a:solidFill>
                <a:sysClr val="windowText" lastClr="000000"/>
              </a:solidFill>
            </a:ln>
          </c:spPr>
          <c:marker>
            <c:symbol val="none"/>
          </c:marker>
          <c:trendline>
            <c:trendlineType val="linear"/>
            <c:dispRSqr val="0"/>
            <c:dispEq val="0"/>
          </c:trendline>
          <c:cat>
            <c:numRef>
              <c:f>'Taku Table'!$CE$11:$CE$35</c:f>
              <c:numCache>
                <c:formatCode>General_)</c:formatCode>
                <c:ptCount val="25"/>
              </c:numCache>
            </c:numRef>
          </c:cat>
          <c:val>
            <c:numRef>
              <c:f>'Taku Table'!$CF$11:$CF$35</c:f>
              <c:numCache>
                <c:formatCode>General_)</c:formatCode>
                <c:ptCount val="25"/>
              </c:numCache>
            </c:numRef>
          </c:val>
          <c:smooth val="0"/>
        </c:ser>
        <c:dLbls>
          <c:showLegendKey val="0"/>
          <c:showVal val="0"/>
          <c:showCatName val="0"/>
          <c:showSerName val="0"/>
          <c:showPercent val="0"/>
          <c:showBubbleSize val="0"/>
        </c:dLbls>
        <c:marker val="1"/>
        <c:smooth val="0"/>
        <c:axId val="228272000"/>
        <c:axId val="228290560"/>
      </c:lineChart>
      <c:catAx>
        <c:axId val="228272000"/>
        <c:scaling>
          <c:orientation val="minMax"/>
        </c:scaling>
        <c:delete val="0"/>
        <c:axPos val="b"/>
        <c:title>
          <c:tx>
            <c:rich>
              <a:bodyPr/>
              <a:lstStyle/>
              <a:p>
                <a:pPr>
                  <a:defRPr sz="1100" b="1" i="0" u="none" strike="noStrike" baseline="0">
                    <a:solidFill>
                      <a:srgbClr val="000000"/>
                    </a:solidFill>
                    <a:latin typeface="Calibri"/>
                    <a:ea typeface="Calibri"/>
                    <a:cs typeface="Calibri"/>
                  </a:defRPr>
                </a:pPr>
                <a:r>
                  <a:rPr lang="en-US"/>
                  <a:t>Year</a:t>
                </a:r>
              </a:p>
            </c:rich>
          </c:tx>
          <c:overlay val="0"/>
        </c:title>
        <c:numFmt formatCode="General_)" sourceLinked="1"/>
        <c:majorTickMark val="out"/>
        <c:minorTickMark val="none"/>
        <c:tickLblPos val="nextTo"/>
        <c:txPr>
          <a:bodyPr rot="-5400000" vert="horz"/>
          <a:lstStyle/>
          <a:p>
            <a:pPr>
              <a:defRPr sz="1000" b="1" i="0" u="none" strike="noStrike" baseline="0">
                <a:solidFill>
                  <a:srgbClr val="000000"/>
                </a:solidFill>
                <a:latin typeface="Calibri"/>
                <a:ea typeface="Calibri"/>
                <a:cs typeface="Calibri"/>
              </a:defRPr>
            </a:pPr>
            <a:endParaRPr lang="en-US"/>
          </a:p>
        </c:txPr>
        <c:crossAx val="228290560"/>
        <c:crosses val="autoZero"/>
        <c:auto val="1"/>
        <c:lblAlgn val="ctr"/>
        <c:lblOffset val="100"/>
        <c:noMultiLvlLbl val="0"/>
      </c:catAx>
      <c:valAx>
        <c:axId val="228290560"/>
        <c:scaling>
          <c:orientation val="minMax"/>
          <c:max val="45"/>
          <c:min val="0"/>
        </c:scaling>
        <c:delete val="0"/>
        <c:axPos val="l"/>
        <c:title>
          <c:tx>
            <c:rich>
              <a:bodyPr/>
              <a:lstStyle/>
              <a:p>
                <a:pPr>
                  <a:defRPr sz="1100" b="1" i="0" u="none" strike="noStrike" baseline="0">
                    <a:solidFill>
                      <a:srgbClr val="000000"/>
                    </a:solidFill>
                    <a:latin typeface="Calibri"/>
                    <a:ea typeface="Calibri"/>
                    <a:cs typeface="Calibri"/>
                  </a:defRPr>
                </a:pPr>
                <a:r>
                  <a:rPr lang="en-US"/>
                  <a:t>Troll Exploitation Rate (%)</a:t>
                </a:r>
              </a:p>
            </c:rich>
          </c:tx>
          <c:overlay val="0"/>
        </c:title>
        <c:numFmt formatCode="0" sourceLinked="0"/>
        <c:majorTickMark val="out"/>
        <c:minorTickMark val="none"/>
        <c:tickLblPos val="nextTo"/>
        <c:txPr>
          <a:bodyPr rot="0" vert="horz"/>
          <a:lstStyle/>
          <a:p>
            <a:pPr>
              <a:defRPr sz="1000" b="1" i="0" u="none" strike="noStrike" baseline="0">
                <a:solidFill>
                  <a:srgbClr val="000000"/>
                </a:solidFill>
                <a:latin typeface="Calibri"/>
                <a:ea typeface="Calibri"/>
                <a:cs typeface="Calibri"/>
              </a:defRPr>
            </a:pPr>
            <a:endParaRPr lang="en-US"/>
          </a:p>
        </c:txPr>
        <c:crossAx val="228272000"/>
        <c:crosses val="autoZero"/>
        <c:crossBetween val="between"/>
      </c:valAx>
    </c:plotArea>
    <c:legend>
      <c:legendPos val="r"/>
      <c:layout>
        <c:manualLayout>
          <c:xMode val="edge"/>
          <c:yMode val="edge"/>
          <c:x val="0.72979752530933628"/>
          <c:y val="0.54137858629740254"/>
          <c:w val="0.2366799983335417"/>
          <c:h val="0.17743144175943526"/>
        </c:manualLayout>
      </c:layout>
      <c:overlay val="0"/>
      <c:txPr>
        <a:bodyPr/>
        <a:lstStyle/>
        <a:p>
          <a:pPr>
            <a:defRPr sz="925" b="1"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Calibri"/>
                <a:ea typeface="Calibri"/>
                <a:cs typeface="Calibri"/>
              </a:defRPr>
            </a:pPr>
            <a:r>
              <a:rPr lang="en-US"/>
              <a:t>Taku-Auke Cr. Ratio (Troll Exploitation Rate)</a:t>
            </a:r>
          </a:p>
        </c:rich>
      </c:tx>
      <c:layout>
        <c:manualLayout>
          <c:xMode val="edge"/>
          <c:yMode val="edge"/>
          <c:x val="0.20844581927259093"/>
          <c:y val="4.1379712593397087E-2"/>
        </c:manualLayout>
      </c:layout>
      <c:overlay val="1"/>
    </c:title>
    <c:autoTitleDeleted val="0"/>
    <c:plotArea>
      <c:layout>
        <c:manualLayout>
          <c:layoutTarget val="inner"/>
          <c:xMode val="edge"/>
          <c:yMode val="edge"/>
          <c:x val="0.10948840769903756"/>
          <c:y val="5.1400554097404488E-2"/>
          <c:w val="0.87626159230096234"/>
          <c:h val="0.71816236763508012"/>
        </c:manualLayout>
      </c:layout>
      <c:lineChart>
        <c:grouping val="standard"/>
        <c:varyColors val="0"/>
        <c:ser>
          <c:idx val="0"/>
          <c:order val="0"/>
          <c:tx>
            <c:v>Annual</c:v>
          </c:tx>
          <c:spPr>
            <a:ln>
              <a:solidFill>
                <a:sysClr val="windowText" lastClr="000000"/>
              </a:solidFill>
            </a:ln>
          </c:spPr>
          <c:marker>
            <c:symbol val="none"/>
          </c:marker>
          <c:cat>
            <c:numRef>
              <c:f>'Taku Table'!$CE$11:$CE$35</c:f>
              <c:numCache>
                <c:formatCode>General_)</c:formatCode>
                <c:ptCount val="25"/>
              </c:numCache>
            </c:numRef>
          </c:cat>
          <c:val>
            <c:numRef>
              <c:f>'Taku Table'!$CH$11:$CH$35</c:f>
              <c:numCache>
                <c:formatCode>General_)</c:formatCode>
                <c:ptCount val="25"/>
              </c:numCache>
            </c:numRef>
          </c:val>
          <c:smooth val="0"/>
        </c:ser>
        <c:ser>
          <c:idx val="1"/>
          <c:order val="1"/>
          <c:tx>
            <c:v>5-year symmetrical average trend (excluding 1997)</c:v>
          </c:tx>
          <c:spPr>
            <a:ln w="22225">
              <a:solidFill>
                <a:schemeClr val="tx1"/>
              </a:solidFill>
              <a:prstDash val="dash"/>
            </a:ln>
          </c:spPr>
          <c:marker>
            <c:symbol val="none"/>
          </c:marker>
          <c:cat>
            <c:numRef>
              <c:f>'Taku Table'!$CE$11:$CE$35</c:f>
              <c:numCache>
                <c:formatCode>General_)</c:formatCode>
                <c:ptCount val="25"/>
              </c:numCache>
            </c:numRef>
          </c:cat>
          <c:val>
            <c:numRef>
              <c:f>'Taku Table'!$CJ$11:$CJ$35</c:f>
              <c:numCache>
                <c:formatCode>General_)</c:formatCode>
                <c:ptCount val="25"/>
              </c:numCache>
            </c:numRef>
          </c:val>
          <c:smooth val="0"/>
        </c:ser>
        <c:dLbls>
          <c:showLegendKey val="0"/>
          <c:showVal val="0"/>
          <c:showCatName val="0"/>
          <c:showSerName val="0"/>
          <c:showPercent val="0"/>
          <c:showBubbleSize val="0"/>
        </c:dLbls>
        <c:marker val="1"/>
        <c:smooth val="0"/>
        <c:axId val="228312192"/>
        <c:axId val="228314112"/>
      </c:lineChart>
      <c:catAx>
        <c:axId val="228312192"/>
        <c:scaling>
          <c:orientation val="minMax"/>
        </c:scaling>
        <c:delete val="0"/>
        <c:axPos val="b"/>
        <c:title>
          <c:tx>
            <c:rich>
              <a:bodyPr/>
              <a:lstStyle/>
              <a:p>
                <a:pPr>
                  <a:defRPr sz="1100" b="1" i="0" u="none" strike="noStrike" baseline="0">
                    <a:solidFill>
                      <a:srgbClr val="000000"/>
                    </a:solidFill>
                    <a:latin typeface="Calibri"/>
                    <a:ea typeface="Calibri"/>
                    <a:cs typeface="Calibri"/>
                  </a:defRPr>
                </a:pPr>
                <a:r>
                  <a:rPr lang="en-US"/>
                  <a:t>Year</a:t>
                </a:r>
              </a:p>
            </c:rich>
          </c:tx>
          <c:overlay val="0"/>
        </c:title>
        <c:numFmt formatCode="General_)" sourceLinked="1"/>
        <c:majorTickMark val="out"/>
        <c:minorTickMark val="none"/>
        <c:tickLblPos val="nextTo"/>
        <c:txPr>
          <a:bodyPr rot="-5400000" vert="horz"/>
          <a:lstStyle/>
          <a:p>
            <a:pPr>
              <a:defRPr sz="1000" b="1" i="0" u="none" strike="noStrike" baseline="0">
                <a:solidFill>
                  <a:srgbClr val="000000"/>
                </a:solidFill>
                <a:latin typeface="Calibri"/>
                <a:ea typeface="Calibri"/>
                <a:cs typeface="Calibri"/>
              </a:defRPr>
            </a:pPr>
            <a:endParaRPr lang="en-US"/>
          </a:p>
        </c:txPr>
        <c:crossAx val="228314112"/>
        <c:crosses val="autoZero"/>
        <c:auto val="1"/>
        <c:lblAlgn val="ctr"/>
        <c:lblOffset val="100"/>
        <c:noMultiLvlLbl val="0"/>
      </c:catAx>
      <c:valAx>
        <c:axId val="228314112"/>
        <c:scaling>
          <c:orientation val="minMax"/>
          <c:min val="0"/>
        </c:scaling>
        <c:delete val="0"/>
        <c:axPos val="l"/>
        <c:majorGridlines>
          <c:spPr>
            <a:ln w="6350">
              <a:prstDash val="sysDot"/>
            </a:ln>
          </c:spPr>
        </c:majorGridlines>
        <c:title>
          <c:tx>
            <c:rich>
              <a:bodyPr/>
              <a:lstStyle/>
              <a:p>
                <a:pPr>
                  <a:defRPr sz="1100" b="1" i="0" u="none" strike="noStrike" baseline="0">
                    <a:solidFill>
                      <a:srgbClr val="000000"/>
                    </a:solidFill>
                    <a:latin typeface="Calibri"/>
                    <a:ea typeface="Calibri"/>
                    <a:cs typeface="Calibri"/>
                  </a:defRPr>
                </a:pPr>
                <a:r>
                  <a:rPr lang="en-US"/>
                  <a:t>Taku R.-Auke Cr. Ratio</a:t>
                </a:r>
              </a:p>
            </c:rich>
          </c:tx>
          <c:overlay val="0"/>
        </c:title>
        <c:numFmt formatCode="0.0" sourceLinked="0"/>
        <c:majorTickMark val="out"/>
        <c:minorTickMark val="none"/>
        <c:tickLblPos val="nextTo"/>
        <c:txPr>
          <a:bodyPr rot="0" vert="horz"/>
          <a:lstStyle/>
          <a:p>
            <a:pPr>
              <a:defRPr sz="1000" b="1" i="0" u="none" strike="noStrike" baseline="0">
                <a:solidFill>
                  <a:srgbClr val="000000"/>
                </a:solidFill>
                <a:latin typeface="Calibri"/>
                <a:ea typeface="Calibri"/>
                <a:cs typeface="Calibri"/>
              </a:defRPr>
            </a:pPr>
            <a:endParaRPr lang="en-US"/>
          </a:p>
        </c:txPr>
        <c:crossAx val="228312192"/>
        <c:crosses val="autoZero"/>
        <c:crossBetween val="between"/>
      </c:valAx>
    </c:plotArea>
    <c:legend>
      <c:legendPos val="r"/>
      <c:layout>
        <c:manualLayout>
          <c:xMode val="edge"/>
          <c:yMode val="edge"/>
          <c:x val="0.14514144065325166"/>
          <c:y val="0.60574652306392729"/>
          <c:w val="0.80017206182560507"/>
          <c:h val="0.15444253376373929"/>
        </c:manualLayout>
      </c:layout>
      <c:overlay val="0"/>
      <c:txPr>
        <a:bodyPr/>
        <a:lstStyle/>
        <a:p>
          <a:pPr>
            <a:defRPr sz="925" b="1"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22" l="0.70000000000000018" r="0.70000000000000018" t="0.75000000000000022" header="0.3000000000000001" footer="0.3000000000000001"/>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361140545553502"/>
          <c:y val="8.4415584415584416E-2"/>
          <c:w val="0.73784847318602398"/>
          <c:h val="0.6006493506493511"/>
        </c:manualLayout>
      </c:layout>
      <c:lineChart>
        <c:grouping val="standard"/>
        <c:varyColors val="0"/>
        <c:ser>
          <c:idx val="1"/>
          <c:order val="1"/>
          <c:tx>
            <c:v>Taku Inside Run</c:v>
          </c:tx>
          <c:spPr>
            <a:ln w="25400">
              <a:solidFill>
                <a:srgbClr val="FF0000"/>
              </a:solidFill>
              <a:prstDash val="solid"/>
            </a:ln>
          </c:spPr>
          <c:marker>
            <c:symbol val="none"/>
          </c:marker>
          <c:cat>
            <c:numRef>
              <c:f>'Taku Table'!$A$11:$A$22</c:f>
              <c:numCache>
                <c:formatCode>General_)</c:formatCode>
                <c:ptCount val="12"/>
                <c:pt idx="0">
                  <c:v>1992</c:v>
                </c:pt>
                <c:pt idx="1">
                  <c:v>1993</c:v>
                </c:pt>
                <c:pt idx="2">
                  <c:v>1994</c:v>
                </c:pt>
                <c:pt idx="3">
                  <c:v>1995</c:v>
                </c:pt>
                <c:pt idx="4">
                  <c:v>1996</c:v>
                </c:pt>
                <c:pt idx="5">
                  <c:v>1997</c:v>
                </c:pt>
                <c:pt idx="6">
                  <c:v>1998</c:v>
                </c:pt>
                <c:pt idx="7">
                  <c:v>1999</c:v>
                </c:pt>
                <c:pt idx="8">
                  <c:v>2000</c:v>
                </c:pt>
                <c:pt idx="9">
                  <c:v>2001</c:v>
                </c:pt>
                <c:pt idx="10">
                  <c:v>2002</c:v>
                </c:pt>
                <c:pt idx="11">
                  <c:v>2003</c:v>
                </c:pt>
              </c:numCache>
            </c:numRef>
          </c:cat>
          <c:val>
            <c:numRef>
              <c:f>'Taku Table'!$AZ$11:$AZ$22</c:f>
              <c:numCache>
                <c:formatCode>General_)</c:formatCode>
                <c:ptCount val="12"/>
              </c:numCache>
            </c:numRef>
          </c:val>
          <c:smooth val="0"/>
        </c:ser>
        <c:dLbls>
          <c:showLegendKey val="0"/>
          <c:showVal val="0"/>
          <c:showCatName val="0"/>
          <c:showSerName val="0"/>
          <c:showPercent val="0"/>
          <c:showBubbleSize val="0"/>
        </c:dLbls>
        <c:marker val="1"/>
        <c:smooth val="0"/>
        <c:axId val="228369920"/>
        <c:axId val="228371840"/>
      </c:lineChart>
      <c:lineChart>
        <c:grouping val="standard"/>
        <c:varyColors val="0"/>
        <c:ser>
          <c:idx val="0"/>
          <c:order val="0"/>
          <c:tx>
            <c:v>Cumulative CPUE</c:v>
          </c:tx>
          <c:spPr>
            <a:ln w="25400">
              <a:solidFill>
                <a:srgbClr val="3366FF"/>
              </a:solidFill>
              <a:prstDash val="solid"/>
            </a:ln>
          </c:spPr>
          <c:marker>
            <c:symbol val="none"/>
          </c:marker>
          <c:val>
            <c:numRef>
              <c:f>'Taku Table'!$AY$11:$AY$22</c:f>
              <c:numCache>
                <c:formatCode>General_)</c:formatCode>
                <c:ptCount val="12"/>
              </c:numCache>
            </c:numRef>
          </c:val>
          <c:smooth val="0"/>
        </c:ser>
        <c:dLbls>
          <c:showLegendKey val="0"/>
          <c:showVal val="0"/>
          <c:showCatName val="0"/>
          <c:showSerName val="0"/>
          <c:showPercent val="0"/>
          <c:showBubbleSize val="0"/>
        </c:dLbls>
        <c:marker val="1"/>
        <c:smooth val="0"/>
        <c:axId val="228378112"/>
        <c:axId val="228379648"/>
      </c:lineChart>
      <c:catAx>
        <c:axId val="22836992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1388980023330422"/>
              <c:y val="0.78571451645467383"/>
            </c:manualLayout>
          </c:layout>
          <c:overlay val="0"/>
          <c:spPr>
            <a:noFill/>
            <a:ln w="25400">
              <a:noFill/>
            </a:ln>
          </c:spPr>
        </c:title>
        <c:numFmt formatCode="General_)"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28371840"/>
        <c:crosses val="autoZero"/>
        <c:auto val="1"/>
        <c:lblAlgn val="ctr"/>
        <c:lblOffset val="100"/>
        <c:tickLblSkip val="1"/>
        <c:tickMarkSkip val="1"/>
        <c:noMultiLvlLbl val="0"/>
      </c:catAx>
      <c:valAx>
        <c:axId val="228371840"/>
        <c:scaling>
          <c:orientation val="minMax"/>
          <c:max val="275000"/>
          <c:min val="0"/>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Inside Run</a:t>
                </a:r>
              </a:p>
            </c:rich>
          </c:tx>
          <c:layout>
            <c:manualLayout>
              <c:xMode val="edge"/>
              <c:yMode val="edge"/>
              <c:x val="2.7777777777777776E-2"/>
              <c:y val="0.28571451645467394"/>
            </c:manualLayout>
          </c:layout>
          <c:overlay val="0"/>
          <c:spPr>
            <a:noFill/>
            <a:ln w="25400">
              <a:noFill/>
            </a:ln>
          </c:spPr>
        </c:title>
        <c:numFmt formatCode="General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28369920"/>
        <c:crosses val="autoZero"/>
        <c:crossBetween val="between"/>
      </c:valAx>
      <c:catAx>
        <c:axId val="228378112"/>
        <c:scaling>
          <c:orientation val="minMax"/>
        </c:scaling>
        <c:delete val="1"/>
        <c:axPos val="b"/>
        <c:majorTickMark val="out"/>
        <c:minorTickMark val="none"/>
        <c:tickLblPos val="nextTo"/>
        <c:crossAx val="228379648"/>
        <c:crosses val="autoZero"/>
        <c:auto val="1"/>
        <c:lblAlgn val="ctr"/>
        <c:lblOffset val="100"/>
        <c:noMultiLvlLbl val="0"/>
      </c:catAx>
      <c:valAx>
        <c:axId val="228379648"/>
        <c:scaling>
          <c:orientation val="minMax"/>
          <c:max val="800"/>
          <c:min val="0"/>
        </c:scaling>
        <c:delete val="0"/>
        <c:axPos val="r"/>
        <c:numFmt formatCode="General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28378112"/>
        <c:crosses val="max"/>
        <c:crossBetween val="between"/>
      </c:valAx>
      <c:spPr>
        <a:solidFill>
          <a:srgbClr val="FFFFFF"/>
        </a:solidFill>
        <a:ln w="25400">
          <a:noFill/>
        </a:ln>
      </c:spPr>
    </c:plotArea>
    <c:legend>
      <c:legendPos val="b"/>
      <c:layout>
        <c:manualLayout>
          <c:xMode val="edge"/>
          <c:yMode val="edge"/>
          <c:x val="0.25000036453776608"/>
          <c:y val="0.89935069654754696"/>
          <c:w val="0.5850703557888598"/>
          <c:h val="8.1168988491823191E-2"/>
        </c:manualLayout>
      </c:layout>
      <c:overlay val="0"/>
      <c:spPr>
        <a:solidFill>
          <a:srgbClr val="FFFFFF"/>
        </a:solidFill>
        <a:ln w="25400">
          <a:noFill/>
        </a:ln>
      </c:spPr>
      <c:txPr>
        <a:bodyPr/>
        <a:lstStyle/>
        <a:p>
          <a:pPr>
            <a:defRPr sz="92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intercept val="0"/>
            <c:dispRSqr val="1"/>
            <c:dispEq val="1"/>
            <c:trendlineLbl>
              <c:numFmt formatCode="General" sourceLinked="0"/>
              <c:txPr>
                <a:bodyPr/>
                <a:lstStyle/>
                <a:p>
                  <a:pPr>
                    <a:defRPr sz="1000" b="0" i="0" u="none" strike="noStrike" baseline="0">
                      <a:solidFill>
                        <a:srgbClr val="000000"/>
                      </a:solidFill>
                      <a:latin typeface="Calibri"/>
                      <a:ea typeface="Calibri"/>
                      <a:cs typeface="Calibri"/>
                    </a:defRPr>
                  </a:pPr>
                  <a:endParaRPr lang="en-US"/>
                </a:p>
              </c:txPr>
            </c:trendlineLbl>
          </c:trendline>
          <c:xVal>
            <c:numRef>
              <c:f>'Taku Table'!$CV$13:$CV$21</c:f>
              <c:numCache>
                <c:formatCode>General_)</c:formatCode>
                <c:ptCount val="9"/>
              </c:numCache>
            </c:numRef>
          </c:xVal>
          <c:yVal>
            <c:numRef>
              <c:f>'Taku Table'!$CU$13:$CU$21</c:f>
              <c:numCache>
                <c:formatCode>General_)</c:formatCode>
                <c:ptCount val="9"/>
              </c:numCache>
            </c:numRef>
          </c:yVal>
          <c:smooth val="0"/>
        </c:ser>
        <c:dLbls>
          <c:showLegendKey val="0"/>
          <c:showVal val="0"/>
          <c:showCatName val="0"/>
          <c:showSerName val="0"/>
          <c:showPercent val="0"/>
          <c:showBubbleSize val="0"/>
        </c:dLbls>
        <c:axId val="228420992"/>
        <c:axId val="228426880"/>
      </c:scatterChart>
      <c:valAx>
        <c:axId val="228420992"/>
        <c:scaling>
          <c:orientation val="minMax"/>
        </c:scaling>
        <c:delete val="0"/>
        <c:axPos val="b"/>
        <c:numFmt formatCode="General_)"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8426880"/>
        <c:crosses val="autoZero"/>
        <c:crossBetween val="midCat"/>
      </c:valAx>
      <c:valAx>
        <c:axId val="228426880"/>
        <c:scaling>
          <c:orientation val="minMax"/>
        </c:scaling>
        <c:delete val="0"/>
        <c:axPos val="l"/>
        <c:majorGridlines/>
        <c:numFmt formatCode="General_)"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8420992"/>
        <c:crosses val="autoZero"/>
        <c:crossBetween val="midCat"/>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intercept val="0"/>
            <c:dispRSqr val="1"/>
            <c:dispEq val="1"/>
            <c:trendlineLbl>
              <c:numFmt formatCode="General" sourceLinked="0"/>
              <c:txPr>
                <a:bodyPr/>
                <a:lstStyle/>
                <a:p>
                  <a:pPr>
                    <a:defRPr sz="1000" b="0" i="0" u="none" strike="noStrike" baseline="0">
                      <a:solidFill>
                        <a:srgbClr val="000000"/>
                      </a:solidFill>
                      <a:latin typeface="Calibri"/>
                      <a:ea typeface="Calibri"/>
                      <a:cs typeface="Calibri"/>
                    </a:defRPr>
                  </a:pPr>
                  <a:endParaRPr lang="en-US"/>
                </a:p>
              </c:txPr>
            </c:trendlineLbl>
          </c:trendline>
          <c:xVal>
            <c:numRef>
              <c:f>'Taku Table'!$CX$13:$CX$20</c:f>
              <c:numCache>
                <c:formatCode>General_)</c:formatCode>
                <c:ptCount val="8"/>
              </c:numCache>
            </c:numRef>
          </c:xVal>
          <c:yVal>
            <c:numRef>
              <c:f>'Taku Table'!$CU$13:$CU$20</c:f>
              <c:numCache>
                <c:formatCode>General_)</c:formatCode>
                <c:ptCount val="8"/>
              </c:numCache>
            </c:numRef>
          </c:yVal>
          <c:smooth val="0"/>
        </c:ser>
        <c:dLbls>
          <c:showLegendKey val="0"/>
          <c:showVal val="0"/>
          <c:showCatName val="0"/>
          <c:showSerName val="0"/>
          <c:showPercent val="0"/>
          <c:showBubbleSize val="0"/>
        </c:dLbls>
        <c:axId val="228455936"/>
        <c:axId val="228457472"/>
      </c:scatterChart>
      <c:valAx>
        <c:axId val="228455936"/>
        <c:scaling>
          <c:orientation val="minMax"/>
        </c:scaling>
        <c:delete val="0"/>
        <c:axPos val="b"/>
        <c:numFmt formatCode="General_)"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8457472"/>
        <c:crosses val="autoZero"/>
        <c:crossBetween val="midCat"/>
      </c:valAx>
      <c:valAx>
        <c:axId val="228457472"/>
        <c:scaling>
          <c:orientation val="minMax"/>
        </c:scaling>
        <c:delete val="0"/>
        <c:axPos val="l"/>
        <c:majorGridlines/>
        <c:numFmt formatCode="General_)"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8455936"/>
        <c:crosses val="autoZero"/>
        <c:crossBetween val="midCat"/>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22" l="0.70000000000000018" r="0.70000000000000018" t="0.75000000000000022" header="0.3000000000000001" footer="0.3000000000000001"/>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marker>
            <c:symbol val="none"/>
          </c:marker>
          <c:trendline>
            <c:trendlineType val="linear"/>
            <c:dispRSqr val="0"/>
            <c:dispEq val="0"/>
          </c:trendline>
          <c:cat>
            <c:numRef>
              <c:f>'Taku Table'!$DQ$11:$DQ$35</c:f>
              <c:numCache>
                <c:formatCode>General_)</c:formatCode>
                <c:ptCount val="25"/>
              </c:numCache>
            </c:numRef>
          </c:cat>
          <c:val>
            <c:numRef>
              <c:f>'Taku Table'!$DY$11:$DY$35</c:f>
              <c:numCache>
                <c:formatCode>General_)</c:formatCode>
                <c:ptCount val="25"/>
              </c:numCache>
            </c:numRef>
          </c:val>
          <c:smooth val="0"/>
        </c:ser>
        <c:dLbls>
          <c:showLegendKey val="0"/>
          <c:showVal val="0"/>
          <c:showCatName val="0"/>
          <c:showSerName val="0"/>
          <c:showPercent val="0"/>
          <c:showBubbleSize val="0"/>
        </c:dLbls>
        <c:marker val="1"/>
        <c:smooth val="0"/>
        <c:axId val="228547968"/>
        <c:axId val="228553856"/>
      </c:lineChart>
      <c:catAx>
        <c:axId val="228547968"/>
        <c:scaling>
          <c:orientation val="minMax"/>
        </c:scaling>
        <c:delete val="0"/>
        <c:axPos val="b"/>
        <c:numFmt formatCode="General_)"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28553856"/>
        <c:crosses val="autoZero"/>
        <c:auto val="1"/>
        <c:lblAlgn val="ctr"/>
        <c:lblOffset val="100"/>
        <c:noMultiLvlLbl val="0"/>
      </c:catAx>
      <c:valAx>
        <c:axId val="228553856"/>
        <c:scaling>
          <c:orientation val="minMax"/>
        </c:scaling>
        <c:delete val="0"/>
        <c:axPos val="l"/>
        <c:majorGridlines/>
        <c:numFmt formatCode="General_)"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854796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82112717998217521"/>
          <c:h val="0.77658022379919067"/>
        </c:manualLayout>
      </c:layout>
      <c:lineChart>
        <c:grouping val="standard"/>
        <c:varyColors val="0"/>
        <c:ser>
          <c:idx val="0"/>
          <c:order val="0"/>
          <c:tx>
            <c:v>Taku River</c:v>
          </c:tx>
          <c:spPr>
            <a:ln w="50800">
              <a:solidFill>
                <a:schemeClr val="tx1"/>
              </a:solidFill>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Table'!$AJ$16:$AJ$41</c:f>
              <c:numCache>
                <c:formatCode>0.00</c:formatCode>
                <c:ptCount val="26"/>
                <c:pt idx="0">
                  <c:v>0.49753930095751842</c:v>
                </c:pt>
                <c:pt idx="1">
                  <c:v>1.0025097513679422</c:v>
                </c:pt>
                <c:pt idx="2">
                  <c:v>2.252644142811699</c:v>
                </c:pt>
                <c:pt idx="3">
                  <c:v>5.9488980331510906E-2</c:v>
                </c:pt>
                <c:pt idx="4">
                  <c:v>-1.1411051580094433</c:v>
                </c:pt>
                <c:pt idx="5">
                  <c:v>-1.7411326109545493</c:v>
                </c:pt>
                <c:pt idx="6">
                  <c:v>-0.78656673488299655</c:v>
                </c:pt>
                <c:pt idx="7">
                  <c:v>-0.82457570942377356</c:v>
                </c:pt>
                <c:pt idx="8">
                  <c:v>-0.93556080896499449</c:v>
                </c:pt>
                <c:pt idx="9">
                  <c:v>-0.1940747097751854</c:v>
                </c:pt>
                <c:pt idx="10">
                  <c:v>1.7485171072601282</c:v>
                </c:pt>
                <c:pt idx="11">
                  <c:v>1.2205532320911332</c:v>
                </c:pt>
                <c:pt idx="12">
                  <c:v>1.0331630422216718</c:v>
                </c:pt>
                <c:pt idx="13">
                  <c:v>0.63855550006315098</c:v>
                </c:pt>
                <c:pt idx="14">
                  <c:v>0.68967197109889211</c:v>
                </c:pt>
                <c:pt idx="15">
                  <c:v>-0.60162383075151893</c:v>
                </c:pt>
                <c:pt idx="16">
                  <c:v>-3.7922807594107981E-2</c:v>
                </c:pt>
                <c:pt idx="17">
                  <c:v>0.65257142071588048</c:v>
                </c:pt>
                <c:pt idx="18">
                  <c:v>0.96797123757673476</c:v>
                </c:pt>
                <c:pt idx="19">
                  <c:v>-0.64811705591332602</c:v>
                </c:pt>
                <c:pt idx="20">
                  <c:v>-0.8830563464661032</c:v>
                </c:pt>
                <c:pt idx="21">
                  <c:v>-0.46185462661801185</c:v>
                </c:pt>
                <c:pt idx="22">
                  <c:v>0.17755754259909245</c:v>
                </c:pt>
                <c:pt idx="23">
                  <c:v>-1.0012040878525545</c:v>
                </c:pt>
                <c:pt idx="24">
                  <c:v>-0.70923136111605101</c:v>
                </c:pt>
                <c:pt idx="25">
                  <c:v>-0.97471738077273562</c:v>
                </c:pt>
              </c:numCache>
            </c:numRef>
          </c:val>
          <c:smooth val="0"/>
        </c:ser>
        <c:ser>
          <c:idx val="1"/>
          <c:order val="1"/>
          <c:tx>
            <c:v>Berners River</c:v>
          </c:tx>
          <c:spPr>
            <a:ln>
              <a:solidFill>
                <a:srgbClr val="00B0F0"/>
              </a:solidFill>
              <a:prstDash val="solid"/>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Table'!$AK$16:$AK$41</c:f>
              <c:numCache>
                <c:formatCode>0.00</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-0.20078982036877399</c:v>
                </c:pt>
                <c:pt idx="9">
                  <c:v>0.56706700571158453</c:v>
                </c:pt>
                <c:pt idx="10">
                  <c:v>1.7511134221743097</c:v>
                </c:pt>
                <c:pt idx="11">
                  <c:v>0.25109178479543104</c:v>
                </c:pt>
                <c:pt idx="12">
                  <c:v>0.55830466311194404</c:v>
                </c:pt>
                <c:pt idx="13">
                  <c:v>-0.80300354144915487</c:v>
                </c:pt>
                <c:pt idx="14">
                  <c:v>-0.61516841840871128</c:v>
                </c:pt>
                <c:pt idx="15">
                  <c:v>-1.0646058041216697</c:v>
                </c:pt>
                <c:pt idx="16">
                  <c:v>-0.68234936757617837</c:v>
                </c:pt>
                <c:pt idx="17">
                  <c:v>-1.0242113371390071</c:v>
                </c:pt>
                <c:pt idx="18">
                  <c:v>-0.22502911896113897</c:v>
                </c:pt>
                <c:pt idx="19">
                  <c:v>-0.83479596906901143</c:v>
                </c:pt>
                <c:pt idx="20">
                  <c:v>-1.0533659698664239</c:v>
                </c:pt>
                <c:pt idx="21">
                  <c:v>-0.28803204747310002</c:v>
                </c:pt>
                <c:pt idx="22">
                  <c:v>0.18088786301170928</c:v>
                </c:pt>
                <c:pt idx="23">
                  <c:v>-0.56071183746077569</c:v>
                </c:pt>
                <c:pt idx="24">
                  <c:v>-0.94997673184383291</c:v>
                </c:pt>
                <c:pt idx="25">
                  <c:v>-0.68401825544714512</c:v>
                </c:pt>
              </c:numCache>
            </c:numRef>
          </c:val>
          <c:smooth val="0"/>
        </c:ser>
        <c:ser>
          <c:idx val="2"/>
          <c:order val="2"/>
          <c:tx>
            <c:v>Chilkat River (Adjusted)</c:v>
          </c:tx>
          <c:spPr>
            <a:ln>
              <a:solidFill>
                <a:srgbClr val="FF0000"/>
              </a:solidFill>
              <a:prstDash val="sysDash"/>
            </a:ln>
          </c:spPr>
          <c:marker>
            <c:symbol val="none"/>
          </c:marker>
          <c:val>
            <c:numRef>
              <c:f>'Taku Table'!$AL$16:$AL$41</c:f>
              <c:numCache>
                <c:formatCode>0.00</c:formatCode>
                <c:ptCount val="26"/>
                <c:pt idx="8">
                  <c:v>-0.28806015115841838</c:v>
                </c:pt>
                <c:pt idx="9">
                  <c:v>3.2590902532561014E-2</c:v>
                </c:pt>
                <c:pt idx="10">
                  <c:v>1.956465877425168</c:v>
                </c:pt>
                <c:pt idx="11">
                  <c:v>0.69348504320779003</c:v>
                </c:pt>
                <c:pt idx="12">
                  <c:v>0.44411764345104543</c:v>
                </c:pt>
                <c:pt idx="13">
                  <c:v>-0.91477533668576094</c:v>
                </c:pt>
                <c:pt idx="14">
                  <c:v>-7.7970859748022051E-2</c:v>
                </c:pt>
                <c:pt idx="15">
                  <c:v>-1.196169180199238</c:v>
                </c:pt>
                <c:pt idx="16">
                  <c:v>-0.46608120247438978</c:v>
                </c:pt>
                <c:pt idx="17">
                  <c:v>-0.78002394396575336</c:v>
                </c:pt>
                <c:pt idx="18">
                  <c:v>1.6676946956213978E-2</c:v>
                </c:pt>
                <c:pt idx="19">
                  <c:v>-0.57497111124728051</c:v>
                </c:pt>
                <c:pt idx="20">
                  <c:v>-0.91585159238133784</c:v>
                </c:pt>
                <c:pt idx="21">
                  <c:v>-0.32610526754284352</c:v>
                </c:pt>
                <c:pt idx="22">
                  <c:v>3.8651371497945966E-2</c:v>
                </c:pt>
                <c:pt idx="23">
                  <c:v>-0.84564419414268011</c:v>
                </c:pt>
                <c:pt idx="24">
                  <c:v>-1.1726378420784676</c:v>
                </c:pt>
                <c:pt idx="25">
                  <c:v>-1.0469876018909605</c:v>
                </c:pt>
              </c:numCache>
            </c:numRef>
          </c:val>
          <c:smooth val="0"/>
        </c:ser>
        <c:dLbls>
          <c:showLegendKey val="0"/>
          <c:showVal val="0"/>
          <c:showCatName val="0"/>
          <c:showSerName val="0"/>
          <c:showPercent val="0"/>
          <c:showBubbleSize val="0"/>
        </c:dLbls>
        <c:marker val="1"/>
        <c:smooth val="0"/>
        <c:axId val="228587776"/>
        <c:axId val="228589952"/>
      </c:lineChart>
      <c:catAx>
        <c:axId val="228587776"/>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28589952"/>
        <c:crossesAt val="-2"/>
        <c:auto val="1"/>
        <c:lblAlgn val="ctr"/>
        <c:lblOffset val="100"/>
        <c:noMultiLvlLbl val="0"/>
      </c:catAx>
      <c:valAx>
        <c:axId val="228589952"/>
        <c:scaling>
          <c:orientation val="minMax"/>
          <c:max val="3.5"/>
          <c:min val="-2"/>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28587776"/>
        <c:crosses val="autoZero"/>
        <c:crossBetween val="between"/>
      </c:valAx>
    </c:plotArea>
    <c:legend>
      <c:legendPos val="r"/>
      <c:layout>
        <c:manualLayout>
          <c:xMode val="edge"/>
          <c:yMode val="edge"/>
          <c:x val="0.53983038514420034"/>
          <c:y val="3.8449027851544922E-2"/>
          <c:w val="0.40367765599931732"/>
          <c:h val="0.25387838167122101"/>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85238782089175"/>
          <c:y val="5.3524536044221083E-2"/>
          <c:w val="0.74104703128325178"/>
          <c:h val="0.77380828435946547"/>
        </c:manualLayout>
      </c:layout>
      <c:lineChart>
        <c:grouping val="standard"/>
        <c:varyColors val="0"/>
        <c:ser>
          <c:idx val="0"/>
          <c:order val="0"/>
          <c:tx>
            <c:v>Terminal Run (Taku Inlet)</c:v>
          </c:tx>
          <c:spPr>
            <a:ln w="50800">
              <a:solidFill>
                <a:schemeClr val="tx1"/>
              </a:solidFill>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Table'!$S$11:$S$36</c:f>
              <c:numCache>
                <c:formatCode>#,##0</c:formatCode>
                <c:ptCount val="26"/>
                <c:pt idx="0">
                  <c:v>162668.6468338854</c:v>
                </c:pt>
                <c:pt idx="1">
                  <c:v>157770.41461228105</c:v>
                </c:pt>
                <c:pt idx="2">
                  <c:v>194533.86301265901</c:v>
                </c:pt>
                <c:pt idx="3">
                  <c:v>121338.71351985104</c:v>
                </c:pt>
                <c:pt idx="4">
                  <c:v>64011.70168535538</c:v>
                </c:pt>
                <c:pt idx="5">
                  <c:v>36551</c:v>
                </c:pt>
                <c:pt idx="6">
                  <c:v>79511.974262273376</c:v>
                </c:pt>
                <c:pt idx="7">
                  <c:v>72264.268965781856</c:v>
                </c:pt>
                <c:pt idx="8">
                  <c:v>77856.974680334213</c:v>
                </c:pt>
                <c:pt idx="9">
                  <c:v>116767.69439306113</c:v>
                </c:pt>
                <c:pt idx="10">
                  <c:v>249240.57075585524</c:v>
                </c:pt>
                <c:pt idx="11">
                  <c:v>206507.45885105745</c:v>
                </c:pt>
                <c:pt idx="12">
                  <c:v>164881.38160325916</c:v>
                </c:pt>
                <c:pt idx="13">
                  <c:v>161834.69278711284</c:v>
                </c:pt>
                <c:pt idx="14">
                  <c:v>166913.11768607335</c:v>
                </c:pt>
                <c:pt idx="15">
                  <c:v>98865.158459153477</c:v>
                </c:pt>
                <c:pt idx="16">
                  <c:v>123070.74391502564</c:v>
                </c:pt>
                <c:pt idx="17">
                  <c:v>150574.88398921647</c:v>
                </c:pt>
                <c:pt idx="18">
                  <c:v>183320.81567710772</c:v>
                </c:pt>
                <c:pt idx="19">
                  <c:v>88423.693127461127</c:v>
                </c:pt>
                <c:pt idx="20">
                  <c:v>95738.660969976787</c:v>
                </c:pt>
                <c:pt idx="21">
                  <c:v>102055.91799917375</c:v>
                </c:pt>
                <c:pt idx="22">
                  <c:v>169418.89195146895</c:v>
                </c:pt>
                <c:pt idx="23">
                  <c:v>77083.652462376936</c:v>
                </c:pt>
                <c:pt idx="24">
                  <c:v>113385.07623406145</c:v>
                </c:pt>
                <c:pt idx="25">
                  <c:v>73457.964191270352</c:v>
                </c:pt>
              </c:numCache>
            </c:numRef>
          </c:val>
          <c:smooth val="0"/>
        </c:ser>
        <c:dLbls>
          <c:showLegendKey val="0"/>
          <c:showVal val="0"/>
          <c:showCatName val="0"/>
          <c:showSerName val="0"/>
          <c:showPercent val="0"/>
          <c:showBubbleSize val="0"/>
        </c:dLbls>
        <c:marker val="1"/>
        <c:smooth val="0"/>
        <c:axId val="228632832"/>
        <c:axId val="228639104"/>
      </c:lineChart>
      <c:lineChart>
        <c:grouping val="standard"/>
        <c:varyColors val="0"/>
        <c:ser>
          <c:idx val="1"/>
          <c:order val="1"/>
          <c:tx>
            <c:v>Taku Inlet Fall Wild Coho CPUE</c:v>
          </c:tx>
          <c:spPr>
            <a:ln w="31750">
              <a:solidFill>
                <a:schemeClr val="tx1"/>
              </a:solidFill>
              <a:prstDash val="sysDash"/>
            </a:ln>
          </c:spPr>
          <c:marker>
            <c:symbol val="none"/>
          </c:marker>
          <c:val>
            <c:numRef>
              <c:f>'Taku Table'!$U$11:$U$36</c:f>
              <c:numCache>
                <c:formatCode>0.0</c:formatCode>
                <c:ptCount val="26"/>
                <c:pt idx="0">
                  <c:v>81.845850660095252</c:v>
                </c:pt>
                <c:pt idx="1">
                  <c:v>61.772182161071967</c:v>
                </c:pt>
                <c:pt idx="2">
                  <c:v>74.807767736549977</c:v>
                </c:pt>
                <c:pt idx="3">
                  <c:v>44.074472220600114</c:v>
                </c:pt>
                <c:pt idx="4">
                  <c:v>39.676587924995992</c:v>
                </c:pt>
                <c:pt idx="5">
                  <c:v>18.440695397967986</c:v>
                </c:pt>
                <c:pt idx="6">
                  <c:v>36.598030104593306</c:v>
                </c:pt>
                <c:pt idx="7">
                  <c:v>33.407871331548399</c:v>
                </c:pt>
                <c:pt idx="8">
                  <c:v>28.678174124704519</c:v>
                </c:pt>
                <c:pt idx="9">
                  <c:v>49.301353652307427</c:v>
                </c:pt>
                <c:pt idx="10">
                  <c:v>72.579620295382142</c:v>
                </c:pt>
                <c:pt idx="11">
                  <c:v>48.852062962890919</c:v>
                </c:pt>
                <c:pt idx="12">
                  <c:v>55.734017680595798</c:v>
                </c:pt>
                <c:pt idx="13">
                  <c:v>36.642075586525813</c:v>
                </c:pt>
                <c:pt idx="14">
                  <c:v>62.665213498227573</c:v>
                </c:pt>
                <c:pt idx="15">
                  <c:v>20.096588700062146</c:v>
                </c:pt>
                <c:pt idx="16">
                  <c:v>43.222358456726184</c:v>
                </c:pt>
                <c:pt idx="17">
                  <c:v>38.98826515963971</c:v>
                </c:pt>
                <c:pt idx="18">
                  <c:v>49.571264714156591</c:v>
                </c:pt>
                <c:pt idx="19">
                  <c:v>21.284953088566176</c:v>
                </c:pt>
                <c:pt idx="20">
                  <c:v>32.992223929882734</c:v>
                </c:pt>
                <c:pt idx="21">
                  <c:v>50.584065586141378</c:v>
                </c:pt>
                <c:pt idx="22">
                  <c:v>41.023847660721387</c:v>
                </c:pt>
                <c:pt idx="23">
                  <c:v>28.485770290825741</c:v>
                </c:pt>
                <c:pt idx="24">
                  <c:v>28.844284025028823</c:v>
                </c:pt>
                <c:pt idx="25">
                  <c:v>35.947465614868761</c:v>
                </c:pt>
              </c:numCache>
            </c:numRef>
          </c:val>
          <c:smooth val="0"/>
        </c:ser>
        <c:dLbls>
          <c:showLegendKey val="0"/>
          <c:showVal val="0"/>
          <c:showCatName val="0"/>
          <c:showSerName val="0"/>
          <c:showPercent val="0"/>
          <c:showBubbleSize val="0"/>
        </c:dLbls>
        <c:marker val="1"/>
        <c:smooth val="0"/>
        <c:axId val="228647296"/>
        <c:axId val="228641024"/>
      </c:lineChart>
      <c:catAx>
        <c:axId val="228632832"/>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spPr>
          <a:ln w="15875">
            <a:solidFill>
              <a:schemeClr val="tx1"/>
            </a:solidFill>
          </a:ln>
        </c:spPr>
        <c:txPr>
          <a:bodyPr rot="-5400000" vert="horz"/>
          <a:lstStyle/>
          <a:p>
            <a:pPr>
              <a:defRPr/>
            </a:pPr>
            <a:endParaRPr lang="en-US"/>
          </a:p>
        </c:txPr>
        <c:crossAx val="228639104"/>
        <c:crossesAt val="-2"/>
        <c:auto val="1"/>
        <c:lblAlgn val="ctr"/>
        <c:lblOffset val="100"/>
        <c:noMultiLvlLbl val="0"/>
      </c:catAx>
      <c:valAx>
        <c:axId val="228639104"/>
        <c:scaling>
          <c:orientation val="minMax"/>
          <c:max val="250000"/>
          <c:min val="0"/>
        </c:scaling>
        <c:delete val="0"/>
        <c:axPos val="l"/>
        <c:title>
          <c:tx>
            <c:rich>
              <a:bodyPr rot="-5400000" vert="horz"/>
              <a:lstStyle/>
              <a:p>
                <a:pPr>
                  <a:defRPr sz="1400" b="0" i="0" baseline="0"/>
                </a:pPr>
                <a:r>
                  <a:rPr lang="en-US" sz="1400" b="0" i="0" baseline="0"/>
                  <a:t>Number of Taku River Coho Salmon</a:t>
                </a:r>
              </a:p>
            </c:rich>
          </c:tx>
          <c:overlay val="0"/>
        </c:title>
        <c:numFmt formatCode="#,##0" sourceLinked="0"/>
        <c:majorTickMark val="out"/>
        <c:minorTickMark val="none"/>
        <c:tickLblPos val="nextTo"/>
        <c:spPr>
          <a:ln w="15875">
            <a:solidFill>
              <a:schemeClr val="tx1"/>
            </a:solidFill>
          </a:ln>
        </c:spPr>
        <c:crossAx val="228632832"/>
        <c:crosses val="autoZero"/>
        <c:crossBetween val="between"/>
      </c:valAx>
      <c:valAx>
        <c:axId val="228641024"/>
        <c:scaling>
          <c:orientation val="minMax"/>
          <c:max val="100"/>
          <c:min val="0"/>
        </c:scaling>
        <c:delete val="0"/>
        <c:axPos val="r"/>
        <c:title>
          <c:tx>
            <c:rich>
              <a:bodyPr rot="-5400000" vert="horz"/>
              <a:lstStyle/>
              <a:p>
                <a:pPr>
                  <a:defRPr/>
                </a:pPr>
                <a:r>
                  <a:rPr lang="en-US"/>
                  <a:t>Fall Drift Gillnet Wild CPUE</a:t>
                </a:r>
              </a:p>
            </c:rich>
          </c:tx>
          <c:layout>
            <c:manualLayout>
              <c:xMode val="edge"/>
              <c:yMode val="edge"/>
              <c:x val="0.95130737036248847"/>
              <c:y val="0.2262013194296659"/>
            </c:manualLayout>
          </c:layout>
          <c:overlay val="0"/>
        </c:title>
        <c:numFmt formatCode="0" sourceLinked="0"/>
        <c:majorTickMark val="out"/>
        <c:minorTickMark val="none"/>
        <c:tickLblPos val="nextTo"/>
        <c:spPr>
          <a:ln w="15875">
            <a:solidFill>
              <a:schemeClr val="tx1"/>
            </a:solidFill>
          </a:ln>
        </c:spPr>
        <c:crossAx val="228647296"/>
        <c:crosses val="max"/>
        <c:crossBetween val="between"/>
      </c:valAx>
      <c:catAx>
        <c:axId val="228647296"/>
        <c:scaling>
          <c:orientation val="minMax"/>
        </c:scaling>
        <c:delete val="1"/>
        <c:axPos val="b"/>
        <c:majorTickMark val="out"/>
        <c:minorTickMark val="none"/>
        <c:tickLblPos val="nextTo"/>
        <c:crossAx val="228641024"/>
        <c:crosses val="autoZero"/>
        <c:auto val="1"/>
        <c:lblAlgn val="ctr"/>
        <c:lblOffset val="100"/>
        <c:noMultiLvlLbl val="0"/>
      </c:catAx>
      <c:spPr>
        <a:ln w="3175">
          <a:noFill/>
          <a:prstDash val="solid"/>
        </a:ln>
      </c:spPr>
    </c:plotArea>
    <c:legend>
      <c:legendPos val="r"/>
      <c:layout>
        <c:manualLayout>
          <c:xMode val="edge"/>
          <c:yMode val="edge"/>
          <c:x val="0.3422162319800115"/>
          <c:y val="0.69583119157922313"/>
          <c:w val="0.41969744664171293"/>
          <c:h val="0.11385095574071953"/>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85238782089175"/>
          <c:y val="5.3524536044221083E-2"/>
          <c:w val="0.74104703128325178"/>
          <c:h val="0.77380828435946547"/>
        </c:manualLayout>
      </c:layout>
      <c:lineChart>
        <c:grouping val="standard"/>
        <c:varyColors val="0"/>
        <c:ser>
          <c:idx val="0"/>
          <c:order val="0"/>
          <c:tx>
            <c:v>Terminal Run (Taku Inlet)</c:v>
          </c:tx>
          <c:spPr>
            <a:ln w="50800">
              <a:solidFill>
                <a:schemeClr val="tx1"/>
              </a:solidFill>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Table'!$S$11:$S$36</c:f>
              <c:numCache>
                <c:formatCode>#,##0</c:formatCode>
                <c:ptCount val="26"/>
                <c:pt idx="0">
                  <c:v>162668.6468338854</c:v>
                </c:pt>
                <c:pt idx="1">
                  <c:v>157770.41461228105</c:v>
                </c:pt>
                <c:pt idx="2">
                  <c:v>194533.86301265901</c:v>
                </c:pt>
                <c:pt idx="3">
                  <c:v>121338.71351985104</c:v>
                </c:pt>
                <c:pt idx="4">
                  <c:v>64011.70168535538</c:v>
                </c:pt>
                <c:pt idx="5">
                  <c:v>36551</c:v>
                </c:pt>
                <c:pt idx="6">
                  <c:v>79511.974262273376</c:v>
                </c:pt>
                <c:pt idx="7">
                  <c:v>72264.268965781856</c:v>
                </c:pt>
                <c:pt idx="8">
                  <c:v>77856.974680334213</c:v>
                </c:pt>
                <c:pt idx="9">
                  <c:v>116767.69439306113</c:v>
                </c:pt>
                <c:pt idx="10">
                  <c:v>249240.57075585524</c:v>
                </c:pt>
                <c:pt idx="11">
                  <c:v>206507.45885105745</c:v>
                </c:pt>
                <c:pt idx="12">
                  <c:v>164881.38160325916</c:v>
                </c:pt>
                <c:pt idx="13">
                  <c:v>161834.69278711284</c:v>
                </c:pt>
                <c:pt idx="14">
                  <c:v>166913.11768607335</c:v>
                </c:pt>
                <c:pt idx="15">
                  <c:v>98865.158459153477</c:v>
                </c:pt>
                <c:pt idx="16">
                  <c:v>123070.74391502564</c:v>
                </c:pt>
                <c:pt idx="17">
                  <c:v>150574.88398921647</c:v>
                </c:pt>
                <c:pt idx="18">
                  <c:v>183320.81567710772</c:v>
                </c:pt>
                <c:pt idx="19">
                  <c:v>88423.693127461127</c:v>
                </c:pt>
                <c:pt idx="20">
                  <c:v>95738.660969976787</c:v>
                </c:pt>
                <c:pt idx="21">
                  <c:v>102055.91799917375</c:v>
                </c:pt>
                <c:pt idx="22">
                  <c:v>169418.89195146895</c:v>
                </c:pt>
                <c:pt idx="23">
                  <c:v>77083.652462376936</c:v>
                </c:pt>
                <c:pt idx="24">
                  <c:v>113385.07623406145</c:v>
                </c:pt>
                <c:pt idx="25">
                  <c:v>73457.964191270352</c:v>
                </c:pt>
              </c:numCache>
            </c:numRef>
          </c:val>
          <c:smooth val="0"/>
        </c:ser>
        <c:dLbls>
          <c:showLegendKey val="0"/>
          <c:showVal val="0"/>
          <c:showCatName val="0"/>
          <c:showSerName val="0"/>
          <c:showPercent val="0"/>
          <c:showBubbleSize val="0"/>
        </c:dLbls>
        <c:marker val="1"/>
        <c:smooth val="0"/>
        <c:axId val="228665216"/>
        <c:axId val="228679680"/>
      </c:lineChart>
      <c:lineChart>
        <c:grouping val="standard"/>
        <c:varyColors val="0"/>
        <c:ser>
          <c:idx val="1"/>
          <c:order val="1"/>
          <c:tx>
            <c:v>Taku Inlet Fall Wild Coho CPUE</c:v>
          </c:tx>
          <c:spPr>
            <a:ln w="31750">
              <a:solidFill>
                <a:schemeClr val="tx1"/>
              </a:solidFill>
              <a:prstDash val="sysDash"/>
            </a:ln>
          </c:spPr>
          <c:marker>
            <c:symbol val="none"/>
          </c:marker>
          <c:val>
            <c:numRef>
              <c:f>'Taku Table'!$U$11:$U$36</c:f>
              <c:numCache>
                <c:formatCode>0.0</c:formatCode>
                <c:ptCount val="26"/>
                <c:pt idx="0">
                  <c:v>81.845850660095252</c:v>
                </c:pt>
                <c:pt idx="1">
                  <c:v>61.772182161071967</c:v>
                </c:pt>
                <c:pt idx="2">
                  <c:v>74.807767736549977</c:v>
                </c:pt>
                <c:pt idx="3">
                  <c:v>44.074472220600114</c:v>
                </c:pt>
                <c:pt idx="4">
                  <c:v>39.676587924995992</c:v>
                </c:pt>
                <c:pt idx="5">
                  <c:v>18.440695397967986</c:v>
                </c:pt>
                <c:pt idx="6">
                  <c:v>36.598030104593306</c:v>
                </c:pt>
                <c:pt idx="7">
                  <c:v>33.407871331548399</c:v>
                </c:pt>
                <c:pt idx="8">
                  <c:v>28.678174124704519</c:v>
                </c:pt>
                <c:pt idx="9">
                  <c:v>49.301353652307427</c:v>
                </c:pt>
                <c:pt idx="10">
                  <c:v>72.579620295382142</c:v>
                </c:pt>
                <c:pt idx="11">
                  <c:v>48.852062962890919</c:v>
                </c:pt>
                <c:pt idx="12">
                  <c:v>55.734017680595798</c:v>
                </c:pt>
                <c:pt idx="13">
                  <c:v>36.642075586525813</c:v>
                </c:pt>
                <c:pt idx="14">
                  <c:v>62.665213498227573</c:v>
                </c:pt>
                <c:pt idx="15">
                  <c:v>20.096588700062146</c:v>
                </c:pt>
                <c:pt idx="16">
                  <c:v>43.222358456726184</c:v>
                </c:pt>
                <c:pt idx="17">
                  <c:v>38.98826515963971</c:v>
                </c:pt>
                <c:pt idx="18">
                  <c:v>49.571264714156591</c:v>
                </c:pt>
                <c:pt idx="19">
                  <c:v>21.284953088566176</c:v>
                </c:pt>
                <c:pt idx="20">
                  <c:v>32.992223929882734</c:v>
                </c:pt>
                <c:pt idx="21">
                  <c:v>50.584065586141378</c:v>
                </c:pt>
                <c:pt idx="22">
                  <c:v>41.023847660721387</c:v>
                </c:pt>
                <c:pt idx="23">
                  <c:v>28.485770290825741</c:v>
                </c:pt>
                <c:pt idx="24">
                  <c:v>28.844284025028823</c:v>
                </c:pt>
                <c:pt idx="25">
                  <c:v>35.947465614868761</c:v>
                </c:pt>
              </c:numCache>
            </c:numRef>
          </c:val>
          <c:smooth val="0"/>
        </c:ser>
        <c:dLbls>
          <c:showLegendKey val="0"/>
          <c:showVal val="0"/>
          <c:showCatName val="0"/>
          <c:showSerName val="0"/>
          <c:showPercent val="0"/>
          <c:showBubbleSize val="0"/>
        </c:dLbls>
        <c:marker val="1"/>
        <c:smooth val="0"/>
        <c:axId val="228687872"/>
        <c:axId val="228681600"/>
      </c:lineChart>
      <c:catAx>
        <c:axId val="228665216"/>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spPr>
          <a:ln w="15875">
            <a:solidFill>
              <a:schemeClr val="tx1"/>
            </a:solidFill>
          </a:ln>
        </c:spPr>
        <c:txPr>
          <a:bodyPr rot="-5400000" vert="horz"/>
          <a:lstStyle/>
          <a:p>
            <a:pPr>
              <a:defRPr/>
            </a:pPr>
            <a:endParaRPr lang="en-US"/>
          </a:p>
        </c:txPr>
        <c:crossAx val="228679680"/>
        <c:crossesAt val="-2"/>
        <c:auto val="1"/>
        <c:lblAlgn val="ctr"/>
        <c:lblOffset val="100"/>
        <c:noMultiLvlLbl val="0"/>
      </c:catAx>
      <c:valAx>
        <c:axId val="228679680"/>
        <c:scaling>
          <c:orientation val="minMax"/>
          <c:max val="294000"/>
          <c:min val="0"/>
        </c:scaling>
        <c:delete val="0"/>
        <c:axPos val="l"/>
        <c:title>
          <c:tx>
            <c:rich>
              <a:bodyPr rot="-5400000" vert="horz"/>
              <a:lstStyle/>
              <a:p>
                <a:pPr>
                  <a:defRPr sz="1400" b="0" i="0" baseline="0"/>
                </a:pPr>
                <a:r>
                  <a:rPr lang="en-US" sz="1400" b="0" i="0" baseline="0"/>
                  <a:t>Number of Taku River Coho Salmon</a:t>
                </a:r>
              </a:p>
            </c:rich>
          </c:tx>
          <c:overlay val="0"/>
        </c:title>
        <c:numFmt formatCode="#,##0" sourceLinked="0"/>
        <c:majorTickMark val="out"/>
        <c:minorTickMark val="none"/>
        <c:tickLblPos val="nextTo"/>
        <c:spPr>
          <a:ln w="15875">
            <a:solidFill>
              <a:schemeClr val="tx1"/>
            </a:solidFill>
          </a:ln>
        </c:spPr>
        <c:crossAx val="228665216"/>
        <c:crosses val="autoZero"/>
        <c:crossBetween val="between"/>
      </c:valAx>
      <c:valAx>
        <c:axId val="228681600"/>
        <c:scaling>
          <c:orientation val="minMax"/>
          <c:max val="90"/>
          <c:min val="0"/>
        </c:scaling>
        <c:delete val="0"/>
        <c:axPos val="r"/>
        <c:title>
          <c:tx>
            <c:rich>
              <a:bodyPr rot="-5400000" vert="horz"/>
              <a:lstStyle/>
              <a:p>
                <a:pPr>
                  <a:defRPr/>
                </a:pPr>
                <a:r>
                  <a:rPr lang="en-US"/>
                  <a:t>Fall Drift Gillnet Wild CPUE</a:t>
                </a:r>
              </a:p>
            </c:rich>
          </c:tx>
          <c:layout>
            <c:manualLayout>
              <c:xMode val="edge"/>
              <c:yMode val="edge"/>
              <c:x val="0.95130737036248847"/>
              <c:y val="0.2262013194296659"/>
            </c:manualLayout>
          </c:layout>
          <c:overlay val="0"/>
        </c:title>
        <c:numFmt formatCode="0" sourceLinked="0"/>
        <c:majorTickMark val="out"/>
        <c:minorTickMark val="none"/>
        <c:tickLblPos val="nextTo"/>
        <c:spPr>
          <a:ln w="15875">
            <a:solidFill>
              <a:schemeClr val="tx1"/>
            </a:solidFill>
          </a:ln>
        </c:spPr>
        <c:crossAx val="228687872"/>
        <c:crosses val="max"/>
        <c:crossBetween val="between"/>
      </c:valAx>
      <c:catAx>
        <c:axId val="228687872"/>
        <c:scaling>
          <c:orientation val="minMax"/>
        </c:scaling>
        <c:delete val="1"/>
        <c:axPos val="b"/>
        <c:majorTickMark val="out"/>
        <c:minorTickMark val="none"/>
        <c:tickLblPos val="nextTo"/>
        <c:crossAx val="228681600"/>
        <c:crosses val="autoZero"/>
        <c:auto val="1"/>
        <c:lblAlgn val="ctr"/>
        <c:lblOffset val="100"/>
        <c:noMultiLvlLbl val="0"/>
      </c:catAx>
      <c:spPr>
        <a:ln w="3175">
          <a:noFill/>
          <a:prstDash val="solid"/>
        </a:ln>
      </c:spPr>
    </c:plotArea>
    <c:legend>
      <c:legendPos val="r"/>
      <c:layout>
        <c:manualLayout>
          <c:xMode val="edge"/>
          <c:yMode val="edge"/>
          <c:x val="0.3422162319800115"/>
          <c:y val="0.69583119157922313"/>
          <c:w val="0.41969744664171293"/>
          <c:h val="0.11385095574071953"/>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orientation="portrait"/>
  </c:printSettings>
</c:chartSpace>
</file>

<file path=xl/charts/chart1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82112717998217521"/>
          <c:h val="0.77658022379919067"/>
        </c:manualLayout>
      </c:layout>
      <c:lineChart>
        <c:grouping val="standard"/>
        <c:varyColors val="0"/>
        <c:ser>
          <c:idx val="0"/>
          <c:order val="0"/>
          <c:tx>
            <c:v>Taku River</c:v>
          </c:tx>
          <c:spPr>
            <a:ln w="50800">
              <a:solidFill>
                <a:schemeClr val="tx1"/>
              </a:solidFill>
            </a:ln>
          </c:spPr>
          <c:marker>
            <c:symbol val="none"/>
          </c:marker>
          <c:cat>
            <c:numRef>
              <c:f>'Taku Table'!$V$13:$V$41</c:f>
              <c:numCache>
                <c:formatCode>General_)</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'Taku Table'!$AA$13:$AA$41</c:f>
              <c:numCache>
                <c:formatCode>0.00</c:formatCode>
                <c:ptCount val="29"/>
                <c:pt idx="0">
                  <c:v>-0.87804998274711976</c:v>
                </c:pt>
                <c:pt idx="1">
                  <c:v>-0.5091176808902087</c:v>
                </c:pt>
                <c:pt idx="2">
                  <c:v>0.81643009042931924</c:v>
                </c:pt>
                <c:pt idx="3">
                  <c:v>-0.23261025709791899</c:v>
                </c:pt>
                <c:pt idx="4">
                  <c:v>0.6209352899782371</c:v>
                </c:pt>
                <c:pt idx="5">
                  <c:v>6.9814493072543435E-2</c:v>
                </c:pt>
                <c:pt idx="6">
                  <c:v>-0.90437488965112867</c:v>
                </c:pt>
                <c:pt idx="7">
                  <c:v>-1.16990161457089</c:v>
                </c:pt>
                <c:pt idx="8">
                  <c:v>-1.4645583594254155</c:v>
                </c:pt>
                <c:pt idx="9">
                  <c:v>-0.76838684597213203</c:v>
                </c:pt>
                <c:pt idx="10">
                  <c:v>-0.78310769555233373</c:v>
                </c:pt>
                <c:pt idx="11">
                  <c:v>-0.68883671745892494</c:v>
                </c:pt>
                <c:pt idx="12">
                  <c:v>0.26283983504355923</c:v>
                </c:pt>
                <c:pt idx="13">
                  <c:v>3.0191870546485524</c:v>
                </c:pt>
                <c:pt idx="14">
                  <c:v>2.1501294722655713</c:v>
                </c:pt>
                <c:pt idx="15">
                  <c:v>0.86061661449497351</c:v>
                </c:pt>
                <c:pt idx="16">
                  <c:v>1.0100068648764664</c:v>
                </c:pt>
                <c:pt idx="17">
                  <c:v>0.69415593267845843</c:v>
                </c:pt>
                <c:pt idx="18">
                  <c:v>-0.45996826453937256</c:v>
                </c:pt>
                <c:pt idx="19">
                  <c:v>4.3034054992600004E-2</c:v>
                </c:pt>
                <c:pt idx="20">
                  <c:v>0.25219479072171958</c:v>
                </c:pt>
                <c:pt idx="21">
                  <c:v>0.80075022784715011</c:v>
                </c:pt>
                <c:pt idx="22">
                  <c:v>-0.54088498658038342</c:v>
                </c:pt>
                <c:pt idx="23">
                  <c:v>-0.54318661778510546</c:v>
                </c:pt>
                <c:pt idx="24">
                  <c:v>-0.60691303176584821</c:v>
                </c:pt>
                <c:pt idx="25">
                  <c:v>0.73699983854135809</c:v>
                </c:pt>
                <c:pt idx="26">
                  <c:v>-0.79725313733135494</c:v>
                </c:pt>
                <c:pt idx="27">
                  <c:v>-0.13730834002739511</c:v>
                </c:pt>
                <c:pt idx="28">
                  <c:v>-0.85263613819498008</c:v>
                </c:pt>
              </c:numCache>
            </c:numRef>
          </c:val>
          <c:smooth val="0"/>
        </c:ser>
        <c:ser>
          <c:idx val="1"/>
          <c:order val="1"/>
          <c:tx>
            <c:v>Berners River</c:v>
          </c:tx>
          <c:spPr>
            <a:ln>
              <a:solidFill>
                <a:srgbClr val="FF0000"/>
              </a:solidFill>
              <a:prstDash val="sysDash"/>
            </a:ln>
          </c:spPr>
          <c:marker>
            <c:symbol val="none"/>
          </c:marker>
          <c:cat>
            <c:numRef>
              <c:f>'Taku Table'!$V$13:$V$41</c:f>
              <c:numCache>
                <c:formatCode>General_)</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'Taku Table'!$AB$13:$AB$41</c:f>
              <c:numCache>
                <c:formatCode>0.00</c:formatCode>
                <c:ptCount val="29"/>
                <c:pt idx="0">
                  <c:v>-0.44647032352108029</c:v>
                </c:pt>
                <c:pt idx="1">
                  <c:v>0.21395485502656481</c:v>
                </c:pt>
                <c:pt idx="2">
                  <c:v>0.30351421939844114</c:v>
                </c:pt>
                <c:pt idx="3">
                  <c:v>1.0067656040635102</c:v>
                </c:pt>
                <c:pt idx="4">
                  <c:v>1.075738336021046</c:v>
                </c:pt>
                <c:pt idx="5">
                  <c:v>1.1223212268856124</c:v>
                </c:pt>
                <c:pt idx="6">
                  <c:v>-0.924621158137373</c:v>
                </c:pt>
                <c:pt idx="7">
                  <c:v>-0.71860456660408034</c:v>
                </c:pt>
                <c:pt idx="8">
                  <c:v>2.7473024178412912E-2</c:v>
                </c:pt>
                <c:pt idx="9">
                  <c:v>-0.57825482445083787</c:v>
                </c:pt>
                <c:pt idx="10">
                  <c:v>3.2799744068154483E-3</c:v>
                </c:pt>
                <c:pt idx="11">
                  <c:v>0.13942222964325832</c:v>
                </c:pt>
                <c:pt idx="12">
                  <c:v>1.7508897187774894</c:v>
                </c:pt>
                <c:pt idx="13">
                  <c:v>3.3195310017942967</c:v>
                </c:pt>
                <c:pt idx="14">
                  <c:v>3.8743078419840302E-2</c:v>
                </c:pt>
                <c:pt idx="15">
                  <c:v>0.84823350773409834</c:v>
                </c:pt>
                <c:pt idx="16">
                  <c:v>-0.87337997818634983</c:v>
                </c:pt>
                <c:pt idx="17">
                  <c:v>-0.82679708732178325</c:v>
                </c:pt>
                <c:pt idx="18">
                  <c:v>-1.1168131498011815</c:v>
                </c:pt>
                <c:pt idx="19">
                  <c:v>-0.56563236370043923</c:v>
                </c:pt>
                <c:pt idx="20">
                  <c:v>-1.0580586003558734</c:v>
                </c:pt>
                <c:pt idx="21">
                  <c:v>-0.44436658006268048</c:v>
                </c:pt>
                <c:pt idx="22">
                  <c:v>-0.71860456660408034</c:v>
                </c:pt>
                <c:pt idx="23">
                  <c:v>-0.82484361125326922</c:v>
                </c:pt>
                <c:pt idx="24">
                  <c:v>-0.67562809309677052</c:v>
                </c:pt>
                <c:pt idx="25">
                  <c:v>1.0402752320080211</c:v>
                </c:pt>
                <c:pt idx="26">
                  <c:v>7.0366591539579113E-3</c:v>
                </c:pt>
                <c:pt idx="27">
                  <c:v>-0.59117781998100793</c:v>
                </c:pt>
                <c:pt idx="28">
                  <c:v>-0.53392594443455688</c:v>
                </c:pt>
              </c:numCache>
            </c:numRef>
          </c:val>
          <c:smooth val="0"/>
        </c:ser>
        <c:ser>
          <c:idx val="2"/>
          <c:order val="2"/>
          <c:tx>
            <c:v>Chillkat River</c:v>
          </c:tx>
          <c:spPr>
            <a:ln>
              <a:solidFill>
                <a:srgbClr val="00B0F0"/>
              </a:solidFill>
              <a:prstDash val="sysDash"/>
            </a:ln>
          </c:spPr>
          <c:marker>
            <c:symbol val="none"/>
          </c:marker>
          <c:cat>
            <c:numRef>
              <c:f>'Taku Table'!$V$13:$V$41</c:f>
              <c:numCache>
                <c:formatCode>General_)</c:formatCode>
                <c:ptCount val="29"/>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numCache>
            </c:numRef>
          </c:cat>
          <c:val>
            <c:numRef>
              <c:f>'Taku Table'!$AC$13:$AC$41</c:f>
              <c:numCache>
                <c:formatCode>0.00</c:formatCode>
                <c:ptCount val="29"/>
                <c:pt idx="0">
                  <c:v>-0.53018192599790093</c:v>
                </c:pt>
                <c:pt idx="1">
                  <c:v>0.16439799955252204</c:v>
                </c:pt>
                <c:pt idx="2">
                  <c:v>0.27001028570158281</c:v>
                </c:pt>
                <c:pt idx="3">
                  <c:v>0.11464780162043892</c:v>
                </c:pt>
                <c:pt idx="4">
                  <c:v>-0.31976380435402157</c:v>
                </c:pt>
                <c:pt idx="5">
                  <c:v>2.7346928001539044</c:v>
                </c:pt>
                <c:pt idx="6">
                  <c:v>-0.3529480242548485</c:v>
                </c:pt>
                <c:pt idx="7">
                  <c:v>-0.78811381704523686</c:v>
                </c:pt>
                <c:pt idx="8">
                  <c:v>-0.64934344291450641</c:v>
                </c:pt>
                <c:pt idx="9">
                  <c:v>-0.48702116901646519</c:v>
                </c:pt>
                <c:pt idx="10">
                  <c:v>-0.34389778246371389</c:v>
                </c:pt>
                <c:pt idx="11">
                  <c:v>0.27732949230316478</c:v>
                </c:pt>
                <c:pt idx="12">
                  <c:v>0.78982677890427444</c:v>
                </c:pt>
                <c:pt idx="13">
                  <c:v>2.9701490936698596</c:v>
                </c:pt>
                <c:pt idx="14">
                  <c:v>1.3596868054688758</c:v>
                </c:pt>
                <c:pt idx="15">
                  <c:v>-0.121608406035583</c:v>
                </c:pt>
                <c:pt idx="16">
                  <c:v>-0.84992234995047056</c:v>
                </c:pt>
                <c:pt idx="17">
                  <c:v>0.14742239589639883</c:v>
                </c:pt>
                <c:pt idx="18">
                  <c:v>-1.069797903250719</c:v>
                </c:pt>
                <c:pt idx="19">
                  <c:v>-0.3611953934358742</c:v>
                </c:pt>
                <c:pt idx="20">
                  <c:v>-0.55086468765448737</c:v>
                </c:pt>
                <c:pt idx="21">
                  <c:v>0.27880953172364575</c:v>
                </c:pt>
                <c:pt idx="22">
                  <c:v>-0.25512590163473442</c:v>
                </c:pt>
                <c:pt idx="23">
                  <c:v>-0.79641668241611119</c:v>
                </c:pt>
                <c:pt idx="24">
                  <c:v>-0.47432870974385527</c:v>
                </c:pt>
                <c:pt idx="25">
                  <c:v>1.2944529467691896</c:v>
                </c:pt>
                <c:pt idx="26">
                  <c:v>-0.56295167625508236</c:v>
                </c:pt>
                <c:pt idx="27">
                  <c:v>-1.0359363952972898</c:v>
                </c:pt>
                <c:pt idx="28">
                  <c:v>-0.85200786004296658</c:v>
                </c:pt>
              </c:numCache>
            </c:numRef>
          </c:val>
          <c:smooth val="0"/>
        </c:ser>
        <c:dLbls>
          <c:showLegendKey val="0"/>
          <c:showVal val="0"/>
          <c:showCatName val="0"/>
          <c:showSerName val="0"/>
          <c:showPercent val="0"/>
          <c:showBubbleSize val="0"/>
        </c:dLbls>
        <c:marker val="1"/>
        <c:smooth val="0"/>
        <c:axId val="228795520"/>
        <c:axId val="228797440"/>
      </c:lineChart>
      <c:catAx>
        <c:axId val="228795520"/>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28797440"/>
        <c:crossesAt val="-2"/>
        <c:auto val="1"/>
        <c:lblAlgn val="ctr"/>
        <c:lblOffset val="100"/>
        <c:noMultiLvlLbl val="0"/>
      </c:catAx>
      <c:valAx>
        <c:axId val="228797440"/>
        <c:scaling>
          <c:orientation val="minMax"/>
          <c:max val="3.5"/>
          <c:min val="-2"/>
        </c:scaling>
        <c:delete val="0"/>
        <c:axPos val="l"/>
        <c:title>
          <c:tx>
            <c:rich>
              <a:bodyPr rot="-5400000" vert="horz"/>
              <a:lstStyle/>
              <a:p>
                <a:pPr>
                  <a:defRPr sz="1400" b="0" i="0" baseline="0"/>
                </a:pPr>
                <a:r>
                  <a:rPr lang="en-US" sz="1400" b="0" i="0" baseline="0"/>
                  <a:t>Standardized Escapement</a:t>
                </a:r>
              </a:p>
            </c:rich>
          </c:tx>
          <c:overlay val="0"/>
        </c:title>
        <c:numFmt formatCode="0.0" sourceLinked="0"/>
        <c:majorTickMark val="out"/>
        <c:minorTickMark val="none"/>
        <c:tickLblPos val="nextTo"/>
        <c:crossAx val="228795520"/>
        <c:crosses val="autoZero"/>
        <c:crossBetween val="between"/>
      </c:valAx>
    </c:plotArea>
    <c:legend>
      <c:legendPos val="r"/>
      <c:layout>
        <c:manualLayout>
          <c:xMode val="edge"/>
          <c:yMode val="edge"/>
          <c:x val="0.68822833526251859"/>
          <c:y val="4.7182650303693958E-2"/>
          <c:w val="0.24925331859386304"/>
          <c:h val="0.16834848116345605"/>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82112717998217521"/>
          <c:h val="0.77658022379919067"/>
        </c:manualLayout>
      </c:layout>
      <c:lineChart>
        <c:grouping val="standard"/>
        <c:varyColors val="0"/>
        <c:ser>
          <c:idx val="1"/>
          <c:order val="0"/>
          <c:tx>
            <c:v>Berners River</c:v>
          </c:tx>
          <c:spPr>
            <a:ln>
              <a:solidFill>
                <a:srgbClr val="00B0F0"/>
              </a:solidFill>
              <a:prstDash val="solid"/>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Table'!$AK$16:$AK$41</c:f>
              <c:numCache>
                <c:formatCode>0.00</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-0.20078982036877399</c:v>
                </c:pt>
                <c:pt idx="9">
                  <c:v>0.56706700571158453</c:v>
                </c:pt>
                <c:pt idx="10">
                  <c:v>1.7511134221743097</c:v>
                </c:pt>
                <c:pt idx="11">
                  <c:v>0.25109178479543104</c:v>
                </c:pt>
                <c:pt idx="12">
                  <c:v>0.55830466311194404</c:v>
                </c:pt>
                <c:pt idx="13">
                  <c:v>-0.80300354144915487</c:v>
                </c:pt>
                <c:pt idx="14">
                  <c:v>-0.61516841840871128</c:v>
                </c:pt>
                <c:pt idx="15">
                  <c:v>-1.0646058041216697</c:v>
                </c:pt>
                <c:pt idx="16">
                  <c:v>-0.68234936757617837</c:v>
                </c:pt>
                <c:pt idx="17">
                  <c:v>-1.0242113371390071</c:v>
                </c:pt>
                <c:pt idx="18">
                  <c:v>-0.22502911896113897</c:v>
                </c:pt>
                <c:pt idx="19">
                  <c:v>-0.83479596906901143</c:v>
                </c:pt>
                <c:pt idx="20">
                  <c:v>-1.0533659698664239</c:v>
                </c:pt>
                <c:pt idx="21">
                  <c:v>-0.28803204747310002</c:v>
                </c:pt>
                <c:pt idx="22">
                  <c:v>0.18088786301170928</c:v>
                </c:pt>
                <c:pt idx="23">
                  <c:v>-0.56071183746077569</c:v>
                </c:pt>
                <c:pt idx="24">
                  <c:v>-0.94997673184383291</c:v>
                </c:pt>
                <c:pt idx="25">
                  <c:v>-0.68401825544714512</c:v>
                </c:pt>
              </c:numCache>
            </c:numRef>
          </c:val>
          <c:smooth val="0"/>
        </c:ser>
        <c:ser>
          <c:idx val="2"/>
          <c:order val="1"/>
          <c:tx>
            <c:v>Chilkat River (Adjusted)</c:v>
          </c:tx>
          <c:spPr>
            <a:ln>
              <a:solidFill>
                <a:srgbClr val="00B0F0"/>
              </a:solidFill>
              <a:prstDash val="sysDash"/>
            </a:ln>
          </c:spPr>
          <c:marker>
            <c:symbol val="none"/>
          </c:marker>
          <c:val>
            <c:numRef>
              <c:f>'Taku Table'!$AL$16:$AL$41</c:f>
              <c:numCache>
                <c:formatCode>0.00</c:formatCode>
                <c:ptCount val="26"/>
                <c:pt idx="8">
                  <c:v>-0.28806015115841838</c:v>
                </c:pt>
                <c:pt idx="9">
                  <c:v>3.2590902532561014E-2</c:v>
                </c:pt>
                <c:pt idx="10">
                  <c:v>1.956465877425168</c:v>
                </c:pt>
                <c:pt idx="11">
                  <c:v>0.69348504320779003</c:v>
                </c:pt>
                <c:pt idx="12">
                  <c:v>0.44411764345104543</c:v>
                </c:pt>
                <c:pt idx="13">
                  <c:v>-0.91477533668576094</c:v>
                </c:pt>
                <c:pt idx="14">
                  <c:v>-7.7970859748022051E-2</c:v>
                </c:pt>
                <c:pt idx="15">
                  <c:v>-1.196169180199238</c:v>
                </c:pt>
                <c:pt idx="16">
                  <c:v>-0.46608120247438978</c:v>
                </c:pt>
                <c:pt idx="17">
                  <c:v>-0.78002394396575336</c:v>
                </c:pt>
                <c:pt idx="18">
                  <c:v>1.6676946956213978E-2</c:v>
                </c:pt>
                <c:pt idx="19">
                  <c:v>-0.57497111124728051</c:v>
                </c:pt>
                <c:pt idx="20">
                  <c:v>-0.91585159238133784</c:v>
                </c:pt>
                <c:pt idx="21">
                  <c:v>-0.32610526754284352</c:v>
                </c:pt>
                <c:pt idx="22">
                  <c:v>3.8651371497945966E-2</c:v>
                </c:pt>
                <c:pt idx="23">
                  <c:v>-0.84564419414268011</c:v>
                </c:pt>
                <c:pt idx="24">
                  <c:v>-1.1726378420784676</c:v>
                </c:pt>
                <c:pt idx="25">
                  <c:v>-1.0469876018909605</c:v>
                </c:pt>
              </c:numCache>
            </c:numRef>
          </c:val>
          <c:smooth val="0"/>
        </c:ser>
        <c:ser>
          <c:idx val="3"/>
          <c:order val="2"/>
          <c:tx>
            <c:v>Taku Inlet Fall Wild CPUE</c:v>
          </c:tx>
          <c:spPr>
            <a:ln>
              <a:solidFill>
                <a:schemeClr val="tx1"/>
              </a:solidFill>
              <a:prstDash val="sysDash"/>
            </a:ln>
          </c:spPr>
          <c:marker>
            <c:symbol val="none"/>
          </c:marker>
          <c:val>
            <c:numRef>
              <c:f>'Taku Table'!$AM$16:$AM$41</c:f>
              <c:numCache>
                <c:formatCode>0.00</c:formatCode>
                <c:ptCount val="26"/>
                <c:pt idx="0">
                  <c:v>2.2749750531124984</c:v>
                </c:pt>
                <c:pt idx="1">
                  <c:v>1.0779044482524991</c:v>
                </c:pt>
                <c:pt idx="2">
                  <c:v>1.8552669074512751</c:v>
                </c:pt>
                <c:pt idx="3">
                  <c:v>2.2521455148459799E-2</c:v>
                </c:pt>
                <c:pt idx="4">
                  <c:v>-0.23974141992588319</c:v>
                </c:pt>
                <c:pt idx="5">
                  <c:v>-1.5061199452715739</c:v>
                </c:pt>
                <c:pt idx="6">
                  <c:v>-0.42332774707606186</c:v>
                </c:pt>
                <c:pt idx="7">
                  <c:v>-0.61356927130139771</c:v>
                </c:pt>
                <c:pt idx="8">
                  <c:v>-0.89561943549917422</c:v>
                </c:pt>
                <c:pt idx="9">
                  <c:v>0.3342206404413629</c:v>
                </c:pt>
                <c:pt idx="10">
                  <c:v>1.7223938451484966</c:v>
                </c:pt>
                <c:pt idx="11">
                  <c:v>0.30742769637316958</c:v>
                </c:pt>
                <c:pt idx="12">
                  <c:v>0.71782531238157121</c:v>
                </c:pt>
                <c:pt idx="13">
                  <c:v>-0.42070114438503597</c:v>
                </c:pt>
                <c:pt idx="14">
                  <c:v>1.1311593659064301</c:v>
                </c:pt>
                <c:pt idx="15">
                  <c:v>-1.4073726138200295</c:v>
                </c:pt>
                <c:pt idx="16">
                  <c:v>-2.8293389122766861E-2</c:v>
                </c:pt>
                <c:pt idx="17">
                  <c:v>-0.28078877253629636</c:v>
                </c:pt>
                <c:pt idx="18">
                  <c:v>0.35031648251835573</c:v>
                </c:pt>
                <c:pt idx="19">
                  <c:v>-1.3365058423871039</c:v>
                </c:pt>
                <c:pt idx="20">
                  <c:v>-0.63835593580891481</c:v>
                </c:pt>
                <c:pt idx="21">
                  <c:v>0.41071372144299745</c:v>
                </c:pt>
                <c:pt idx="22">
                  <c:v>-0.15939910348149275</c:v>
                </c:pt>
                <c:pt idx="23">
                  <c:v>-0.90709322135998283</c:v>
                </c:pt>
                <c:pt idx="24">
                  <c:v>-0.88571365874172081</c:v>
                </c:pt>
                <c:pt idx="25">
                  <c:v>-0.46212342745968926</c:v>
                </c:pt>
              </c:numCache>
            </c:numRef>
          </c:val>
          <c:smooth val="0"/>
        </c:ser>
        <c:dLbls>
          <c:showLegendKey val="0"/>
          <c:showVal val="0"/>
          <c:showCatName val="0"/>
          <c:showSerName val="0"/>
          <c:showPercent val="0"/>
          <c:showBubbleSize val="0"/>
        </c:dLbls>
        <c:marker val="1"/>
        <c:smooth val="0"/>
        <c:axId val="228836096"/>
        <c:axId val="228838016"/>
      </c:lineChart>
      <c:catAx>
        <c:axId val="228836096"/>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28838016"/>
        <c:crossesAt val="-2"/>
        <c:auto val="1"/>
        <c:lblAlgn val="ctr"/>
        <c:lblOffset val="100"/>
        <c:noMultiLvlLbl val="0"/>
      </c:catAx>
      <c:valAx>
        <c:axId val="228838016"/>
        <c:scaling>
          <c:orientation val="minMax"/>
          <c:max val="3.5"/>
          <c:min val="-2"/>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28836096"/>
        <c:crosses val="autoZero"/>
        <c:crossBetween val="between"/>
      </c:valAx>
    </c:plotArea>
    <c:legend>
      <c:legendPos val="r"/>
      <c:layout>
        <c:manualLayout>
          <c:xMode val="edge"/>
          <c:yMode val="edge"/>
          <c:x val="0.53983038514420034"/>
          <c:y val="3.8449027851544922E-2"/>
          <c:w val="0.40367765599931732"/>
          <c:h val="0.25387838167122101"/>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043807227679603"/>
          <c:y val="7.180610784855905E-2"/>
          <c:w val="0.71559875862422728"/>
          <c:h val="0.72885541481227889"/>
        </c:manualLayout>
      </c:layout>
      <c:scatterChart>
        <c:scatterStyle val="lineMarker"/>
        <c:varyColors val="0"/>
        <c:ser>
          <c:idx val="0"/>
          <c:order val="0"/>
          <c:spPr>
            <a:ln w="28575">
              <a:noFill/>
            </a:ln>
          </c:spPr>
          <c:trendline>
            <c:trendlineType val="linear"/>
            <c:dispRSqr val="1"/>
            <c:dispEq val="1"/>
            <c:trendlineLbl>
              <c:layout>
                <c:manualLayout>
                  <c:x val="-0.1840802961519061"/>
                  <c:y val="-4.5857144111166705E-3"/>
                </c:manualLayout>
              </c:layout>
              <c:numFmt formatCode="General" sourceLinked="0"/>
            </c:trendlineLbl>
          </c:trendline>
          <c:xVal>
            <c:numRef>
              <c:f>'Taku Table'!$AK$16:$AK$41</c:f>
              <c:numCache>
                <c:formatCode>0.00</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-0.20078982036877399</c:v>
                </c:pt>
                <c:pt idx="9">
                  <c:v>0.56706700571158453</c:v>
                </c:pt>
                <c:pt idx="10">
                  <c:v>1.7511134221743097</c:v>
                </c:pt>
                <c:pt idx="11">
                  <c:v>0.25109178479543104</c:v>
                </c:pt>
                <c:pt idx="12">
                  <c:v>0.55830466311194404</c:v>
                </c:pt>
                <c:pt idx="13">
                  <c:v>-0.80300354144915487</c:v>
                </c:pt>
                <c:pt idx="14">
                  <c:v>-0.61516841840871128</c:v>
                </c:pt>
                <c:pt idx="15">
                  <c:v>-1.0646058041216697</c:v>
                </c:pt>
                <c:pt idx="16">
                  <c:v>-0.68234936757617837</c:v>
                </c:pt>
                <c:pt idx="17">
                  <c:v>-1.0242113371390071</c:v>
                </c:pt>
                <c:pt idx="18">
                  <c:v>-0.22502911896113897</c:v>
                </c:pt>
                <c:pt idx="19">
                  <c:v>-0.83479596906901143</c:v>
                </c:pt>
                <c:pt idx="20">
                  <c:v>-1.0533659698664239</c:v>
                </c:pt>
                <c:pt idx="21">
                  <c:v>-0.28803204747310002</c:v>
                </c:pt>
                <c:pt idx="22">
                  <c:v>0.18088786301170928</c:v>
                </c:pt>
                <c:pt idx="23">
                  <c:v>-0.56071183746077569</c:v>
                </c:pt>
                <c:pt idx="24">
                  <c:v>-0.94997673184383291</c:v>
                </c:pt>
                <c:pt idx="25">
                  <c:v>-0.68401825544714512</c:v>
                </c:pt>
              </c:numCache>
            </c:numRef>
          </c:xVal>
          <c:yVal>
            <c:numRef>
              <c:f>'Taku Table'!$AM$16:$AM$41</c:f>
              <c:numCache>
                <c:formatCode>0.00</c:formatCode>
                <c:ptCount val="26"/>
                <c:pt idx="0">
                  <c:v>2.2749750531124984</c:v>
                </c:pt>
                <c:pt idx="1">
                  <c:v>1.0779044482524991</c:v>
                </c:pt>
                <c:pt idx="2">
                  <c:v>1.8552669074512751</c:v>
                </c:pt>
                <c:pt idx="3">
                  <c:v>2.2521455148459799E-2</c:v>
                </c:pt>
                <c:pt idx="4">
                  <c:v>-0.23974141992588319</c:v>
                </c:pt>
                <c:pt idx="5">
                  <c:v>-1.5061199452715739</c:v>
                </c:pt>
                <c:pt idx="6">
                  <c:v>-0.42332774707606186</c:v>
                </c:pt>
                <c:pt idx="7">
                  <c:v>-0.61356927130139771</c:v>
                </c:pt>
                <c:pt idx="8">
                  <c:v>-0.89561943549917422</c:v>
                </c:pt>
                <c:pt idx="9">
                  <c:v>0.3342206404413629</c:v>
                </c:pt>
                <c:pt idx="10">
                  <c:v>1.7223938451484966</c:v>
                </c:pt>
                <c:pt idx="11">
                  <c:v>0.30742769637316958</c:v>
                </c:pt>
                <c:pt idx="12">
                  <c:v>0.71782531238157121</c:v>
                </c:pt>
                <c:pt idx="13">
                  <c:v>-0.42070114438503597</c:v>
                </c:pt>
                <c:pt idx="14">
                  <c:v>1.1311593659064301</c:v>
                </c:pt>
                <c:pt idx="15">
                  <c:v>-1.4073726138200295</c:v>
                </c:pt>
                <c:pt idx="16">
                  <c:v>-2.8293389122766861E-2</c:v>
                </c:pt>
                <c:pt idx="17">
                  <c:v>-0.28078877253629636</c:v>
                </c:pt>
                <c:pt idx="18">
                  <c:v>0.35031648251835573</c:v>
                </c:pt>
                <c:pt idx="19">
                  <c:v>-1.3365058423871039</c:v>
                </c:pt>
                <c:pt idx="20">
                  <c:v>-0.63835593580891481</c:v>
                </c:pt>
                <c:pt idx="21">
                  <c:v>0.41071372144299745</c:v>
                </c:pt>
                <c:pt idx="22">
                  <c:v>-0.15939910348149275</c:v>
                </c:pt>
                <c:pt idx="23">
                  <c:v>-0.90709322135998283</c:v>
                </c:pt>
                <c:pt idx="24">
                  <c:v>-0.88571365874172081</c:v>
                </c:pt>
                <c:pt idx="25">
                  <c:v>-0.46212342745968926</c:v>
                </c:pt>
              </c:numCache>
            </c:numRef>
          </c:yVal>
          <c:smooth val="0"/>
        </c:ser>
        <c:dLbls>
          <c:showLegendKey val="0"/>
          <c:showVal val="0"/>
          <c:showCatName val="0"/>
          <c:showSerName val="0"/>
          <c:showPercent val="0"/>
          <c:showBubbleSize val="0"/>
        </c:dLbls>
        <c:axId val="229916672"/>
        <c:axId val="229918592"/>
      </c:scatterChart>
      <c:valAx>
        <c:axId val="229916672"/>
        <c:scaling>
          <c:orientation val="minMax"/>
        </c:scaling>
        <c:delete val="0"/>
        <c:axPos val="b"/>
        <c:title>
          <c:tx>
            <c:rich>
              <a:bodyPr/>
              <a:lstStyle/>
              <a:p>
                <a:pPr>
                  <a:defRPr sz="1200"/>
                </a:pPr>
                <a:r>
                  <a:rPr lang="en-US" sz="1200"/>
                  <a:t>Berners Run</a:t>
                </a:r>
              </a:p>
            </c:rich>
          </c:tx>
          <c:layout>
            <c:manualLayout>
              <c:xMode val="edge"/>
              <c:yMode val="edge"/>
              <c:x val="0.42411141604042168"/>
              <c:y val="0.89453734671125973"/>
            </c:manualLayout>
          </c:layout>
          <c:overlay val="0"/>
        </c:title>
        <c:numFmt formatCode="0.0" sourceLinked="0"/>
        <c:majorTickMark val="out"/>
        <c:minorTickMark val="none"/>
        <c:tickLblPos val="nextTo"/>
        <c:crossAx val="229918592"/>
        <c:crossesAt val="-2"/>
        <c:crossBetween val="midCat"/>
      </c:valAx>
      <c:valAx>
        <c:axId val="229918592"/>
        <c:scaling>
          <c:orientation val="minMax"/>
        </c:scaling>
        <c:delete val="0"/>
        <c:axPos val="l"/>
        <c:title>
          <c:tx>
            <c:rich>
              <a:bodyPr rot="-5400000" vert="horz"/>
              <a:lstStyle/>
              <a:p>
                <a:pPr>
                  <a:defRPr sz="1200"/>
                </a:pPr>
                <a:r>
                  <a:rPr lang="en-US" sz="1200"/>
                  <a:t>Taku Inlet Fall Wild CPUE</a:t>
                </a:r>
              </a:p>
            </c:rich>
          </c:tx>
          <c:layout>
            <c:manualLayout>
              <c:xMode val="edge"/>
              <c:yMode val="edge"/>
              <c:x val="1.6682996058717415E-2"/>
              <c:y val="0.15398730677060016"/>
            </c:manualLayout>
          </c:layout>
          <c:overlay val="0"/>
        </c:title>
        <c:numFmt formatCode="0.0" sourceLinked="0"/>
        <c:majorTickMark val="out"/>
        <c:minorTickMark val="none"/>
        <c:tickLblPos val="nextTo"/>
        <c:crossAx val="229916672"/>
        <c:crossesAt val="-2"/>
        <c:crossBetween val="midCat"/>
      </c:valAx>
    </c:plotArea>
    <c:plotVisOnly val="1"/>
    <c:dispBlanksAs val="gap"/>
    <c:showDLblsOverMax val="0"/>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043807227679603"/>
          <c:y val="7.180610784855905E-2"/>
          <c:w val="0.71559875862422728"/>
          <c:h val="0.72885541481227889"/>
        </c:manualLayout>
      </c:layout>
      <c:scatterChart>
        <c:scatterStyle val="lineMarker"/>
        <c:varyColors val="0"/>
        <c:ser>
          <c:idx val="0"/>
          <c:order val="0"/>
          <c:spPr>
            <a:ln w="28575">
              <a:noFill/>
            </a:ln>
          </c:spPr>
          <c:trendline>
            <c:trendlineType val="linear"/>
            <c:dispRSqr val="1"/>
            <c:dispEq val="1"/>
            <c:trendlineLbl>
              <c:numFmt formatCode="General" sourceLinked="0"/>
            </c:trendlineLbl>
          </c:trendline>
          <c:xVal>
            <c:numRef>
              <c:f>'Taku Table'!$AO$24:$AO$41</c:f>
              <c:numCache>
                <c:formatCode>General_)</c:formatCode>
                <c:ptCount val="18"/>
                <c:pt idx="0">
                  <c:v>-0.24442498576359617</c:v>
                </c:pt>
                <c:pt idx="1">
                  <c:v>0.29982895412207278</c:v>
                </c:pt>
                <c:pt idx="2">
                  <c:v>1.8537896497997388</c:v>
                </c:pt>
                <c:pt idx="3">
                  <c:v>0.47228841400161053</c:v>
                </c:pt>
                <c:pt idx="4">
                  <c:v>0.50121115328149468</c:v>
                </c:pt>
                <c:pt idx="5">
                  <c:v>-0.85888943906745796</c:v>
                </c:pt>
                <c:pt idx="6">
                  <c:v>-0.34656963907836669</c:v>
                </c:pt>
                <c:pt idx="7">
                  <c:v>-1.130387492160454</c:v>
                </c:pt>
                <c:pt idx="8">
                  <c:v>-0.57421528502528407</c:v>
                </c:pt>
                <c:pt idx="9">
                  <c:v>-0.90211764055238031</c:v>
                </c:pt>
                <c:pt idx="10">
                  <c:v>-0.1041760860024625</c:v>
                </c:pt>
                <c:pt idx="11">
                  <c:v>-0.70488354015814592</c:v>
                </c:pt>
                <c:pt idx="12">
                  <c:v>-0.98460878112388084</c:v>
                </c:pt>
                <c:pt idx="13">
                  <c:v>-0.30706865750797174</c:v>
                </c:pt>
                <c:pt idx="14">
                  <c:v>0.10976961725482762</c:v>
                </c:pt>
                <c:pt idx="15">
                  <c:v>-0.7031780158017279</c:v>
                </c:pt>
                <c:pt idx="16">
                  <c:v>-1.0613072869611502</c:v>
                </c:pt>
                <c:pt idx="17">
                  <c:v>-0.86550292866905276</c:v>
                </c:pt>
              </c:numCache>
            </c:numRef>
          </c:xVal>
          <c:yVal>
            <c:numRef>
              <c:f>'Taku Table'!$AM$24:$AM$41</c:f>
              <c:numCache>
                <c:formatCode>0.00</c:formatCode>
                <c:ptCount val="18"/>
                <c:pt idx="0">
                  <c:v>-0.89561943549917422</c:v>
                </c:pt>
                <c:pt idx="1">
                  <c:v>0.3342206404413629</c:v>
                </c:pt>
                <c:pt idx="2">
                  <c:v>1.7223938451484966</c:v>
                </c:pt>
                <c:pt idx="3">
                  <c:v>0.30742769637316958</c:v>
                </c:pt>
                <c:pt idx="4">
                  <c:v>0.71782531238157121</c:v>
                </c:pt>
                <c:pt idx="5">
                  <c:v>-0.42070114438503597</c:v>
                </c:pt>
                <c:pt idx="6">
                  <c:v>1.1311593659064301</c:v>
                </c:pt>
                <c:pt idx="7">
                  <c:v>-1.4073726138200295</c:v>
                </c:pt>
                <c:pt idx="8">
                  <c:v>-2.8293389122766861E-2</c:v>
                </c:pt>
                <c:pt idx="9">
                  <c:v>-0.28078877253629636</c:v>
                </c:pt>
                <c:pt idx="10">
                  <c:v>0.35031648251835573</c:v>
                </c:pt>
                <c:pt idx="11">
                  <c:v>-1.3365058423871039</c:v>
                </c:pt>
                <c:pt idx="12">
                  <c:v>-0.63835593580891481</c:v>
                </c:pt>
                <c:pt idx="13">
                  <c:v>0.41071372144299745</c:v>
                </c:pt>
                <c:pt idx="14">
                  <c:v>-0.15939910348149275</c:v>
                </c:pt>
                <c:pt idx="15">
                  <c:v>-0.90709322135998283</c:v>
                </c:pt>
                <c:pt idx="16">
                  <c:v>-0.88571365874172081</c:v>
                </c:pt>
                <c:pt idx="17">
                  <c:v>-0.46212342745968926</c:v>
                </c:pt>
              </c:numCache>
            </c:numRef>
          </c:yVal>
          <c:smooth val="0"/>
        </c:ser>
        <c:dLbls>
          <c:showLegendKey val="0"/>
          <c:showVal val="0"/>
          <c:showCatName val="0"/>
          <c:showSerName val="0"/>
          <c:showPercent val="0"/>
          <c:showBubbleSize val="0"/>
        </c:dLbls>
        <c:axId val="229951744"/>
        <c:axId val="229978496"/>
      </c:scatterChart>
      <c:valAx>
        <c:axId val="229951744"/>
        <c:scaling>
          <c:orientation val="minMax"/>
        </c:scaling>
        <c:delete val="0"/>
        <c:axPos val="b"/>
        <c:title>
          <c:tx>
            <c:rich>
              <a:bodyPr/>
              <a:lstStyle/>
              <a:p>
                <a:pPr>
                  <a:defRPr sz="1200"/>
                </a:pPr>
                <a:r>
                  <a:rPr lang="en-US" sz="1200"/>
                  <a:t>Berners-Chilkat Run</a:t>
                </a:r>
              </a:p>
            </c:rich>
          </c:tx>
          <c:layout>
            <c:manualLayout>
              <c:xMode val="edge"/>
              <c:yMode val="edge"/>
              <c:x val="0.33290620431403734"/>
              <c:y val="0.89453734671125973"/>
            </c:manualLayout>
          </c:layout>
          <c:overlay val="0"/>
        </c:title>
        <c:numFmt formatCode="0.0" sourceLinked="0"/>
        <c:majorTickMark val="out"/>
        <c:minorTickMark val="none"/>
        <c:tickLblPos val="nextTo"/>
        <c:crossAx val="229978496"/>
        <c:crossesAt val="-2"/>
        <c:crossBetween val="midCat"/>
      </c:valAx>
      <c:valAx>
        <c:axId val="229978496"/>
        <c:scaling>
          <c:orientation val="minMax"/>
        </c:scaling>
        <c:delete val="0"/>
        <c:axPos val="l"/>
        <c:title>
          <c:tx>
            <c:rich>
              <a:bodyPr rot="-5400000" vert="horz"/>
              <a:lstStyle/>
              <a:p>
                <a:pPr>
                  <a:defRPr sz="1200"/>
                </a:pPr>
                <a:r>
                  <a:rPr lang="en-US" sz="1200"/>
                  <a:t>Taku Inlet Fall Wild CPUE</a:t>
                </a:r>
              </a:p>
            </c:rich>
          </c:tx>
          <c:layout>
            <c:manualLayout>
              <c:xMode val="edge"/>
              <c:yMode val="edge"/>
              <c:x val="1.6682996058717415E-2"/>
              <c:y val="0.15398730677060016"/>
            </c:manualLayout>
          </c:layout>
          <c:overlay val="0"/>
        </c:title>
        <c:numFmt formatCode="0.0" sourceLinked="0"/>
        <c:majorTickMark val="out"/>
        <c:minorTickMark val="none"/>
        <c:tickLblPos val="nextTo"/>
        <c:crossAx val="229951744"/>
        <c:crossesAt val="-2"/>
        <c:crossBetween val="midCat"/>
      </c:valAx>
    </c:plotArea>
    <c:plotVisOnly val="1"/>
    <c:dispBlanksAs val="gap"/>
    <c:showDLblsOverMax val="0"/>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043807227679603"/>
          <c:y val="7.180610784855905E-2"/>
          <c:w val="0.71559875862422728"/>
          <c:h val="0.72885541481227889"/>
        </c:manualLayout>
      </c:layout>
      <c:scatterChart>
        <c:scatterStyle val="lineMarker"/>
        <c:varyColors val="0"/>
        <c:ser>
          <c:idx val="0"/>
          <c:order val="0"/>
          <c:spPr>
            <a:ln w="28575">
              <a:noFill/>
            </a:ln>
          </c:spPr>
          <c:trendline>
            <c:trendlineType val="linear"/>
            <c:dispRSqr val="1"/>
            <c:dispEq val="1"/>
            <c:trendlineLbl>
              <c:layout>
                <c:manualLayout>
                  <c:x val="-0.15621329092821051"/>
                  <c:y val="-1.1530297843204381E-2"/>
                </c:manualLayout>
              </c:layout>
              <c:numFmt formatCode="General" sourceLinked="0"/>
            </c:trendlineLbl>
          </c:trendline>
          <c:xVal>
            <c:numRef>
              <c:f>'Taku Table'!$AJ$16:$AJ$41</c:f>
              <c:numCache>
                <c:formatCode>0.00</c:formatCode>
                <c:ptCount val="26"/>
                <c:pt idx="0">
                  <c:v>0.49753930095751842</c:v>
                </c:pt>
                <c:pt idx="1">
                  <c:v>1.0025097513679422</c:v>
                </c:pt>
                <c:pt idx="2">
                  <c:v>2.252644142811699</c:v>
                </c:pt>
                <c:pt idx="3">
                  <c:v>5.9488980331510906E-2</c:v>
                </c:pt>
                <c:pt idx="4">
                  <c:v>-1.1411051580094433</c:v>
                </c:pt>
                <c:pt idx="5">
                  <c:v>-1.7411326109545493</c:v>
                </c:pt>
                <c:pt idx="6">
                  <c:v>-0.78656673488299655</c:v>
                </c:pt>
                <c:pt idx="7">
                  <c:v>-0.82457570942377356</c:v>
                </c:pt>
                <c:pt idx="8">
                  <c:v>-0.93556080896499449</c:v>
                </c:pt>
                <c:pt idx="9">
                  <c:v>-0.1940747097751854</c:v>
                </c:pt>
                <c:pt idx="10">
                  <c:v>1.7485171072601282</c:v>
                </c:pt>
                <c:pt idx="11">
                  <c:v>1.2205532320911332</c:v>
                </c:pt>
                <c:pt idx="12">
                  <c:v>1.0331630422216718</c:v>
                </c:pt>
                <c:pt idx="13">
                  <c:v>0.63855550006315098</c:v>
                </c:pt>
                <c:pt idx="14">
                  <c:v>0.68967197109889211</c:v>
                </c:pt>
                <c:pt idx="15">
                  <c:v>-0.60162383075151893</c:v>
                </c:pt>
                <c:pt idx="16">
                  <c:v>-3.7922807594107981E-2</c:v>
                </c:pt>
                <c:pt idx="17">
                  <c:v>0.65257142071588048</c:v>
                </c:pt>
                <c:pt idx="18">
                  <c:v>0.96797123757673476</c:v>
                </c:pt>
                <c:pt idx="19">
                  <c:v>-0.64811705591332602</c:v>
                </c:pt>
                <c:pt idx="20">
                  <c:v>-0.8830563464661032</c:v>
                </c:pt>
                <c:pt idx="21">
                  <c:v>-0.46185462661801185</c:v>
                </c:pt>
                <c:pt idx="22">
                  <c:v>0.17755754259909245</c:v>
                </c:pt>
                <c:pt idx="23">
                  <c:v>-1.0012040878525545</c:v>
                </c:pt>
                <c:pt idx="24">
                  <c:v>-0.70923136111605101</c:v>
                </c:pt>
                <c:pt idx="25">
                  <c:v>-0.97471738077273562</c:v>
                </c:pt>
              </c:numCache>
            </c:numRef>
          </c:xVal>
          <c:yVal>
            <c:numRef>
              <c:f>'Taku Table'!$AM$16:$AM$41</c:f>
              <c:numCache>
                <c:formatCode>0.00</c:formatCode>
                <c:ptCount val="26"/>
                <c:pt idx="0">
                  <c:v>2.2749750531124984</c:v>
                </c:pt>
                <c:pt idx="1">
                  <c:v>1.0779044482524991</c:v>
                </c:pt>
                <c:pt idx="2">
                  <c:v>1.8552669074512751</c:v>
                </c:pt>
                <c:pt idx="3">
                  <c:v>2.2521455148459799E-2</c:v>
                </c:pt>
                <c:pt idx="4">
                  <c:v>-0.23974141992588319</c:v>
                </c:pt>
                <c:pt idx="5">
                  <c:v>-1.5061199452715739</c:v>
                </c:pt>
                <c:pt idx="6">
                  <c:v>-0.42332774707606186</c:v>
                </c:pt>
                <c:pt idx="7">
                  <c:v>-0.61356927130139771</c:v>
                </c:pt>
                <c:pt idx="8">
                  <c:v>-0.89561943549917422</c:v>
                </c:pt>
                <c:pt idx="9">
                  <c:v>0.3342206404413629</c:v>
                </c:pt>
                <c:pt idx="10">
                  <c:v>1.7223938451484966</c:v>
                </c:pt>
                <c:pt idx="11">
                  <c:v>0.30742769637316958</c:v>
                </c:pt>
                <c:pt idx="12">
                  <c:v>0.71782531238157121</c:v>
                </c:pt>
                <c:pt idx="13">
                  <c:v>-0.42070114438503597</c:v>
                </c:pt>
                <c:pt idx="14">
                  <c:v>1.1311593659064301</c:v>
                </c:pt>
                <c:pt idx="15">
                  <c:v>-1.4073726138200295</c:v>
                </c:pt>
                <c:pt idx="16">
                  <c:v>-2.8293389122766861E-2</c:v>
                </c:pt>
                <c:pt idx="17">
                  <c:v>-0.28078877253629636</c:v>
                </c:pt>
                <c:pt idx="18">
                  <c:v>0.35031648251835573</c:v>
                </c:pt>
                <c:pt idx="19">
                  <c:v>-1.3365058423871039</c:v>
                </c:pt>
                <c:pt idx="20">
                  <c:v>-0.63835593580891481</c:v>
                </c:pt>
                <c:pt idx="21">
                  <c:v>0.41071372144299745</c:v>
                </c:pt>
                <c:pt idx="22">
                  <c:v>-0.15939910348149275</c:v>
                </c:pt>
                <c:pt idx="23">
                  <c:v>-0.90709322135998283</c:v>
                </c:pt>
                <c:pt idx="24">
                  <c:v>-0.88571365874172081</c:v>
                </c:pt>
                <c:pt idx="25">
                  <c:v>-0.46212342745968926</c:v>
                </c:pt>
              </c:numCache>
            </c:numRef>
          </c:yVal>
          <c:smooth val="0"/>
        </c:ser>
        <c:dLbls>
          <c:showLegendKey val="0"/>
          <c:showVal val="0"/>
          <c:showCatName val="0"/>
          <c:showSerName val="0"/>
          <c:showPercent val="0"/>
          <c:showBubbleSize val="0"/>
        </c:dLbls>
        <c:axId val="229999360"/>
        <c:axId val="230001280"/>
      </c:scatterChart>
      <c:valAx>
        <c:axId val="229999360"/>
        <c:scaling>
          <c:orientation val="minMax"/>
        </c:scaling>
        <c:delete val="0"/>
        <c:axPos val="b"/>
        <c:title>
          <c:tx>
            <c:rich>
              <a:bodyPr/>
              <a:lstStyle/>
              <a:p>
                <a:pPr>
                  <a:defRPr sz="1200"/>
                </a:pPr>
                <a:r>
                  <a:rPr lang="en-US" sz="1200"/>
                  <a:t>Taku Run</a:t>
                </a:r>
              </a:p>
            </c:rich>
          </c:tx>
          <c:layout>
            <c:manualLayout>
              <c:xMode val="edge"/>
              <c:yMode val="edge"/>
              <c:x val="0.42411141604042168"/>
              <c:y val="0.89453734671125973"/>
            </c:manualLayout>
          </c:layout>
          <c:overlay val="0"/>
        </c:title>
        <c:numFmt formatCode="0.0" sourceLinked="0"/>
        <c:majorTickMark val="out"/>
        <c:minorTickMark val="none"/>
        <c:tickLblPos val="nextTo"/>
        <c:crossAx val="230001280"/>
        <c:crossesAt val="-2"/>
        <c:crossBetween val="midCat"/>
      </c:valAx>
      <c:valAx>
        <c:axId val="230001280"/>
        <c:scaling>
          <c:orientation val="minMax"/>
        </c:scaling>
        <c:delete val="0"/>
        <c:axPos val="l"/>
        <c:title>
          <c:tx>
            <c:rich>
              <a:bodyPr rot="-5400000" vert="horz"/>
              <a:lstStyle/>
              <a:p>
                <a:pPr>
                  <a:defRPr sz="1200"/>
                </a:pPr>
                <a:r>
                  <a:rPr lang="en-US" sz="1200"/>
                  <a:t>Taku Inlet Fall Wild CPUE</a:t>
                </a:r>
              </a:p>
            </c:rich>
          </c:tx>
          <c:layout>
            <c:manualLayout>
              <c:xMode val="edge"/>
              <c:yMode val="edge"/>
              <c:x val="1.6682996058717415E-2"/>
              <c:y val="0.15398730677060016"/>
            </c:manualLayout>
          </c:layout>
          <c:overlay val="0"/>
        </c:title>
        <c:numFmt formatCode="0.0" sourceLinked="0"/>
        <c:majorTickMark val="out"/>
        <c:minorTickMark val="none"/>
        <c:tickLblPos val="nextTo"/>
        <c:crossAx val="229999360"/>
        <c:crossesAt val="-2"/>
        <c:crossBetween val="midCat"/>
      </c:valAx>
    </c:plotArea>
    <c:plotVisOnly val="1"/>
    <c:dispBlanksAs val="gap"/>
    <c:showDLblsOverMax val="0"/>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043807227679603"/>
          <c:y val="7.180610784855905E-2"/>
          <c:w val="0.71559875862422728"/>
          <c:h val="0.72885541481227889"/>
        </c:manualLayout>
      </c:layout>
      <c:scatterChart>
        <c:scatterStyle val="lineMarker"/>
        <c:varyColors val="0"/>
        <c:ser>
          <c:idx val="0"/>
          <c:order val="0"/>
          <c:spPr>
            <a:ln w="28575">
              <a:noFill/>
            </a:ln>
          </c:spPr>
          <c:trendline>
            <c:trendlineType val="linear"/>
            <c:dispRSqr val="1"/>
            <c:dispEq val="1"/>
            <c:trendlineLbl>
              <c:layout>
                <c:manualLayout>
                  <c:x val="-0.19489018270110373"/>
                  <c:y val="-6.4764613453418662E-2"/>
                </c:manualLayout>
              </c:layout>
              <c:numFmt formatCode="General" sourceLinked="0"/>
            </c:trendlineLbl>
          </c:trendline>
          <c:xVal>
            <c:numRef>
              <c:f>'Taku Table'!$AN$16:$AN$41</c:f>
              <c:numCache>
                <c:formatCode>0.00</c:formatCode>
                <c:ptCount val="26"/>
                <c:pt idx="0">
                  <c:v>0.77342986437331529</c:v>
                </c:pt>
                <c:pt idx="1">
                  <c:v>0.68187217947723078</c:v>
                </c:pt>
                <c:pt idx="2">
                  <c:v>1.3690540181595923</c:v>
                </c:pt>
                <c:pt idx="3">
                  <c:v>8.9135661283177453E-4</c:v>
                </c:pt>
                <c:pt idx="4">
                  <c:v>-1.0706643083935341</c:v>
                </c:pt>
                <c:pt idx="5">
                  <c:v>-1.5839593418228881</c:v>
                </c:pt>
                <c:pt idx="6">
                  <c:v>-0.78093344056300751</c:v>
                </c:pt>
                <c:pt idx="7">
                  <c:v>-0.91640744174021282</c:v>
                </c:pt>
                <c:pt idx="8">
                  <c:v>-0.81186866849238204</c:v>
                </c:pt>
                <c:pt idx="9">
                  <c:v>-8.4550065910726627E-2</c:v>
                </c:pt>
                <c:pt idx="10">
                  <c:v>2.3916309974954499</c:v>
                </c:pt>
                <c:pt idx="11">
                  <c:v>1.5928642960818757</c:v>
                </c:pt>
                <c:pt idx="12">
                  <c:v>0.81479027025186213</c:v>
                </c:pt>
                <c:pt idx="13">
                  <c:v>0.75784160755375451</c:v>
                </c:pt>
                <c:pt idx="14">
                  <c:v>0.85276745133401566</c:v>
                </c:pt>
                <c:pt idx="15">
                  <c:v>-0.41918400520172172</c:v>
                </c:pt>
                <c:pt idx="16">
                  <c:v>3.3266443374213611E-2</c:v>
                </c:pt>
                <c:pt idx="17">
                  <c:v>0.54737342653103205</c:v>
                </c:pt>
                <c:pt idx="18">
                  <c:v>1.1594599017056724</c:v>
                </c:pt>
                <c:pt idx="19">
                  <c:v>-0.61435572214807643</c:v>
                </c:pt>
                <c:pt idx="20">
                  <c:v>-0.47762445044641039</c:v>
                </c:pt>
                <c:pt idx="21">
                  <c:v>-0.35954237464451116</c:v>
                </c:pt>
                <c:pt idx="22">
                  <c:v>0.89960534717731699</c:v>
                </c:pt>
                <c:pt idx="23">
                  <c:v>-0.82632359605636818</c:v>
                </c:pt>
                <c:pt idx="24">
                  <c:v>-0.14777791496195575</c:v>
                </c:pt>
                <c:pt idx="25">
                  <c:v>-0.8940949080805819</c:v>
                </c:pt>
              </c:numCache>
            </c:numRef>
          </c:xVal>
          <c:yVal>
            <c:numRef>
              <c:f>'Taku Table'!$AM$16:$AM$41</c:f>
              <c:numCache>
                <c:formatCode>0.00</c:formatCode>
                <c:ptCount val="26"/>
                <c:pt idx="0">
                  <c:v>2.2749750531124984</c:v>
                </c:pt>
                <c:pt idx="1">
                  <c:v>1.0779044482524991</c:v>
                </c:pt>
                <c:pt idx="2">
                  <c:v>1.8552669074512751</c:v>
                </c:pt>
                <c:pt idx="3">
                  <c:v>2.2521455148459799E-2</c:v>
                </c:pt>
                <c:pt idx="4">
                  <c:v>-0.23974141992588319</c:v>
                </c:pt>
                <c:pt idx="5">
                  <c:v>-1.5061199452715739</c:v>
                </c:pt>
                <c:pt idx="6">
                  <c:v>-0.42332774707606186</c:v>
                </c:pt>
                <c:pt idx="7">
                  <c:v>-0.61356927130139771</c:v>
                </c:pt>
                <c:pt idx="8">
                  <c:v>-0.89561943549917422</c:v>
                </c:pt>
                <c:pt idx="9">
                  <c:v>0.3342206404413629</c:v>
                </c:pt>
                <c:pt idx="10">
                  <c:v>1.7223938451484966</c:v>
                </c:pt>
                <c:pt idx="11">
                  <c:v>0.30742769637316958</c:v>
                </c:pt>
                <c:pt idx="12">
                  <c:v>0.71782531238157121</c:v>
                </c:pt>
                <c:pt idx="13">
                  <c:v>-0.42070114438503597</c:v>
                </c:pt>
                <c:pt idx="14">
                  <c:v>1.1311593659064301</c:v>
                </c:pt>
                <c:pt idx="15">
                  <c:v>-1.4073726138200295</c:v>
                </c:pt>
                <c:pt idx="16">
                  <c:v>-2.8293389122766861E-2</c:v>
                </c:pt>
                <c:pt idx="17">
                  <c:v>-0.28078877253629636</c:v>
                </c:pt>
                <c:pt idx="18">
                  <c:v>0.35031648251835573</c:v>
                </c:pt>
                <c:pt idx="19">
                  <c:v>-1.3365058423871039</c:v>
                </c:pt>
                <c:pt idx="20">
                  <c:v>-0.63835593580891481</c:v>
                </c:pt>
                <c:pt idx="21">
                  <c:v>0.41071372144299745</c:v>
                </c:pt>
                <c:pt idx="22">
                  <c:v>-0.15939910348149275</c:v>
                </c:pt>
                <c:pt idx="23">
                  <c:v>-0.90709322135998283</c:v>
                </c:pt>
                <c:pt idx="24">
                  <c:v>-0.88571365874172081</c:v>
                </c:pt>
                <c:pt idx="25">
                  <c:v>-0.46212342745968926</c:v>
                </c:pt>
              </c:numCache>
            </c:numRef>
          </c:yVal>
          <c:smooth val="0"/>
        </c:ser>
        <c:dLbls>
          <c:showLegendKey val="0"/>
          <c:showVal val="0"/>
          <c:showCatName val="0"/>
          <c:showSerName val="0"/>
          <c:showPercent val="0"/>
          <c:showBubbleSize val="0"/>
        </c:dLbls>
        <c:axId val="230022144"/>
        <c:axId val="230098048"/>
      </c:scatterChart>
      <c:valAx>
        <c:axId val="230022144"/>
        <c:scaling>
          <c:orientation val="minMax"/>
        </c:scaling>
        <c:delete val="0"/>
        <c:axPos val="b"/>
        <c:title>
          <c:tx>
            <c:rich>
              <a:bodyPr/>
              <a:lstStyle/>
              <a:p>
                <a:pPr>
                  <a:defRPr sz="1200"/>
                </a:pPr>
                <a:r>
                  <a:rPr lang="en-US" sz="1200"/>
                  <a:t>Taku Terminal Run</a:t>
                </a:r>
              </a:p>
            </c:rich>
          </c:tx>
          <c:layout>
            <c:manualLayout>
              <c:xMode val="edge"/>
              <c:yMode val="edge"/>
              <c:x val="0.42411141604042168"/>
              <c:y val="0.89453734671125973"/>
            </c:manualLayout>
          </c:layout>
          <c:overlay val="0"/>
        </c:title>
        <c:numFmt formatCode="0.0" sourceLinked="0"/>
        <c:majorTickMark val="out"/>
        <c:minorTickMark val="none"/>
        <c:tickLblPos val="nextTo"/>
        <c:crossAx val="230098048"/>
        <c:crossesAt val="-2"/>
        <c:crossBetween val="midCat"/>
      </c:valAx>
      <c:valAx>
        <c:axId val="230098048"/>
        <c:scaling>
          <c:orientation val="minMax"/>
        </c:scaling>
        <c:delete val="0"/>
        <c:axPos val="l"/>
        <c:title>
          <c:tx>
            <c:rich>
              <a:bodyPr rot="-5400000" vert="horz"/>
              <a:lstStyle/>
              <a:p>
                <a:pPr>
                  <a:defRPr sz="1200"/>
                </a:pPr>
                <a:r>
                  <a:rPr lang="en-US" sz="1200"/>
                  <a:t>Taku Inlet Fall Wild CPUE</a:t>
                </a:r>
              </a:p>
            </c:rich>
          </c:tx>
          <c:layout>
            <c:manualLayout>
              <c:xMode val="edge"/>
              <c:yMode val="edge"/>
              <c:x val="1.6682996058717415E-2"/>
              <c:y val="0.15398730677060016"/>
            </c:manualLayout>
          </c:layout>
          <c:overlay val="0"/>
        </c:title>
        <c:numFmt formatCode="0.0" sourceLinked="0"/>
        <c:majorTickMark val="out"/>
        <c:minorTickMark val="none"/>
        <c:tickLblPos val="nextTo"/>
        <c:crossAx val="230022144"/>
        <c:crossesAt val="-2"/>
        <c:crossBetween val="midCat"/>
      </c:valAx>
    </c:plotArea>
    <c:plotVisOnly val="1"/>
    <c:dispBlanksAs val="gap"/>
    <c:showDLblsOverMax val="0"/>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82112717998217521"/>
          <c:h val="0.77658022379919067"/>
        </c:manualLayout>
      </c:layout>
      <c:lineChart>
        <c:grouping val="standard"/>
        <c:varyColors val="0"/>
        <c:ser>
          <c:idx val="0"/>
          <c:order val="0"/>
          <c:tx>
            <c:v>Taku River</c:v>
          </c:tx>
          <c:spPr>
            <a:ln w="50800">
              <a:solidFill>
                <a:schemeClr val="tx1"/>
              </a:solidFill>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Table'!$AJ$16:$AJ$41</c:f>
              <c:numCache>
                <c:formatCode>0.00</c:formatCode>
                <c:ptCount val="26"/>
                <c:pt idx="0">
                  <c:v>0.49753930095751842</c:v>
                </c:pt>
                <c:pt idx="1">
                  <c:v>1.0025097513679422</c:v>
                </c:pt>
                <c:pt idx="2">
                  <c:v>2.252644142811699</c:v>
                </c:pt>
                <c:pt idx="3">
                  <c:v>5.9488980331510906E-2</c:v>
                </c:pt>
                <c:pt idx="4">
                  <c:v>-1.1411051580094433</c:v>
                </c:pt>
                <c:pt idx="5">
                  <c:v>-1.7411326109545493</c:v>
                </c:pt>
                <c:pt idx="6">
                  <c:v>-0.78656673488299655</c:v>
                </c:pt>
                <c:pt idx="7">
                  <c:v>-0.82457570942377356</c:v>
                </c:pt>
                <c:pt idx="8">
                  <c:v>-0.93556080896499449</c:v>
                </c:pt>
                <c:pt idx="9">
                  <c:v>-0.1940747097751854</c:v>
                </c:pt>
                <c:pt idx="10">
                  <c:v>1.7485171072601282</c:v>
                </c:pt>
                <c:pt idx="11">
                  <c:v>1.2205532320911332</c:v>
                </c:pt>
                <c:pt idx="12">
                  <c:v>1.0331630422216718</c:v>
                </c:pt>
                <c:pt idx="13">
                  <c:v>0.63855550006315098</c:v>
                </c:pt>
                <c:pt idx="14">
                  <c:v>0.68967197109889211</c:v>
                </c:pt>
                <c:pt idx="15">
                  <c:v>-0.60162383075151893</c:v>
                </c:pt>
                <c:pt idx="16">
                  <c:v>-3.7922807594107981E-2</c:v>
                </c:pt>
                <c:pt idx="17">
                  <c:v>0.65257142071588048</c:v>
                </c:pt>
                <c:pt idx="18">
                  <c:v>0.96797123757673476</c:v>
                </c:pt>
                <c:pt idx="19">
                  <c:v>-0.64811705591332602</c:v>
                </c:pt>
                <c:pt idx="20">
                  <c:v>-0.8830563464661032</c:v>
                </c:pt>
                <c:pt idx="21">
                  <c:v>-0.46185462661801185</c:v>
                </c:pt>
                <c:pt idx="22">
                  <c:v>0.17755754259909245</c:v>
                </c:pt>
                <c:pt idx="23">
                  <c:v>-1.0012040878525545</c:v>
                </c:pt>
                <c:pt idx="24">
                  <c:v>-0.70923136111605101</c:v>
                </c:pt>
                <c:pt idx="25">
                  <c:v>-0.97471738077273562</c:v>
                </c:pt>
              </c:numCache>
            </c:numRef>
          </c:val>
          <c:smooth val="0"/>
        </c:ser>
        <c:ser>
          <c:idx val="1"/>
          <c:order val="1"/>
          <c:tx>
            <c:v>Berners-Chilkat Average</c:v>
          </c:tx>
          <c:spPr>
            <a:ln>
              <a:solidFill>
                <a:srgbClr val="FF0000"/>
              </a:solidFill>
              <a:prstDash val="solid"/>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Table'!$AO$16:$AO$41</c:f>
              <c:numCache>
                <c:formatCode>General_)</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-0.24442498576359617</c:v>
                </c:pt>
                <c:pt idx="9">
                  <c:v>0.29982895412207278</c:v>
                </c:pt>
                <c:pt idx="10">
                  <c:v>1.8537896497997388</c:v>
                </c:pt>
                <c:pt idx="11">
                  <c:v>0.47228841400161053</c:v>
                </c:pt>
                <c:pt idx="12">
                  <c:v>0.50121115328149468</c:v>
                </c:pt>
                <c:pt idx="13">
                  <c:v>-0.85888943906745796</c:v>
                </c:pt>
                <c:pt idx="14">
                  <c:v>-0.34656963907836669</c:v>
                </c:pt>
                <c:pt idx="15">
                  <c:v>-1.130387492160454</c:v>
                </c:pt>
                <c:pt idx="16">
                  <c:v>-0.57421528502528407</c:v>
                </c:pt>
                <c:pt idx="17">
                  <c:v>-0.90211764055238031</c:v>
                </c:pt>
                <c:pt idx="18">
                  <c:v>-0.1041760860024625</c:v>
                </c:pt>
                <c:pt idx="19">
                  <c:v>-0.70488354015814592</c:v>
                </c:pt>
                <c:pt idx="20">
                  <c:v>-0.98460878112388084</c:v>
                </c:pt>
                <c:pt idx="21">
                  <c:v>-0.30706865750797174</c:v>
                </c:pt>
                <c:pt idx="22">
                  <c:v>0.10976961725482762</c:v>
                </c:pt>
                <c:pt idx="23">
                  <c:v>-0.7031780158017279</c:v>
                </c:pt>
                <c:pt idx="24">
                  <c:v>-1.0613072869611502</c:v>
                </c:pt>
                <c:pt idx="25">
                  <c:v>-0.86550292866905276</c:v>
                </c:pt>
              </c:numCache>
            </c:numRef>
          </c:val>
          <c:smooth val="0"/>
        </c:ser>
        <c:ser>
          <c:idx val="3"/>
          <c:order val="2"/>
          <c:tx>
            <c:v>Taku Inlet Fall Wild CPUE</c:v>
          </c:tx>
          <c:spPr>
            <a:ln>
              <a:solidFill>
                <a:schemeClr val="tx1"/>
              </a:solidFill>
              <a:prstDash val="sysDash"/>
            </a:ln>
          </c:spPr>
          <c:marker>
            <c:symbol val="none"/>
          </c:marker>
          <c:val>
            <c:numRef>
              <c:f>'Taku Table'!$AM$16:$AM$41</c:f>
              <c:numCache>
                <c:formatCode>0.00</c:formatCode>
                <c:ptCount val="26"/>
                <c:pt idx="0">
                  <c:v>2.2749750531124984</c:v>
                </c:pt>
                <c:pt idx="1">
                  <c:v>1.0779044482524991</c:v>
                </c:pt>
                <c:pt idx="2">
                  <c:v>1.8552669074512751</c:v>
                </c:pt>
                <c:pt idx="3">
                  <c:v>2.2521455148459799E-2</c:v>
                </c:pt>
                <c:pt idx="4">
                  <c:v>-0.23974141992588319</c:v>
                </c:pt>
                <c:pt idx="5">
                  <c:v>-1.5061199452715739</c:v>
                </c:pt>
                <c:pt idx="6">
                  <c:v>-0.42332774707606186</c:v>
                </c:pt>
                <c:pt idx="7">
                  <c:v>-0.61356927130139771</c:v>
                </c:pt>
                <c:pt idx="8">
                  <c:v>-0.89561943549917422</c:v>
                </c:pt>
                <c:pt idx="9">
                  <c:v>0.3342206404413629</c:v>
                </c:pt>
                <c:pt idx="10">
                  <c:v>1.7223938451484966</c:v>
                </c:pt>
                <c:pt idx="11">
                  <c:v>0.30742769637316958</c:v>
                </c:pt>
                <c:pt idx="12">
                  <c:v>0.71782531238157121</c:v>
                </c:pt>
                <c:pt idx="13">
                  <c:v>-0.42070114438503597</c:v>
                </c:pt>
                <c:pt idx="14">
                  <c:v>1.1311593659064301</c:v>
                </c:pt>
                <c:pt idx="15">
                  <c:v>-1.4073726138200295</c:v>
                </c:pt>
                <c:pt idx="16">
                  <c:v>-2.8293389122766861E-2</c:v>
                </c:pt>
                <c:pt idx="17">
                  <c:v>-0.28078877253629636</c:v>
                </c:pt>
                <c:pt idx="18">
                  <c:v>0.35031648251835573</c:v>
                </c:pt>
                <c:pt idx="19">
                  <c:v>-1.3365058423871039</c:v>
                </c:pt>
                <c:pt idx="20">
                  <c:v>-0.63835593580891481</c:v>
                </c:pt>
                <c:pt idx="21">
                  <c:v>0.41071372144299745</c:v>
                </c:pt>
                <c:pt idx="22">
                  <c:v>-0.15939910348149275</c:v>
                </c:pt>
                <c:pt idx="23">
                  <c:v>-0.90709322135998283</c:v>
                </c:pt>
                <c:pt idx="24">
                  <c:v>-0.88571365874172081</c:v>
                </c:pt>
                <c:pt idx="25">
                  <c:v>-0.46212342745968926</c:v>
                </c:pt>
              </c:numCache>
            </c:numRef>
          </c:val>
          <c:smooth val="0"/>
        </c:ser>
        <c:dLbls>
          <c:showLegendKey val="0"/>
          <c:showVal val="0"/>
          <c:showCatName val="0"/>
          <c:showSerName val="0"/>
          <c:showPercent val="0"/>
          <c:showBubbleSize val="0"/>
        </c:dLbls>
        <c:marker val="1"/>
        <c:smooth val="0"/>
        <c:axId val="230135680"/>
        <c:axId val="230146048"/>
      </c:lineChart>
      <c:catAx>
        <c:axId val="230135680"/>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30146048"/>
        <c:crossesAt val="-2"/>
        <c:auto val="1"/>
        <c:lblAlgn val="ctr"/>
        <c:lblOffset val="100"/>
        <c:noMultiLvlLbl val="0"/>
      </c:catAx>
      <c:valAx>
        <c:axId val="230146048"/>
        <c:scaling>
          <c:orientation val="minMax"/>
          <c:max val="3.5"/>
          <c:min val="-2"/>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30135680"/>
        <c:crosses val="autoZero"/>
        <c:crossBetween val="between"/>
      </c:valAx>
    </c:plotArea>
    <c:legend>
      <c:legendPos val="r"/>
      <c:layout>
        <c:manualLayout>
          <c:xMode val="edge"/>
          <c:yMode val="edge"/>
          <c:x val="0.53983038514420034"/>
          <c:y val="3.8449027851544922E-2"/>
          <c:w val="0.40367765599931732"/>
          <c:h val="0.25387838167122101"/>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043807227679603"/>
          <c:y val="7.180610784855905E-2"/>
          <c:w val="0.71559875862422728"/>
          <c:h val="0.72885541481227889"/>
        </c:manualLayout>
      </c:layout>
      <c:scatterChart>
        <c:scatterStyle val="lineMarker"/>
        <c:varyColors val="0"/>
        <c:ser>
          <c:idx val="0"/>
          <c:order val="0"/>
          <c:spPr>
            <a:ln w="28575">
              <a:noFill/>
            </a:ln>
          </c:spPr>
          <c:trendline>
            <c:trendlineType val="linear"/>
            <c:dispRSqr val="1"/>
            <c:dispEq val="1"/>
            <c:trendlineLbl>
              <c:layout>
                <c:manualLayout>
                  <c:x val="-7.9600913078047661E-2"/>
                  <c:y val="-0.2113340180303549"/>
                </c:manualLayout>
              </c:layout>
              <c:numFmt formatCode="General" sourceLinked="0"/>
            </c:trendlineLbl>
          </c:trendline>
          <c:xVal>
            <c:numRef>
              <c:f>'Taku Table'!$AJ$16:$AJ$41</c:f>
              <c:numCache>
                <c:formatCode>0.00</c:formatCode>
                <c:ptCount val="26"/>
                <c:pt idx="0">
                  <c:v>0.49753930095751842</c:v>
                </c:pt>
                <c:pt idx="1">
                  <c:v>1.0025097513679422</c:v>
                </c:pt>
                <c:pt idx="2">
                  <c:v>2.252644142811699</c:v>
                </c:pt>
                <c:pt idx="3">
                  <c:v>5.9488980331510906E-2</c:v>
                </c:pt>
                <c:pt idx="4">
                  <c:v>-1.1411051580094433</c:v>
                </c:pt>
                <c:pt idx="5">
                  <c:v>-1.7411326109545493</c:v>
                </c:pt>
                <c:pt idx="6">
                  <c:v>-0.78656673488299655</c:v>
                </c:pt>
                <c:pt idx="7">
                  <c:v>-0.82457570942377356</c:v>
                </c:pt>
                <c:pt idx="8">
                  <c:v>-0.93556080896499449</c:v>
                </c:pt>
                <c:pt idx="9">
                  <c:v>-0.1940747097751854</c:v>
                </c:pt>
                <c:pt idx="10">
                  <c:v>1.7485171072601282</c:v>
                </c:pt>
                <c:pt idx="11">
                  <c:v>1.2205532320911332</c:v>
                </c:pt>
                <c:pt idx="12">
                  <c:v>1.0331630422216718</c:v>
                </c:pt>
                <c:pt idx="13">
                  <c:v>0.63855550006315098</c:v>
                </c:pt>
                <c:pt idx="14">
                  <c:v>0.68967197109889211</c:v>
                </c:pt>
                <c:pt idx="15">
                  <c:v>-0.60162383075151893</c:v>
                </c:pt>
                <c:pt idx="16">
                  <c:v>-3.7922807594107981E-2</c:v>
                </c:pt>
                <c:pt idx="17">
                  <c:v>0.65257142071588048</c:v>
                </c:pt>
                <c:pt idx="18">
                  <c:v>0.96797123757673476</c:v>
                </c:pt>
                <c:pt idx="19">
                  <c:v>-0.64811705591332602</c:v>
                </c:pt>
                <c:pt idx="20">
                  <c:v>-0.8830563464661032</c:v>
                </c:pt>
                <c:pt idx="21">
                  <c:v>-0.46185462661801185</c:v>
                </c:pt>
                <c:pt idx="22">
                  <c:v>0.17755754259909245</c:v>
                </c:pt>
                <c:pt idx="23">
                  <c:v>-1.0012040878525545</c:v>
                </c:pt>
                <c:pt idx="24">
                  <c:v>-0.70923136111605101</c:v>
                </c:pt>
                <c:pt idx="25">
                  <c:v>-0.97471738077273562</c:v>
                </c:pt>
              </c:numCache>
            </c:numRef>
          </c:xVal>
          <c:yVal>
            <c:numRef>
              <c:f>'Taku Table'!$AO$16:$AO$41</c:f>
              <c:numCache>
                <c:formatCode>General_)</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-0.24442498576359617</c:v>
                </c:pt>
                <c:pt idx="9">
                  <c:v>0.29982895412207278</c:v>
                </c:pt>
                <c:pt idx="10">
                  <c:v>1.8537896497997388</c:v>
                </c:pt>
                <c:pt idx="11">
                  <c:v>0.47228841400161053</c:v>
                </c:pt>
                <c:pt idx="12">
                  <c:v>0.50121115328149468</c:v>
                </c:pt>
                <c:pt idx="13">
                  <c:v>-0.85888943906745796</c:v>
                </c:pt>
                <c:pt idx="14">
                  <c:v>-0.34656963907836669</c:v>
                </c:pt>
                <c:pt idx="15">
                  <c:v>-1.130387492160454</c:v>
                </c:pt>
                <c:pt idx="16">
                  <c:v>-0.57421528502528407</c:v>
                </c:pt>
                <c:pt idx="17">
                  <c:v>-0.90211764055238031</c:v>
                </c:pt>
                <c:pt idx="18">
                  <c:v>-0.1041760860024625</c:v>
                </c:pt>
                <c:pt idx="19">
                  <c:v>-0.70488354015814592</c:v>
                </c:pt>
                <c:pt idx="20">
                  <c:v>-0.98460878112388084</c:v>
                </c:pt>
                <c:pt idx="21">
                  <c:v>-0.30706865750797174</c:v>
                </c:pt>
                <c:pt idx="22">
                  <c:v>0.10976961725482762</c:v>
                </c:pt>
                <c:pt idx="23">
                  <c:v>-0.7031780158017279</c:v>
                </c:pt>
                <c:pt idx="24">
                  <c:v>-1.0613072869611502</c:v>
                </c:pt>
                <c:pt idx="25">
                  <c:v>-0.86550292866905276</c:v>
                </c:pt>
              </c:numCache>
            </c:numRef>
          </c:yVal>
          <c:smooth val="0"/>
        </c:ser>
        <c:dLbls>
          <c:showLegendKey val="0"/>
          <c:showVal val="0"/>
          <c:showCatName val="0"/>
          <c:showSerName val="0"/>
          <c:showPercent val="0"/>
          <c:showBubbleSize val="0"/>
        </c:dLbls>
        <c:axId val="230167296"/>
        <c:axId val="230169216"/>
      </c:scatterChart>
      <c:valAx>
        <c:axId val="230167296"/>
        <c:scaling>
          <c:orientation val="minMax"/>
        </c:scaling>
        <c:delete val="0"/>
        <c:axPos val="b"/>
        <c:title>
          <c:tx>
            <c:rich>
              <a:bodyPr/>
              <a:lstStyle/>
              <a:p>
                <a:pPr>
                  <a:defRPr sz="1200"/>
                </a:pPr>
                <a:r>
                  <a:rPr lang="en-US" sz="1200"/>
                  <a:t>Taku Run</a:t>
                </a:r>
              </a:p>
            </c:rich>
          </c:tx>
          <c:layout>
            <c:manualLayout>
              <c:xMode val="edge"/>
              <c:yMode val="edge"/>
              <c:x val="0.42411141604042168"/>
              <c:y val="0.89453734671125973"/>
            </c:manualLayout>
          </c:layout>
          <c:overlay val="0"/>
        </c:title>
        <c:numFmt formatCode="0.0" sourceLinked="0"/>
        <c:majorTickMark val="out"/>
        <c:minorTickMark val="none"/>
        <c:tickLblPos val="nextTo"/>
        <c:crossAx val="230169216"/>
        <c:crossesAt val="-2"/>
        <c:crossBetween val="midCat"/>
      </c:valAx>
      <c:valAx>
        <c:axId val="230169216"/>
        <c:scaling>
          <c:orientation val="minMax"/>
        </c:scaling>
        <c:delete val="0"/>
        <c:axPos val="l"/>
        <c:title>
          <c:tx>
            <c:rich>
              <a:bodyPr rot="-5400000" vert="horz"/>
              <a:lstStyle/>
              <a:p>
                <a:pPr>
                  <a:defRPr sz="1200"/>
                </a:pPr>
                <a:r>
                  <a:rPr lang="en-US" sz="1200"/>
                  <a:t>Berners-Chilkat Run</a:t>
                </a:r>
              </a:p>
            </c:rich>
          </c:tx>
          <c:layout>
            <c:manualLayout>
              <c:xMode val="edge"/>
              <c:yMode val="edge"/>
              <c:x val="1.6682996058717415E-2"/>
              <c:y val="0.15398730677060016"/>
            </c:manualLayout>
          </c:layout>
          <c:overlay val="0"/>
        </c:title>
        <c:numFmt formatCode="0.0" sourceLinked="0"/>
        <c:majorTickMark val="out"/>
        <c:minorTickMark val="none"/>
        <c:tickLblPos val="nextTo"/>
        <c:crossAx val="230167296"/>
        <c:crossesAt val="-2"/>
        <c:crossBetween val="midCat"/>
      </c:valAx>
    </c:plotArea>
    <c:plotVisOnly val="1"/>
    <c:dispBlanksAs val="gap"/>
    <c:showDLblsOverMax val="0"/>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82112717998217521"/>
          <c:h val="0.77658022379919067"/>
        </c:manualLayout>
      </c:layout>
      <c:lineChart>
        <c:grouping val="standard"/>
        <c:varyColors val="0"/>
        <c:ser>
          <c:idx val="0"/>
          <c:order val="0"/>
          <c:tx>
            <c:v>Taku River</c:v>
          </c:tx>
          <c:spPr>
            <a:ln w="50800">
              <a:solidFill>
                <a:schemeClr val="tx1"/>
              </a:solidFill>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Table'!$AJ$16:$AJ$41</c:f>
              <c:numCache>
                <c:formatCode>0.00</c:formatCode>
                <c:ptCount val="26"/>
                <c:pt idx="0">
                  <c:v>0.49753930095751842</c:v>
                </c:pt>
                <c:pt idx="1">
                  <c:v>1.0025097513679422</c:v>
                </c:pt>
                <c:pt idx="2">
                  <c:v>2.252644142811699</c:v>
                </c:pt>
                <c:pt idx="3">
                  <c:v>5.9488980331510906E-2</c:v>
                </c:pt>
                <c:pt idx="4">
                  <c:v>-1.1411051580094433</c:v>
                </c:pt>
                <c:pt idx="5">
                  <c:v>-1.7411326109545493</c:v>
                </c:pt>
                <c:pt idx="6">
                  <c:v>-0.78656673488299655</c:v>
                </c:pt>
                <c:pt idx="7">
                  <c:v>-0.82457570942377356</c:v>
                </c:pt>
                <c:pt idx="8">
                  <c:v>-0.93556080896499449</c:v>
                </c:pt>
                <c:pt idx="9">
                  <c:v>-0.1940747097751854</c:v>
                </c:pt>
                <c:pt idx="10">
                  <c:v>1.7485171072601282</c:v>
                </c:pt>
                <c:pt idx="11">
                  <c:v>1.2205532320911332</c:v>
                </c:pt>
                <c:pt idx="12">
                  <c:v>1.0331630422216718</c:v>
                </c:pt>
                <c:pt idx="13">
                  <c:v>0.63855550006315098</c:v>
                </c:pt>
                <c:pt idx="14">
                  <c:v>0.68967197109889211</c:v>
                </c:pt>
                <c:pt idx="15">
                  <c:v>-0.60162383075151893</c:v>
                </c:pt>
                <c:pt idx="16">
                  <c:v>-3.7922807594107981E-2</c:v>
                </c:pt>
                <c:pt idx="17">
                  <c:v>0.65257142071588048</c:v>
                </c:pt>
                <c:pt idx="18">
                  <c:v>0.96797123757673476</c:v>
                </c:pt>
                <c:pt idx="19">
                  <c:v>-0.64811705591332602</c:v>
                </c:pt>
                <c:pt idx="20">
                  <c:v>-0.8830563464661032</c:v>
                </c:pt>
                <c:pt idx="21">
                  <c:v>-0.46185462661801185</c:v>
                </c:pt>
                <c:pt idx="22">
                  <c:v>0.17755754259909245</c:v>
                </c:pt>
                <c:pt idx="23">
                  <c:v>-1.0012040878525545</c:v>
                </c:pt>
                <c:pt idx="24">
                  <c:v>-0.70923136111605101</c:v>
                </c:pt>
                <c:pt idx="25">
                  <c:v>-0.97471738077273562</c:v>
                </c:pt>
              </c:numCache>
            </c:numRef>
          </c:val>
          <c:smooth val="0"/>
        </c:ser>
        <c:ser>
          <c:idx val="1"/>
          <c:order val="1"/>
          <c:tx>
            <c:v>Berners-Chilkat Average</c:v>
          </c:tx>
          <c:spPr>
            <a:ln w="31750">
              <a:solidFill>
                <a:srgbClr val="FF0000"/>
              </a:solidFill>
              <a:prstDash val="sysDash"/>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Table'!$AO$16:$AO$41</c:f>
              <c:numCache>
                <c:formatCode>General_)</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-0.24442498576359617</c:v>
                </c:pt>
                <c:pt idx="9">
                  <c:v>0.29982895412207278</c:v>
                </c:pt>
                <c:pt idx="10">
                  <c:v>1.8537896497997388</c:v>
                </c:pt>
                <c:pt idx="11">
                  <c:v>0.47228841400161053</c:v>
                </c:pt>
                <c:pt idx="12">
                  <c:v>0.50121115328149468</c:v>
                </c:pt>
                <c:pt idx="13">
                  <c:v>-0.85888943906745796</c:v>
                </c:pt>
                <c:pt idx="14">
                  <c:v>-0.34656963907836669</c:v>
                </c:pt>
                <c:pt idx="15">
                  <c:v>-1.130387492160454</c:v>
                </c:pt>
                <c:pt idx="16">
                  <c:v>-0.57421528502528407</c:v>
                </c:pt>
                <c:pt idx="17">
                  <c:v>-0.90211764055238031</c:v>
                </c:pt>
                <c:pt idx="18">
                  <c:v>-0.1041760860024625</c:v>
                </c:pt>
                <c:pt idx="19">
                  <c:v>-0.70488354015814592</c:v>
                </c:pt>
                <c:pt idx="20">
                  <c:v>-0.98460878112388084</c:v>
                </c:pt>
                <c:pt idx="21">
                  <c:v>-0.30706865750797174</c:v>
                </c:pt>
                <c:pt idx="22">
                  <c:v>0.10976961725482762</c:v>
                </c:pt>
                <c:pt idx="23">
                  <c:v>-0.7031780158017279</c:v>
                </c:pt>
                <c:pt idx="24">
                  <c:v>-1.0613072869611502</c:v>
                </c:pt>
                <c:pt idx="25">
                  <c:v>-0.86550292866905276</c:v>
                </c:pt>
              </c:numCache>
            </c:numRef>
          </c:val>
          <c:smooth val="0"/>
        </c:ser>
        <c:dLbls>
          <c:showLegendKey val="0"/>
          <c:showVal val="0"/>
          <c:showCatName val="0"/>
          <c:showSerName val="0"/>
          <c:showPercent val="0"/>
          <c:showBubbleSize val="0"/>
        </c:dLbls>
        <c:marker val="1"/>
        <c:smooth val="0"/>
        <c:axId val="230210560"/>
        <c:axId val="230216832"/>
      </c:lineChart>
      <c:catAx>
        <c:axId val="230210560"/>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30216832"/>
        <c:crossesAt val="-2"/>
        <c:auto val="1"/>
        <c:lblAlgn val="ctr"/>
        <c:lblOffset val="100"/>
        <c:noMultiLvlLbl val="0"/>
      </c:catAx>
      <c:valAx>
        <c:axId val="230216832"/>
        <c:scaling>
          <c:orientation val="minMax"/>
          <c:max val="3.5"/>
          <c:min val="-2"/>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30210560"/>
        <c:crosses val="autoZero"/>
        <c:crossBetween val="between"/>
      </c:valAx>
    </c:plotArea>
    <c:legend>
      <c:legendPos val="r"/>
      <c:layout>
        <c:manualLayout>
          <c:xMode val="edge"/>
          <c:yMode val="edge"/>
          <c:x val="0.53758193135452881"/>
          <c:y val="9.6673177532538471E-2"/>
          <c:w val="0.4059261097889888"/>
          <c:h val="0.19565423199022752"/>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82112717998217521"/>
          <c:h val="0.77658022379919067"/>
        </c:manualLayout>
      </c:layout>
      <c:lineChart>
        <c:grouping val="standard"/>
        <c:varyColors val="0"/>
        <c:ser>
          <c:idx val="0"/>
          <c:order val="0"/>
          <c:tx>
            <c:v>Taku River</c:v>
          </c:tx>
          <c:spPr>
            <a:ln w="34925">
              <a:solidFill>
                <a:srgbClr val="FFC000"/>
              </a:solidFill>
              <a:prstDash val="sysDash"/>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Table'!$AJ$16:$AJ$41</c:f>
              <c:numCache>
                <c:formatCode>0.00</c:formatCode>
                <c:ptCount val="26"/>
                <c:pt idx="0">
                  <c:v>0.49753930095751842</c:v>
                </c:pt>
                <c:pt idx="1">
                  <c:v>1.0025097513679422</c:v>
                </c:pt>
                <c:pt idx="2">
                  <c:v>2.252644142811699</c:v>
                </c:pt>
                <c:pt idx="3">
                  <c:v>5.9488980331510906E-2</c:v>
                </c:pt>
                <c:pt idx="4">
                  <c:v>-1.1411051580094433</c:v>
                </c:pt>
                <c:pt idx="5">
                  <c:v>-1.7411326109545493</c:v>
                </c:pt>
                <c:pt idx="6">
                  <c:v>-0.78656673488299655</c:v>
                </c:pt>
                <c:pt idx="7">
                  <c:v>-0.82457570942377356</c:v>
                </c:pt>
                <c:pt idx="8">
                  <c:v>-0.93556080896499449</c:v>
                </c:pt>
                <c:pt idx="9">
                  <c:v>-0.1940747097751854</c:v>
                </c:pt>
                <c:pt idx="10">
                  <c:v>1.7485171072601282</c:v>
                </c:pt>
                <c:pt idx="11">
                  <c:v>1.2205532320911332</c:v>
                </c:pt>
                <c:pt idx="12">
                  <c:v>1.0331630422216718</c:v>
                </c:pt>
                <c:pt idx="13">
                  <c:v>0.63855550006315098</c:v>
                </c:pt>
                <c:pt idx="14">
                  <c:v>0.68967197109889211</c:v>
                </c:pt>
                <c:pt idx="15">
                  <c:v>-0.60162383075151893</c:v>
                </c:pt>
                <c:pt idx="16">
                  <c:v>-3.7922807594107981E-2</c:v>
                </c:pt>
                <c:pt idx="17">
                  <c:v>0.65257142071588048</c:v>
                </c:pt>
                <c:pt idx="18">
                  <c:v>0.96797123757673476</c:v>
                </c:pt>
                <c:pt idx="19">
                  <c:v>-0.64811705591332602</c:v>
                </c:pt>
                <c:pt idx="20">
                  <c:v>-0.8830563464661032</c:v>
                </c:pt>
                <c:pt idx="21">
                  <c:v>-0.46185462661801185</c:v>
                </c:pt>
                <c:pt idx="22">
                  <c:v>0.17755754259909245</c:v>
                </c:pt>
                <c:pt idx="23">
                  <c:v>-1.0012040878525545</c:v>
                </c:pt>
                <c:pt idx="24">
                  <c:v>-0.70923136111605101</c:v>
                </c:pt>
                <c:pt idx="25">
                  <c:v>-0.97471738077273562</c:v>
                </c:pt>
              </c:numCache>
            </c:numRef>
          </c:val>
          <c:smooth val="0"/>
        </c:ser>
        <c:ser>
          <c:idx val="1"/>
          <c:order val="1"/>
          <c:tx>
            <c:v>Berners River</c:v>
          </c:tx>
          <c:spPr>
            <a:ln>
              <a:solidFill>
                <a:srgbClr val="FF0000"/>
              </a:solidFill>
              <a:prstDash val="solid"/>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Table'!$AK$16:$AK$41</c:f>
              <c:numCache>
                <c:formatCode>0.00</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-0.20078982036877399</c:v>
                </c:pt>
                <c:pt idx="9">
                  <c:v>0.56706700571158453</c:v>
                </c:pt>
                <c:pt idx="10">
                  <c:v>1.7511134221743097</c:v>
                </c:pt>
                <c:pt idx="11">
                  <c:v>0.25109178479543104</c:v>
                </c:pt>
                <c:pt idx="12">
                  <c:v>0.55830466311194404</c:v>
                </c:pt>
                <c:pt idx="13">
                  <c:v>-0.80300354144915487</c:v>
                </c:pt>
                <c:pt idx="14">
                  <c:v>-0.61516841840871128</c:v>
                </c:pt>
                <c:pt idx="15">
                  <c:v>-1.0646058041216697</c:v>
                </c:pt>
                <c:pt idx="16">
                  <c:v>-0.68234936757617837</c:v>
                </c:pt>
                <c:pt idx="17">
                  <c:v>-1.0242113371390071</c:v>
                </c:pt>
                <c:pt idx="18">
                  <c:v>-0.22502911896113897</c:v>
                </c:pt>
                <c:pt idx="19">
                  <c:v>-0.83479596906901143</c:v>
                </c:pt>
                <c:pt idx="20">
                  <c:v>-1.0533659698664239</c:v>
                </c:pt>
                <c:pt idx="21">
                  <c:v>-0.28803204747310002</c:v>
                </c:pt>
                <c:pt idx="22">
                  <c:v>0.18088786301170928</c:v>
                </c:pt>
                <c:pt idx="23">
                  <c:v>-0.56071183746077569</c:v>
                </c:pt>
                <c:pt idx="24">
                  <c:v>-0.94997673184383291</c:v>
                </c:pt>
                <c:pt idx="25">
                  <c:v>-0.68401825544714512</c:v>
                </c:pt>
              </c:numCache>
            </c:numRef>
          </c:val>
          <c:smooth val="0"/>
        </c:ser>
        <c:ser>
          <c:idx val="2"/>
          <c:order val="2"/>
          <c:tx>
            <c:v>Chilkat River (Adjusted)</c:v>
          </c:tx>
          <c:spPr>
            <a:ln>
              <a:solidFill>
                <a:srgbClr val="FF0000"/>
              </a:solidFill>
              <a:prstDash val="sysDash"/>
            </a:ln>
          </c:spPr>
          <c:marker>
            <c:symbol val="none"/>
          </c:marker>
          <c:val>
            <c:numRef>
              <c:f>'Taku Table'!$AL$16:$AL$41</c:f>
              <c:numCache>
                <c:formatCode>0.00</c:formatCode>
                <c:ptCount val="26"/>
                <c:pt idx="8">
                  <c:v>-0.28806015115841838</c:v>
                </c:pt>
                <c:pt idx="9">
                  <c:v>3.2590902532561014E-2</c:v>
                </c:pt>
                <c:pt idx="10">
                  <c:v>1.956465877425168</c:v>
                </c:pt>
                <c:pt idx="11">
                  <c:v>0.69348504320779003</c:v>
                </c:pt>
                <c:pt idx="12">
                  <c:v>0.44411764345104543</c:v>
                </c:pt>
                <c:pt idx="13">
                  <c:v>-0.91477533668576094</c:v>
                </c:pt>
                <c:pt idx="14">
                  <c:v>-7.7970859748022051E-2</c:v>
                </c:pt>
                <c:pt idx="15">
                  <c:v>-1.196169180199238</c:v>
                </c:pt>
                <c:pt idx="16">
                  <c:v>-0.46608120247438978</c:v>
                </c:pt>
                <c:pt idx="17">
                  <c:v>-0.78002394396575336</c:v>
                </c:pt>
                <c:pt idx="18">
                  <c:v>1.6676946956213978E-2</c:v>
                </c:pt>
                <c:pt idx="19">
                  <c:v>-0.57497111124728051</c:v>
                </c:pt>
                <c:pt idx="20">
                  <c:v>-0.91585159238133784</c:v>
                </c:pt>
                <c:pt idx="21">
                  <c:v>-0.32610526754284352</c:v>
                </c:pt>
                <c:pt idx="22">
                  <c:v>3.8651371497945966E-2</c:v>
                </c:pt>
                <c:pt idx="23">
                  <c:v>-0.84564419414268011</c:v>
                </c:pt>
                <c:pt idx="24">
                  <c:v>-1.1726378420784676</c:v>
                </c:pt>
                <c:pt idx="25">
                  <c:v>-1.0469876018909605</c:v>
                </c:pt>
              </c:numCache>
            </c:numRef>
          </c:val>
          <c:smooth val="0"/>
        </c:ser>
        <c:ser>
          <c:idx val="4"/>
          <c:order val="4"/>
          <c:tx>
            <c:v>Hugh Smith Lake</c:v>
          </c:tx>
          <c:spPr>
            <a:ln>
              <a:solidFill>
                <a:srgbClr val="00B0F0"/>
              </a:solidFill>
            </a:ln>
          </c:spPr>
          <c:marker>
            <c:symbol val="none"/>
          </c:marker>
          <c:val>
            <c:numRef>
              <c:f>'Taku Table'!$AD$16:$AD$41</c:f>
              <c:numCache>
                <c:formatCode>0.00</c:formatCode>
                <c:ptCount val="26"/>
                <c:pt idx="0">
                  <c:v>0.38008789512282887</c:v>
                </c:pt>
                <c:pt idx="1">
                  <c:v>2.6905244042069912E-2</c:v>
                </c:pt>
                <c:pt idx="2">
                  <c:v>2.8517830041565624</c:v>
                </c:pt>
                <c:pt idx="3">
                  <c:v>1.3611267125205835</c:v>
                </c:pt>
                <c:pt idx="4">
                  <c:v>-0.13201973030919523</c:v>
                </c:pt>
                <c:pt idx="5">
                  <c:v>-0.80952860313418262</c:v>
                </c:pt>
                <c:pt idx="6">
                  <c:v>9.6940842302132804E-2</c:v>
                </c:pt>
                <c:pt idx="7">
                  <c:v>1.5750624322362679E-2</c:v>
                </c:pt>
                <c:pt idx="8">
                  <c:v>-1.5393804372874518</c:v>
                </c:pt>
                <c:pt idx="9">
                  <c:v>-0.58026593465478726</c:v>
                </c:pt>
                <c:pt idx="10">
                  <c:v>0.65666332555953344</c:v>
                </c:pt>
                <c:pt idx="11">
                  <c:v>-0.27895443129363484</c:v>
                </c:pt>
                <c:pt idx="12">
                  <c:v>-0.91990946332897805</c:v>
                </c:pt>
                <c:pt idx="13">
                  <c:v>-0.29203836686860235</c:v>
                </c:pt>
                <c:pt idx="14">
                  <c:v>-1.2259190461235054</c:v>
                </c:pt>
                <c:pt idx="15">
                  <c:v>-0.47767459563750619</c:v>
                </c:pt>
                <c:pt idx="16">
                  <c:v>-0.22507588564892547</c:v>
                </c:pt>
                <c:pt idx="17">
                  <c:v>0.10328779079937053</c:v>
                </c:pt>
                <c:pt idx="18">
                  <c:v>0.66264206007043813</c:v>
                </c:pt>
                <c:pt idx="19">
                  <c:v>-0.13798107196165091</c:v>
                </c:pt>
                <c:pt idx="20">
                  <c:v>-1.5723755854048116E-2</c:v>
                </c:pt>
                <c:pt idx="21">
                  <c:v>1.4681338462838034</c:v>
                </c:pt>
                <c:pt idx="22">
                  <c:v>1.9014440684173868</c:v>
                </c:pt>
                <c:pt idx="23">
                  <c:v>-1.2107078765695107</c:v>
                </c:pt>
                <c:pt idx="24">
                  <c:v>-0.93373554981246376</c:v>
                </c:pt>
                <c:pt idx="25">
                  <c:v>-0.95591497441605544</c:v>
                </c:pt>
              </c:numCache>
            </c:numRef>
          </c:val>
          <c:smooth val="0"/>
        </c:ser>
        <c:dLbls>
          <c:showLegendKey val="0"/>
          <c:showVal val="0"/>
          <c:showCatName val="0"/>
          <c:showSerName val="0"/>
          <c:showPercent val="0"/>
          <c:showBubbleSize val="0"/>
        </c:dLbls>
        <c:marker val="1"/>
        <c:smooth val="0"/>
        <c:axId val="230254080"/>
        <c:axId val="230256000"/>
      </c:lineChart>
      <c:lineChart>
        <c:grouping val="standard"/>
        <c:varyColors val="0"/>
        <c:ser>
          <c:idx val="3"/>
          <c:order val="3"/>
          <c:tx>
            <c:v>Taku Inlet Fall Wild CPUE</c:v>
          </c:tx>
          <c:spPr>
            <a:ln w="50800">
              <a:solidFill>
                <a:schemeClr val="tx1"/>
              </a:solidFill>
              <a:prstDash val="solid"/>
            </a:ln>
          </c:spPr>
          <c:marker>
            <c:symbol val="none"/>
          </c:marker>
          <c:val>
            <c:numRef>
              <c:f>'Taku Table'!$AQ$16:$AQ$41</c:f>
              <c:numCache>
                <c:formatCode>0.000</c:formatCode>
                <c:ptCount val="26"/>
                <c:pt idx="0">
                  <c:v>3.8709355582596414</c:v>
                </c:pt>
                <c:pt idx="1">
                  <c:v>4.1726997823101817</c:v>
                </c:pt>
                <c:pt idx="2">
                  <c:v>6.6518893716874876</c:v>
                </c:pt>
                <c:pt idx="3">
                  <c:v>4.0549686086040255</c:v>
                </c:pt>
                <c:pt idx="4">
                  <c:v>3.4076793457873791</c:v>
                </c:pt>
                <c:pt idx="5">
                  <c:v>2.6918613044967539</c:v>
                </c:pt>
                <c:pt idx="6">
                  <c:v>3.2249503256252758</c:v>
                </c:pt>
                <c:pt idx="7">
                  <c:v>4.1652872370535938</c:v>
                </c:pt>
                <c:pt idx="8">
                  <c:v>2.5264586311745054</c:v>
                </c:pt>
                <c:pt idx="9">
                  <c:v>4.4321211948027184</c:v>
                </c:pt>
                <c:pt idx="10">
                  <c:v>4.696055820465828</c:v>
                </c:pt>
                <c:pt idx="11">
                  <c:v>3.7439226830430816</c:v>
                </c:pt>
                <c:pt idx="12">
                  <c:v>3.9830147394059674</c:v>
                </c:pt>
                <c:pt idx="13">
                  <c:v>4.7227029524352995</c:v>
                </c:pt>
                <c:pt idx="14">
                  <c:v>3.617441621196245</c:v>
                </c:pt>
                <c:pt idx="15">
                  <c:v>2.7118869599033641</c:v>
                </c:pt>
                <c:pt idx="16">
                  <c:v>3.8245198363132995</c:v>
                </c:pt>
                <c:pt idx="17">
                  <c:v>3.9579049170809988</c:v>
                </c:pt>
                <c:pt idx="18">
                  <c:v>3.6439518331485585</c:v>
                </c:pt>
                <c:pt idx="19">
                  <c:v>4.471506823573387</c:v>
                </c:pt>
                <c:pt idx="20">
                  <c:v>3.5228806749102057</c:v>
                </c:pt>
                <c:pt idx="21">
                  <c:v>5.0653238681982691</c:v>
                </c:pt>
                <c:pt idx="22">
                  <c:v>6.6261472069908107</c:v>
                </c:pt>
                <c:pt idx="23">
                  <c:v>3.2240158473155649</c:v>
                </c:pt>
                <c:pt idx="24">
                  <c:v>4.6528674353316211</c:v>
                </c:pt>
                <c:pt idx="25">
                  <c:v>5.1578733018510396</c:v>
                </c:pt>
              </c:numCache>
            </c:numRef>
          </c:val>
          <c:smooth val="0"/>
        </c:ser>
        <c:dLbls>
          <c:showLegendKey val="0"/>
          <c:showVal val="0"/>
          <c:showCatName val="0"/>
          <c:showSerName val="0"/>
          <c:showPercent val="0"/>
          <c:showBubbleSize val="0"/>
        </c:dLbls>
        <c:marker val="1"/>
        <c:smooth val="0"/>
        <c:axId val="230272000"/>
        <c:axId val="230270464"/>
      </c:lineChart>
      <c:catAx>
        <c:axId val="230254080"/>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30256000"/>
        <c:crossesAt val="-3"/>
        <c:auto val="1"/>
        <c:lblAlgn val="ctr"/>
        <c:lblOffset val="100"/>
        <c:noMultiLvlLbl val="0"/>
      </c:catAx>
      <c:valAx>
        <c:axId val="230256000"/>
        <c:scaling>
          <c:orientation val="minMax"/>
          <c:max val="3.5"/>
          <c:min val="-3"/>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30254080"/>
        <c:crosses val="autoZero"/>
        <c:crossBetween val="between"/>
      </c:valAx>
      <c:valAx>
        <c:axId val="230270464"/>
        <c:scaling>
          <c:orientation val="minMax"/>
        </c:scaling>
        <c:delete val="0"/>
        <c:axPos val="r"/>
        <c:numFmt formatCode="0" sourceLinked="0"/>
        <c:majorTickMark val="out"/>
        <c:minorTickMark val="none"/>
        <c:tickLblPos val="nextTo"/>
        <c:crossAx val="230272000"/>
        <c:crosses val="max"/>
        <c:crossBetween val="between"/>
      </c:valAx>
      <c:catAx>
        <c:axId val="230272000"/>
        <c:scaling>
          <c:orientation val="minMax"/>
        </c:scaling>
        <c:delete val="1"/>
        <c:axPos val="b"/>
        <c:majorTickMark val="out"/>
        <c:minorTickMark val="none"/>
        <c:tickLblPos val="nextTo"/>
        <c:crossAx val="230270464"/>
        <c:crosses val="autoZero"/>
        <c:auto val="1"/>
        <c:lblAlgn val="ctr"/>
        <c:lblOffset val="100"/>
        <c:noMultiLvlLbl val="0"/>
      </c:catAx>
    </c:plotArea>
    <c:legend>
      <c:legendPos val="r"/>
      <c:layout>
        <c:manualLayout>
          <c:xMode val="edge"/>
          <c:yMode val="edge"/>
          <c:x val="0.25202830006624971"/>
          <c:y val="3.8449027851544922E-2"/>
          <c:w val="0.60154158949040826"/>
          <c:h val="0.22346153572842423"/>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76716428903005951"/>
          <c:h val="0.77366897645383292"/>
        </c:manualLayout>
      </c:layout>
      <c:lineChart>
        <c:grouping val="standard"/>
        <c:varyColors val="0"/>
        <c:ser>
          <c:idx val="1"/>
          <c:order val="0"/>
          <c:tx>
            <c:v>Berners River</c:v>
          </c:tx>
          <c:spPr>
            <a:ln w="34925">
              <a:solidFill>
                <a:srgbClr val="0033CC"/>
              </a:solidFill>
              <a:prstDash val="sysDash"/>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Table'!$AK$16:$AK$41</c:f>
              <c:numCache>
                <c:formatCode>0.00</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-0.20078982036877399</c:v>
                </c:pt>
                <c:pt idx="9">
                  <c:v>0.56706700571158453</c:v>
                </c:pt>
                <c:pt idx="10">
                  <c:v>1.7511134221743097</c:v>
                </c:pt>
                <c:pt idx="11">
                  <c:v>0.25109178479543104</c:v>
                </c:pt>
                <c:pt idx="12">
                  <c:v>0.55830466311194404</c:v>
                </c:pt>
                <c:pt idx="13">
                  <c:v>-0.80300354144915487</c:v>
                </c:pt>
                <c:pt idx="14">
                  <c:v>-0.61516841840871128</c:v>
                </c:pt>
                <c:pt idx="15">
                  <c:v>-1.0646058041216697</c:v>
                </c:pt>
                <c:pt idx="16">
                  <c:v>-0.68234936757617837</c:v>
                </c:pt>
                <c:pt idx="17">
                  <c:v>-1.0242113371390071</c:v>
                </c:pt>
                <c:pt idx="18">
                  <c:v>-0.22502911896113897</c:v>
                </c:pt>
                <c:pt idx="19">
                  <c:v>-0.83479596906901143</c:v>
                </c:pt>
                <c:pt idx="20">
                  <c:v>-1.0533659698664239</c:v>
                </c:pt>
                <c:pt idx="21">
                  <c:v>-0.28803204747310002</c:v>
                </c:pt>
                <c:pt idx="22">
                  <c:v>0.18088786301170928</c:v>
                </c:pt>
                <c:pt idx="23">
                  <c:v>-0.56071183746077569</c:v>
                </c:pt>
                <c:pt idx="24">
                  <c:v>-0.94997673184383291</c:v>
                </c:pt>
                <c:pt idx="25">
                  <c:v>-0.68401825544714512</c:v>
                </c:pt>
              </c:numCache>
            </c:numRef>
          </c:val>
          <c:smooth val="0"/>
        </c:ser>
        <c:ser>
          <c:idx val="2"/>
          <c:order val="1"/>
          <c:tx>
            <c:v>Chilkat River</c:v>
          </c:tx>
          <c:spPr>
            <a:ln>
              <a:solidFill>
                <a:srgbClr val="FF0000"/>
              </a:solidFill>
              <a:prstDash val="sysDash"/>
            </a:ln>
          </c:spPr>
          <c:marker>
            <c:symbol val="none"/>
          </c:marker>
          <c:val>
            <c:numRef>
              <c:f>'Taku Table'!$AL$16:$AL$41</c:f>
              <c:numCache>
                <c:formatCode>0.00</c:formatCode>
                <c:ptCount val="26"/>
                <c:pt idx="8">
                  <c:v>-0.28806015115841838</c:v>
                </c:pt>
                <c:pt idx="9">
                  <c:v>3.2590902532561014E-2</c:v>
                </c:pt>
                <c:pt idx="10">
                  <c:v>1.956465877425168</c:v>
                </c:pt>
                <c:pt idx="11">
                  <c:v>0.69348504320779003</c:v>
                </c:pt>
                <c:pt idx="12">
                  <c:v>0.44411764345104543</c:v>
                </c:pt>
                <c:pt idx="13">
                  <c:v>-0.91477533668576094</c:v>
                </c:pt>
                <c:pt idx="14">
                  <c:v>-7.7970859748022051E-2</c:v>
                </c:pt>
                <c:pt idx="15">
                  <c:v>-1.196169180199238</c:v>
                </c:pt>
                <c:pt idx="16">
                  <c:v>-0.46608120247438978</c:v>
                </c:pt>
                <c:pt idx="17">
                  <c:v>-0.78002394396575336</c:v>
                </c:pt>
                <c:pt idx="18">
                  <c:v>1.6676946956213978E-2</c:v>
                </c:pt>
                <c:pt idx="19">
                  <c:v>-0.57497111124728051</c:v>
                </c:pt>
                <c:pt idx="20">
                  <c:v>-0.91585159238133784</c:v>
                </c:pt>
                <c:pt idx="21">
                  <c:v>-0.32610526754284352</c:v>
                </c:pt>
                <c:pt idx="22">
                  <c:v>3.8651371497945966E-2</c:v>
                </c:pt>
                <c:pt idx="23">
                  <c:v>-0.84564419414268011</c:v>
                </c:pt>
                <c:pt idx="24">
                  <c:v>-1.1726378420784676</c:v>
                </c:pt>
                <c:pt idx="25">
                  <c:v>-1.0469876018909605</c:v>
                </c:pt>
              </c:numCache>
            </c:numRef>
          </c:val>
          <c:smooth val="0"/>
        </c:ser>
        <c:dLbls>
          <c:showLegendKey val="0"/>
          <c:showVal val="0"/>
          <c:showCatName val="0"/>
          <c:showSerName val="0"/>
          <c:showPercent val="0"/>
          <c:showBubbleSize val="0"/>
        </c:dLbls>
        <c:marker val="1"/>
        <c:smooth val="0"/>
        <c:axId val="230381440"/>
        <c:axId val="230387712"/>
      </c:lineChart>
      <c:lineChart>
        <c:grouping val="standard"/>
        <c:varyColors val="0"/>
        <c:ser>
          <c:idx val="3"/>
          <c:order val="2"/>
          <c:tx>
            <c:v>Alaska Troll Wild Abundance</c:v>
          </c:tx>
          <c:spPr>
            <a:ln w="50800">
              <a:solidFill>
                <a:schemeClr val="tx1"/>
              </a:solidFill>
              <a:prstDash val="solid"/>
            </a:ln>
          </c:spPr>
          <c:marker>
            <c:symbol val="none"/>
          </c:marker>
          <c:val>
            <c:numRef>
              <c:f>'Taku Table'!$AQ$16:$AQ$41</c:f>
              <c:numCache>
                <c:formatCode>0.000</c:formatCode>
                <c:ptCount val="26"/>
                <c:pt idx="0">
                  <c:v>3.8709355582596414</c:v>
                </c:pt>
                <c:pt idx="1">
                  <c:v>4.1726997823101817</c:v>
                </c:pt>
                <c:pt idx="2">
                  <c:v>6.6518893716874876</c:v>
                </c:pt>
                <c:pt idx="3">
                  <c:v>4.0549686086040255</c:v>
                </c:pt>
                <c:pt idx="4">
                  <c:v>3.4076793457873791</c:v>
                </c:pt>
                <c:pt idx="5">
                  <c:v>2.6918613044967539</c:v>
                </c:pt>
                <c:pt idx="6">
                  <c:v>3.2249503256252758</c:v>
                </c:pt>
                <c:pt idx="7">
                  <c:v>4.1652872370535938</c:v>
                </c:pt>
                <c:pt idx="8">
                  <c:v>2.5264586311745054</c:v>
                </c:pt>
                <c:pt idx="9">
                  <c:v>4.4321211948027184</c:v>
                </c:pt>
                <c:pt idx="10">
                  <c:v>4.696055820465828</c:v>
                </c:pt>
                <c:pt idx="11">
                  <c:v>3.7439226830430816</c:v>
                </c:pt>
                <c:pt idx="12">
                  <c:v>3.9830147394059674</c:v>
                </c:pt>
                <c:pt idx="13">
                  <c:v>4.7227029524352995</c:v>
                </c:pt>
                <c:pt idx="14">
                  <c:v>3.617441621196245</c:v>
                </c:pt>
                <c:pt idx="15">
                  <c:v>2.7118869599033641</c:v>
                </c:pt>
                <c:pt idx="16">
                  <c:v>3.8245198363132995</c:v>
                </c:pt>
                <c:pt idx="17">
                  <c:v>3.9579049170809988</c:v>
                </c:pt>
                <c:pt idx="18">
                  <c:v>3.6439518331485585</c:v>
                </c:pt>
                <c:pt idx="19">
                  <c:v>4.471506823573387</c:v>
                </c:pt>
                <c:pt idx="20">
                  <c:v>3.5228806749102057</c:v>
                </c:pt>
                <c:pt idx="21">
                  <c:v>5.0653238681982691</c:v>
                </c:pt>
                <c:pt idx="22">
                  <c:v>6.6261472069908107</c:v>
                </c:pt>
                <c:pt idx="23">
                  <c:v>3.2240158473155649</c:v>
                </c:pt>
                <c:pt idx="24">
                  <c:v>4.6528674353316211</c:v>
                </c:pt>
                <c:pt idx="25">
                  <c:v>5.1578733018510396</c:v>
                </c:pt>
              </c:numCache>
            </c:numRef>
          </c:val>
          <c:smooth val="0"/>
        </c:ser>
        <c:dLbls>
          <c:showLegendKey val="0"/>
          <c:showVal val="0"/>
          <c:showCatName val="0"/>
          <c:showSerName val="0"/>
          <c:showPercent val="0"/>
          <c:showBubbleSize val="0"/>
        </c:dLbls>
        <c:marker val="1"/>
        <c:smooth val="0"/>
        <c:axId val="230391808"/>
        <c:axId val="230389632"/>
      </c:lineChart>
      <c:catAx>
        <c:axId val="230381440"/>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30387712"/>
        <c:crossesAt val="-3"/>
        <c:auto val="1"/>
        <c:lblAlgn val="ctr"/>
        <c:lblOffset val="100"/>
        <c:noMultiLvlLbl val="0"/>
      </c:catAx>
      <c:valAx>
        <c:axId val="230387712"/>
        <c:scaling>
          <c:orientation val="minMax"/>
          <c:max val="3.5"/>
          <c:min val="-3"/>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30381440"/>
        <c:crosses val="autoZero"/>
        <c:crossBetween val="between"/>
      </c:valAx>
      <c:valAx>
        <c:axId val="230389632"/>
        <c:scaling>
          <c:orientation val="minMax"/>
          <c:max val="7.1"/>
          <c:min val="0"/>
        </c:scaling>
        <c:delete val="0"/>
        <c:axPos val="r"/>
        <c:title>
          <c:tx>
            <c:rich>
              <a:bodyPr rot="-5400000" vert="horz"/>
              <a:lstStyle/>
              <a:p>
                <a:pPr>
                  <a:defRPr sz="1400" b="0"/>
                </a:pPr>
                <a:r>
                  <a:rPr lang="en-US" sz="1400" b="0"/>
                  <a:t>Region Wild Abundance (Millions of fish)</a:t>
                </a:r>
              </a:p>
            </c:rich>
          </c:tx>
          <c:layout>
            <c:manualLayout>
              <c:xMode val="edge"/>
              <c:yMode val="edge"/>
              <c:x val="0.94281102046871945"/>
              <c:y val="5.5425493604398079E-2"/>
            </c:manualLayout>
          </c:layout>
          <c:overlay val="0"/>
        </c:title>
        <c:numFmt formatCode="0" sourceLinked="0"/>
        <c:majorTickMark val="out"/>
        <c:minorTickMark val="none"/>
        <c:tickLblPos val="nextTo"/>
        <c:crossAx val="230391808"/>
        <c:crosses val="max"/>
        <c:crossBetween val="between"/>
      </c:valAx>
      <c:catAx>
        <c:axId val="230391808"/>
        <c:scaling>
          <c:orientation val="minMax"/>
        </c:scaling>
        <c:delete val="1"/>
        <c:axPos val="b"/>
        <c:majorTickMark val="out"/>
        <c:minorTickMark val="none"/>
        <c:tickLblPos val="nextTo"/>
        <c:crossAx val="230389632"/>
        <c:crosses val="autoZero"/>
        <c:auto val="1"/>
        <c:lblAlgn val="ctr"/>
        <c:lblOffset val="100"/>
        <c:noMultiLvlLbl val="0"/>
      </c:catAx>
    </c:plotArea>
    <c:legend>
      <c:legendPos val="r"/>
      <c:layout>
        <c:manualLayout>
          <c:xMode val="edge"/>
          <c:yMode val="edge"/>
          <c:x val="0.20031386290380548"/>
          <c:y val="0.6323353545976792"/>
          <c:w val="0.60154158949040826"/>
          <c:h val="0.15941497107933131"/>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76716428903005951"/>
          <c:h val="0.77366897645383292"/>
        </c:manualLayout>
      </c:layout>
      <c:lineChart>
        <c:grouping val="standard"/>
        <c:varyColors val="0"/>
        <c:ser>
          <c:idx val="1"/>
          <c:order val="0"/>
          <c:tx>
            <c:v>Hugh Smith Lake</c:v>
          </c:tx>
          <c:spPr>
            <a:ln w="34925">
              <a:solidFill>
                <a:srgbClr val="0033CC"/>
              </a:solidFill>
              <a:prstDash val="sysDash"/>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Table'!$AD$16:$AD$41</c:f>
              <c:numCache>
                <c:formatCode>0.00</c:formatCode>
                <c:ptCount val="26"/>
                <c:pt idx="0">
                  <c:v>0.38008789512282887</c:v>
                </c:pt>
                <c:pt idx="1">
                  <c:v>2.6905244042069912E-2</c:v>
                </c:pt>
                <c:pt idx="2">
                  <c:v>2.8517830041565624</c:v>
                </c:pt>
                <c:pt idx="3">
                  <c:v>1.3611267125205835</c:v>
                </c:pt>
                <c:pt idx="4">
                  <c:v>-0.13201973030919523</c:v>
                </c:pt>
                <c:pt idx="5">
                  <c:v>-0.80952860313418262</c:v>
                </c:pt>
                <c:pt idx="6">
                  <c:v>9.6940842302132804E-2</c:v>
                </c:pt>
                <c:pt idx="7">
                  <c:v>1.5750624322362679E-2</c:v>
                </c:pt>
                <c:pt idx="8">
                  <c:v>-1.5393804372874518</c:v>
                </c:pt>
                <c:pt idx="9">
                  <c:v>-0.58026593465478726</c:v>
                </c:pt>
                <c:pt idx="10">
                  <c:v>0.65666332555953344</c:v>
                </c:pt>
                <c:pt idx="11">
                  <c:v>-0.27895443129363484</c:v>
                </c:pt>
                <c:pt idx="12">
                  <c:v>-0.91990946332897805</c:v>
                </c:pt>
                <c:pt idx="13">
                  <c:v>-0.29203836686860235</c:v>
                </c:pt>
                <c:pt idx="14">
                  <c:v>-1.2259190461235054</c:v>
                </c:pt>
                <c:pt idx="15">
                  <c:v>-0.47767459563750619</c:v>
                </c:pt>
                <c:pt idx="16">
                  <c:v>-0.22507588564892547</c:v>
                </c:pt>
                <c:pt idx="17">
                  <c:v>0.10328779079937053</c:v>
                </c:pt>
                <c:pt idx="18">
                  <c:v>0.66264206007043813</c:v>
                </c:pt>
                <c:pt idx="19">
                  <c:v>-0.13798107196165091</c:v>
                </c:pt>
                <c:pt idx="20">
                  <c:v>-1.5723755854048116E-2</c:v>
                </c:pt>
                <c:pt idx="21">
                  <c:v>1.4681338462838034</c:v>
                </c:pt>
                <c:pt idx="22">
                  <c:v>1.9014440684173868</c:v>
                </c:pt>
                <c:pt idx="23">
                  <c:v>-1.2107078765695107</c:v>
                </c:pt>
                <c:pt idx="24">
                  <c:v>-0.93373554981246376</c:v>
                </c:pt>
                <c:pt idx="25">
                  <c:v>-0.95591497441605544</c:v>
                </c:pt>
              </c:numCache>
            </c:numRef>
          </c:val>
          <c:smooth val="0"/>
        </c:ser>
        <c:dLbls>
          <c:showLegendKey val="0"/>
          <c:showVal val="0"/>
          <c:showCatName val="0"/>
          <c:showSerName val="0"/>
          <c:showPercent val="0"/>
          <c:showBubbleSize val="0"/>
        </c:dLbls>
        <c:marker val="1"/>
        <c:smooth val="0"/>
        <c:axId val="230430208"/>
        <c:axId val="230432128"/>
      </c:lineChart>
      <c:lineChart>
        <c:grouping val="standard"/>
        <c:varyColors val="0"/>
        <c:ser>
          <c:idx val="3"/>
          <c:order val="1"/>
          <c:tx>
            <c:v>Alaska Troll Wild Abundance</c:v>
          </c:tx>
          <c:spPr>
            <a:ln w="50800">
              <a:solidFill>
                <a:schemeClr val="tx1"/>
              </a:solidFill>
              <a:prstDash val="solid"/>
            </a:ln>
          </c:spPr>
          <c:marker>
            <c:symbol val="none"/>
          </c:marker>
          <c:val>
            <c:numRef>
              <c:f>'Taku Table'!$AQ$16:$AQ$41</c:f>
              <c:numCache>
                <c:formatCode>0.000</c:formatCode>
                <c:ptCount val="26"/>
                <c:pt idx="0">
                  <c:v>3.8709355582596414</c:v>
                </c:pt>
                <c:pt idx="1">
                  <c:v>4.1726997823101817</c:v>
                </c:pt>
                <c:pt idx="2">
                  <c:v>6.6518893716874876</c:v>
                </c:pt>
                <c:pt idx="3">
                  <c:v>4.0549686086040255</c:v>
                </c:pt>
                <c:pt idx="4">
                  <c:v>3.4076793457873791</c:v>
                </c:pt>
                <c:pt idx="5">
                  <c:v>2.6918613044967539</c:v>
                </c:pt>
                <c:pt idx="6">
                  <c:v>3.2249503256252758</c:v>
                </c:pt>
                <c:pt idx="7">
                  <c:v>4.1652872370535938</c:v>
                </c:pt>
                <c:pt idx="8">
                  <c:v>2.5264586311745054</c:v>
                </c:pt>
                <c:pt idx="9">
                  <c:v>4.4321211948027184</c:v>
                </c:pt>
                <c:pt idx="10">
                  <c:v>4.696055820465828</c:v>
                </c:pt>
                <c:pt idx="11">
                  <c:v>3.7439226830430816</c:v>
                </c:pt>
                <c:pt idx="12">
                  <c:v>3.9830147394059674</c:v>
                </c:pt>
                <c:pt idx="13">
                  <c:v>4.7227029524352995</c:v>
                </c:pt>
                <c:pt idx="14">
                  <c:v>3.617441621196245</c:v>
                </c:pt>
                <c:pt idx="15">
                  <c:v>2.7118869599033641</c:v>
                </c:pt>
                <c:pt idx="16">
                  <c:v>3.8245198363132995</c:v>
                </c:pt>
                <c:pt idx="17">
                  <c:v>3.9579049170809988</c:v>
                </c:pt>
                <c:pt idx="18">
                  <c:v>3.6439518331485585</c:v>
                </c:pt>
                <c:pt idx="19">
                  <c:v>4.471506823573387</c:v>
                </c:pt>
                <c:pt idx="20">
                  <c:v>3.5228806749102057</c:v>
                </c:pt>
                <c:pt idx="21">
                  <c:v>5.0653238681982691</c:v>
                </c:pt>
                <c:pt idx="22">
                  <c:v>6.6261472069908107</c:v>
                </c:pt>
                <c:pt idx="23">
                  <c:v>3.2240158473155649</c:v>
                </c:pt>
                <c:pt idx="24">
                  <c:v>4.6528674353316211</c:v>
                </c:pt>
                <c:pt idx="25">
                  <c:v>5.1578733018510396</c:v>
                </c:pt>
              </c:numCache>
            </c:numRef>
          </c:val>
          <c:smooth val="0"/>
        </c:ser>
        <c:dLbls>
          <c:showLegendKey val="0"/>
          <c:showVal val="0"/>
          <c:showCatName val="0"/>
          <c:showSerName val="0"/>
          <c:showPercent val="0"/>
          <c:showBubbleSize val="0"/>
        </c:dLbls>
        <c:marker val="1"/>
        <c:smooth val="0"/>
        <c:axId val="230440320"/>
        <c:axId val="230438400"/>
      </c:lineChart>
      <c:catAx>
        <c:axId val="230430208"/>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30432128"/>
        <c:crossesAt val="-3.6"/>
        <c:auto val="1"/>
        <c:lblAlgn val="ctr"/>
        <c:lblOffset val="100"/>
        <c:noMultiLvlLbl val="0"/>
      </c:catAx>
      <c:valAx>
        <c:axId val="230432128"/>
        <c:scaling>
          <c:orientation val="minMax"/>
          <c:max val="3.5"/>
          <c:min val="-3.5"/>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30430208"/>
        <c:crosses val="autoZero"/>
        <c:crossBetween val="between"/>
      </c:valAx>
      <c:valAx>
        <c:axId val="230438400"/>
        <c:scaling>
          <c:orientation val="minMax"/>
          <c:max val="7.9"/>
          <c:min val="0"/>
        </c:scaling>
        <c:delete val="0"/>
        <c:axPos val="r"/>
        <c:title>
          <c:tx>
            <c:rich>
              <a:bodyPr rot="-5400000" vert="horz"/>
              <a:lstStyle/>
              <a:p>
                <a:pPr>
                  <a:defRPr sz="1400" b="0"/>
                </a:pPr>
                <a:r>
                  <a:rPr lang="en-US" sz="1400" b="0"/>
                  <a:t>Region Wild Abundance (Millions of fish)</a:t>
                </a:r>
              </a:p>
            </c:rich>
          </c:tx>
          <c:layout>
            <c:manualLayout>
              <c:xMode val="edge"/>
              <c:yMode val="edge"/>
              <c:x val="0.94281102046871945"/>
              <c:y val="5.5425493604398079E-2"/>
            </c:manualLayout>
          </c:layout>
          <c:overlay val="0"/>
        </c:title>
        <c:numFmt formatCode="0" sourceLinked="0"/>
        <c:majorTickMark val="out"/>
        <c:minorTickMark val="none"/>
        <c:tickLblPos val="nextTo"/>
        <c:crossAx val="230440320"/>
        <c:crosses val="max"/>
        <c:crossBetween val="between"/>
      </c:valAx>
      <c:catAx>
        <c:axId val="230440320"/>
        <c:scaling>
          <c:orientation val="minMax"/>
        </c:scaling>
        <c:delete val="1"/>
        <c:axPos val="b"/>
        <c:majorTickMark val="out"/>
        <c:minorTickMark val="none"/>
        <c:tickLblPos val="nextTo"/>
        <c:crossAx val="230438400"/>
        <c:crosses val="autoZero"/>
        <c:auto val="1"/>
        <c:lblAlgn val="ctr"/>
        <c:lblOffset val="100"/>
        <c:noMultiLvlLbl val="0"/>
      </c:catAx>
    </c:plotArea>
    <c:legend>
      <c:legendPos val="r"/>
      <c:layout>
        <c:manualLayout>
          <c:xMode val="edge"/>
          <c:yMode val="edge"/>
          <c:x val="0.19806540911413401"/>
          <c:y val="0.6585362219541262"/>
          <c:w val="0.60154158949040826"/>
          <c:h val="0.12448048127073519"/>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78561789811706"/>
          <c:y val="6.2397262456357676E-2"/>
          <c:w val="0.73118902839531563"/>
          <c:h val="0.76202414651763428"/>
        </c:manualLayout>
      </c:layout>
      <c:lineChart>
        <c:grouping val="standard"/>
        <c:varyColors val="0"/>
        <c:ser>
          <c:idx val="1"/>
          <c:order val="0"/>
          <c:tx>
            <c:v>Hugh Smith Lake Return</c:v>
          </c:tx>
          <c:spPr>
            <a:ln w="44450">
              <a:solidFill>
                <a:srgbClr val="0033CC"/>
              </a:solidFill>
              <a:prstDash val="sysDash"/>
            </a:ln>
          </c:spPr>
          <c:marker>
            <c:symbol val="none"/>
          </c:marker>
          <c:cat>
            <c:numRef>
              <c:f>'Taku Table'!$AP$6:$AP$41</c:f>
              <c:numCache>
                <c:formatCode>General_)</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'Taku Table'!$Z$6:$Z$41</c:f>
              <c:numCache>
                <c:formatCode>#,##0</c:formatCode>
                <c:ptCount val="36"/>
                <c:pt idx="0">
                  <c:v>6132.3981005882351</c:v>
                </c:pt>
                <c:pt idx="1">
                  <c:v>3874.6376055912779</c:v>
                </c:pt>
                <c:pt idx="2">
                  <c:v>4023.6618032601609</c:v>
                </c:pt>
                <c:pt idx="3">
                  <c:v>2440.06340221957</c:v>
                </c:pt>
                <c:pt idx="4">
                  <c:v>4365.2427951680847</c:v>
                </c:pt>
                <c:pt idx="5">
                  <c:v>2243.7333250769234</c:v>
                </c:pt>
                <c:pt idx="6">
                  <c:v>1472.8414272727273</c:v>
                </c:pt>
                <c:pt idx="7">
                  <c:v>2404.1482196078432</c:v>
                </c:pt>
                <c:pt idx="8">
                  <c:v>4793.5998117647068</c:v>
                </c:pt>
                <c:pt idx="9">
                  <c:v>5766.7673997076818</c:v>
                </c:pt>
                <c:pt idx="10">
                  <c:v>4894.6816364759979</c:v>
                </c:pt>
                <c:pt idx="11">
                  <c:v>4241.8022695348827</c:v>
                </c:pt>
                <c:pt idx="12">
                  <c:v>9463.7586653711714</c:v>
                </c:pt>
                <c:pt idx="13">
                  <c:v>6708.1908790374318</c:v>
                </c:pt>
                <c:pt idx="14">
                  <c:v>3948.0198984923668</c:v>
                </c:pt>
                <c:pt idx="15">
                  <c:v>2695.6040093386764</c:v>
                </c:pt>
                <c:pt idx="16">
                  <c:v>4371.2672840690102</c:v>
                </c:pt>
                <c:pt idx="17">
                  <c:v>4221.182284270074</c:v>
                </c:pt>
                <c:pt idx="18">
                  <c:v>1346.429008854748</c:v>
                </c:pt>
                <c:pt idx="19">
                  <c:v>3119.409837292078</c:v>
                </c:pt>
                <c:pt idx="20">
                  <c:v>5405.94794976298</c:v>
                </c:pt>
                <c:pt idx="21">
                  <c:v>3676.4022687281363</c:v>
                </c:pt>
                <c:pt idx="22">
                  <c:v>2491.5583522095121</c:v>
                </c:pt>
                <c:pt idx="23">
                  <c:v>3652.2158270975992</c:v>
                </c:pt>
                <c:pt idx="24">
                  <c:v>1925.8812384513892</c:v>
                </c:pt>
                <c:pt idx="25">
                  <c:v>3309.0560961507222</c:v>
                </c:pt>
                <c:pt idx="26">
                  <c:v>3776</c:v>
                </c:pt>
                <c:pt idx="27">
                  <c:v>4383</c:v>
                </c:pt>
                <c:pt idx="28">
                  <c:v>5417</c:v>
                </c:pt>
                <c:pt idx="29">
                  <c:v>3937</c:v>
                </c:pt>
                <c:pt idx="30">
                  <c:v>4163</c:v>
                </c:pt>
                <c:pt idx="31">
                  <c:v>6906</c:v>
                </c:pt>
                <c:pt idx="32">
                  <c:v>7707</c:v>
                </c:pt>
                <c:pt idx="33">
                  <c:v>1954</c:v>
                </c:pt>
                <c:pt idx="34">
                  <c:v>2466</c:v>
                </c:pt>
                <c:pt idx="35">
                  <c:v>2425</c:v>
                </c:pt>
              </c:numCache>
            </c:numRef>
          </c:val>
          <c:smooth val="0"/>
        </c:ser>
        <c:dLbls>
          <c:showLegendKey val="0"/>
          <c:showVal val="0"/>
          <c:showCatName val="0"/>
          <c:showSerName val="0"/>
          <c:showPercent val="0"/>
          <c:showBubbleSize val="0"/>
        </c:dLbls>
        <c:marker val="1"/>
        <c:smooth val="0"/>
        <c:axId val="230462976"/>
        <c:axId val="230464896"/>
      </c:lineChart>
      <c:lineChart>
        <c:grouping val="standard"/>
        <c:varyColors val="0"/>
        <c:ser>
          <c:idx val="3"/>
          <c:order val="1"/>
          <c:tx>
            <c:v>Alaska Troll Wild Abundance</c:v>
          </c:tx>
          <c:spPr>
            <a:ln w="50800">
              <a:solidFill>
                <a:schemeClr val="tx1"/>
              </a:solidFill>
              <a:prstDash val="solid"/>
            </a:ln>
          </c:spPr>
          <c:marker>
            <c:symbol val="none"/>
          </c:marker>
          <c:val>
            <c:numRef>
              <c:f>'Taku Table'!$AQ$6:$AQ$41</c:f>
              <c:numCache>
                <c:formatCode>0.000</c:formatCode>
                <c:ptCount val="36"/>
                <c:pt idx="0">
                  <c:v>3.7520835163986841</c:v>
                </c:pt>
                <c:pt idx="1">
                  <c:v>3.2797699836658984</c:v>
                </c:pt>
                <c:pt idx="2">
                  <c:v>2.8739339138215305</c:v>
                </c:pt>
                <c:pt idx="3">
                  <c:v>3.8775989640080808</c:v>
                </c:pt>
                <c:pt idx="4">
                  <c:v>4.1999609384774761</c:v>
                </c:pt>
                <c:pt idx="5">
                  <c:v>2.6708093694380484</c:v>
                </c:pt>
                <c:pt idx="6">
                  <c:v>1.5444060197490821</c:v>
                </c:pt>
                <c:pt idx="7">
                  <c:v>2.3994648814511308</c:v>
                </c:pt>
                <c:pt idx="8">
                  <c:v>3.6168321860428221</c:v>
                </c:pt>
                <c:pt idx="9">
                  <c:v>4.1722714114334973</c:v>
                </c:pt>
                <c:pt idx="10">
                  <c:v>3.8709355582596414</c:v>
                </c:pt>
                <c:pt idx="11">
                  <c:v>4.1726997823101817</c:v>
                </c:pt>
                <c:pt idx="12">
                  <c:v>6.6518893716874876</c:v>
                </c:pt>
                <c:pt idx="13">
                  <c:v>4.0549686086040255</c:v>
                </c:pt>
                <c:pt idx="14">
                  <c:v>3.4076793457873791</c:v>
                </c:pt>
                <c:pt idx="15">
                  <c:v>2.6918613044967539</c:v>
                </c:pt>
                <c:pt idx="16">
                  <c:v>3.2249503256252758</c:v>
                </c:pt>
                <c:pt idx="17">
                  <c:v>4.1652872370535938</c:v>
                </c:pt>
                <c:pt idx="18">
                  <c:v>2.5264586311745054</c:v>
                </c:pt>
                <c:pt idx="19">
                  <c:v>4.4321211948027184</c:v>
                </c:pt>
                <c:pt idx="20">
                  <c:v>4.696055820465828</c:v>
                </c:pt>
                <c:pt idx="21">
                  <c:v>3.7439226830430816</c:v>
                </c:pt>
                <c:pt idx="22">
                  <c:v>3.9830147394059674</c:v>
                </c:pt>
                <c:pt idx="23">
                  <c:v>4.7227029524352995</c:v>
                </c:pt>
                <c:pt idx="24">
                  <c:v>3.617441621196245</c:v>
                </c:pt>
                <c:pt idx="25">
                  <c:v>2.7118869599033641</c:v>
                </c:pt>
                <c:pt idx="26">
                  <c:v>3.8245198363132995</c:v>
                </c:pt>
                <c:pt idx="27">
                  <c:v>3.9579049170809988</c:v>
                </c:pt>
                <c:pt idx="28">
                  <c:v>3.6439518331485585</c:v>
                </c:pt>
                <c:pt idx="29">
                  <c:v>4.471506823573387</c:v>
                </c:pt>
                <c:pt idx="30">
                  <c:v>3.5228806749102057</c:v>
                </c:pt>
                <c:pt idx="31">
                  <c:v>5.0653238681982691</c:v>
                </c:pt>
                <c:pt idx="32">
                  <c:v>6.6261472069908107</c:v>
                </c:pt>
                <c:pt idx="33">
                  <c:v>3.2240158473155649</c:v>
                </c:pt>
                <c:pt idx="34">
                  <c:v>4.6528674353316211</c:v>
                </c:pt>
                <c:pt idx="35">
                  <c:v>5.1578733018510396</c:v>
                </c:pt>
              </c:numCache>
            </c:numRef>
          </c:val>
          <c:smooth val="0"/>
        </c:ser>
        <c:dLbls>
          <c:showLegendKey val="0"/>
          <c:showVal val="0"/>
          <c:showCatName val="0"/>
          <c:showSerName val="0"/>
          <c:showPercent val="0"/>
          <c:showBubbleSize val="0"/>
        </c:dLbls>
        <c:marker val="1"/>
        <c:smooth val="0"/>
        <c:axId val="230477184"/>
        <c:axId val="230475264"/>
      </c:lineChart>
      <c:catAx>
        <c:axId val="230462976"/>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30464896"/>
        <c:crossesAt val="-3.6"/>
        <c:auto val="1"/>
        <c:lblAlgn val="ctr"/>
        <c:lblOffset val="100"/>
        <c:noMultiLvlLbl val="0"/>
      </c:catAx>
      <c:valAx>
        <c:axId val="230464896"/>
        <c:scaling>
          <c:orientation val="minMax"/>
          <c:max val="10000"/>
          <c:min val="0"/>
        </c:scaling>
        <c:delete val="0"/>
        <c:axPos val="l"/>
        <c:title>
          <c:tx>
            <c:rich>
              <a:bodyPr rot="-5400000" vert="horz"/>
              <a:lstStyle/>
              <a:p>
                <a:pPr>
                  <a:defRPr sz="1400" b="0" i="0" baseline="0"/>
                </a:pPr>
                <a:r>
                  <a:rPr lang="en-US" sz="1400" b="0" i="0" baseline="0"/>
                  <a:t>Hught Smith Lake (Number of Fish)</a:t>
                </a:r>
              </a:p>
            </c:rich>
          </c:tx>
          <c:layout>
            <c:manualLayout>
              <c:xMode val="edge"/>
              <c:yMode val="edge"/>
              <c:x val="4.662004662004662E-3"/>
              <c:y val="0.13979933139507023"/>
            </c:manualLayout>
          </c:layout>
          <c:overlay val="0"/>
        </c:title>
        <c:numFmt formatCode="#,##0" sourceLinked="0"/>
        <c:majorTickMark val="out"/>
        <c:minorTickMark val="none"/>
        <c:tickLblPos val="nextTo"/>
        <c:crossAx val="230462976"/>
        <c:crosses val="autoZero"/>
        <c:crossBetween val="between"/>
      </c:valAx>
      <c:valAx>
        <c:axId val="230475264"/>
        <c:scaling>
          <c:orientation val="minMax"/>
          <c:max val="9"/>
          <c:min val="0"/>
        </c:scaling>
        <c:delete val="0"/>
        <c:axPos val="r"/>
        <c:title>
          <c:tx>
            <c:rich>
              <a:bodyPr rot="-5400000" vert="horz"/>
              <a:lstStyle/>
              <a:p>
                <a:pPr>
                  <a:defRPr sz="1400" b="0"/>
                </a:pPr>
                <a:r>
                  <a:rPr lang="en-US" sz="1400" b="0"/>
                  <a:t>Region Wild Abundance (Millions of fish)</a:t>
                </a:r>
              </a:p>
            </c:rich>
          </c:tx>
          <c:layout>
            <c:manualLayout>
              <c:xMode val="edge"/>
              <c:yMode val="edge"/>
              <c:x val="0.94047996622799768"/>
              <c:y val="6.9256675811992546E-2"/>
            </c:manualLayout>
          </c:layout>
          <c:overlay val="0"/>
        </c:title>
        <c:numFmt formatCode="0" sourceLinked="0"/>
        <c:majorTickMark val="out"/>
        <c:minorTickMark val="none"/>
        <c:tickLblPos val="nextTo"/>
        <c:crossAx val="230477184"/>
        <c:crosses val="max"/>
        <c:crossBetween val="between"/>
      </c:valAx>
      <c:catAx>
        <c:axId val="230477184"/>
        <c:scaling>
          <c:orientation val="minMax"/>
        </c:scaling>
        <c:delete val="1"/>
        <c:axPos val="b"/>
        <c:majorTickMark val="out"/>
        <c:minorTickMark val="none"/>
        <c:tickLblPos val="nextTo"/>
        <c:crossAx val="230475264"/>
        <c:crosses val="autoZero"/>
        <c:auto val="1"/>
        <c:lblAlgn val="ctr"/>
        <c:lblOffset val="100"/>
        <c:noMultiLvlLbl val="0"/>
      </c:catAx>
    </c:plotArea>
    <c:legend>
      <c:legendPos val="r"/>
      <c:layout>
        <c:manualLayout>
          <c:xMode val="edge"/>
          <c:yMode val="edge"/>
          <c:x val="0.23628912353854931"/>
          <c:y val="0.71967157911916946"/>
          <c:w val="0.59029932054205092"/>
          <c:h val="0.10410202888238744"/>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81035726337325"/>
          <c:y val="5.0752505453668349E-2"/>
          <c:w val="0.76716428903005951"/>
          <c:h val="0.77366897645383292"/>
        </c:manualLayout>
      </c:layout>
      <c:lineChart>
        <c:grouping val="standard"/>
        <c:varyColors val="0"/>
        <c:ser>
          <c:idx val="1"/>
          <c:order val="0"/>
          <c:tx>
            <c:v>Berners River Return</c:v>
          </c:tx>
          <c:spPr>
            <a:ln w="44450">
              <a:solidFill>
                <a:srgbClr val="0033CC"/>
              </a:solidFill>
              <a:prstDash val="sysDash"/>
            </a:ln>
          </c:spPr>
          <c:marker>
            <c:symbol val="none"/>
          </c:marker>
          <c:cat>
            <c:numRef>
              <c:f>'Taku Table'!$V$16:$V$41</c:f>
              <c:numCache>
                <c:formatCode>General_)</c:formatCode>
                <c:ptCount val="26"/>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numCache>
            </c:numRef>
          </c:cat>
          <c:val>
            <c:numRef>
              <c:f>'Taku Table'!$AK$16:$AK$41</c:f>
              <c:numCache>
                <c:formatCode>0.00</c:formatCode>
                <c:ptCount val="26"/>
                <c:pt idx="0">
                  <c:v>1.3414159195449635</c:v>
                </c:pt>
                <c:pt idx="1">
                  <c:v>1.5638512304235195</c:v>
                </c:pt>
                <c:pt idx="2">
                  <c:v>2.9961094887399993</c:v>
                </c:pt>
                <c:pt idx="3">
                  <c:v>0.15839427965423714</c:v>
                </c:pt>
                <c:pt idx="4">
                  <c:v>-0.13592100662846246</c:v>
                </c:pt>
                <c:pt idx="5">
                  <c:v>-0.58108094585691461</c:v>
                </c:pt>
                <c:pt idx="6">
                  <c:v>-0.15603479376653787</c:v>
                </c:pt>
                <c:pt idx="7">
                  <c:v>0.49085930826914442</c:v>
                </c:pt>
                <c:pt idx="8">
                  <c:v>-0.20078982036877399</c:v>
                </c:pt>
                <c:pt idx="9">
                  <c:v>0.56706700571158453</c:v>
                </c:pt>
                <c:pt idx="10">
                  <c:v>1.7511134221743097</c:v>
                </c:pt>
                <c:pt idx="11">
                  <c:v>0.25109178479543104</c:v>
                </c:pt>
                <c:pt idx="12">
                  <c:v>0.55830466311194404</c:v>
                </c:pt>
                <c:pt idx="13">
                  <c:v>-0.80300354144915487</c:v>
                </c:pt>
                <c:pt idx="14">
                  <c:v>-0.61516841840871128</c:v>
                </c:pt>
                <c:pt idx="15">
                  <c:v>-1.0646058041216697</c:v>
                </c:pt>
                <c:pt idx="16">
                  <c:v>-0.68234936757617837</c:v>
                </c:pt>
                <c:pt idx="17">
                  <c:v>-1.0242113371390071</c:v>
                </c:pt>
                <c:pt idx="18">
                  <c:v>-0.22502911896113897</c:v>
                </c:pt>
                <c:pt idx="19">
                  <c:v>-0.83479596906901143</c:v>
                </c:pt>
                <c:pt idx="20">
                  <c:v>-1.0533659698664239</c:v>
                </c:pt>
                <c:pt idx="21">
                  <c:v>-0.28803204747310002</c:v>
                </c:pt>
                <c:pt idx="22">
                  <c:v>0.18088786301170928</c:v>
                </c:pt>
                <c:pt idx="23">
                  <c:v>-0.56071183746077569</c:v>
                </c:pt>
                <c:pt idx="24">
                  <c:v>-0.94997673184383291</c:v>
                </c:pt>
                <c:pt idx="25">
                  <c:v>-0.68401825544714512</c:v>
                </c:pt>
              </c:numCache>
            </c:numRef>
          </c:val>
          <c:smooth val="0"/>
        </c:ser>
        <c:ser>
          <c:idx val="2"/>
          <c:order val="1"/>
          <c:tx>
            <c:v>Chilkat River Return</c:v>
          </c:tx>
          <c:spPr>
            <a:ln w="19050">
              <a:solidFill>
                <a:srgbClr val="0033CC"/>
              </a:solidFill>
              <a:prstDash val="dash"/>
            </a:ln>
          </c:spPr>
          <c:marker>
            <c:symbol val="none"/>
          </c:marker>
          <c:val>
            <c:numRef>
              <c:f>'Taku Table'!$AL$16:$AL$41</c:f>
              <c:numCache>
                <c:formatCode>0.00</c:formatCode>
                <c:ptCount val="26"/>
                <c:pt idx="8">
                  <c:v>-0.28806015115841838</c:v>
                </c:pt>
                <c:pt idx="9">
                  <c:v>3.2590902532561014E-2</c:v>
                </c:pt>
                <c:pt idx="10">
                  <c:v>1.956465877425168</c:v>
                </c:pt>
                <c:pt idx="11">
                  <c:v>0.69348504320779003</c:v>
                </c:pt>
                <c:pt idx="12">
                  <c:v>0.44411764345104543</c:v>
                </c:pt>
                <c:pt idx="13">
                  <c:v>-0.91477533668576094</c:v>
                </c:pt>
                <c:pt idx="14">
                  <c:v>-7.7970859748022051E-2</c:v>
                </c:pt>
                <c:pt idx="15">
                  <c:v>-1.196169180199238</c:v>
                </c:pt>
                <c:pt idx="16">
                  <c:v>-0.46608120247438978</c:v>
                </c:pt>
                <c:pt idx="17">
                  <c:v>-0.78002394396575336</c:v>
                </c:pt>
                <c:pt idx="18">
                  <c:v>1.6676946956213978E-2</c:v>
                </c:pt>
                <c:pt idx="19">
                  <c:v>-0.57497111124728051</c:v>
                </c:pt>
                <c:pt idx="20">
                  <c:v>-0.91585159238133784</c:v>
                </c:pt>
                <c:pt idx="21">
                  <c:v>-0.32610526754284352</c:v>
                </c:pt>
                <c:pt idx="22">
                  <c:v>3.8651371497945966E-2</c:v>
                </c:pt>
                <c:pt idx="23">
                  <c:v>-0.84564419414268011</c:v>
                </c:pt>
                <c:pt idx="24">
                  <c:v>-1.1726378420784676</c:v>
                </c:pt>
                <c:pt idx="25">
                  <c:v>-1.0469876018909605</c:v>
                </c:pt>
              </c:numCache>
            </c:numRef>
          </c:val>
          <c:smooth val="0"/>
        </c:ser>
        <c:dLbls>
          <c:showLegendKey val="0"/>
          <c:showVal val="0"/>
          <c:showCatName val="0"/>
          <c:showSerName val="0"/>
          <c:showPercent val="0"/>
          <c:showBubbleSize val="0"/>
        </c:dLbls>
        <c:marker val="1"/>
        <c:smooth val="0"/>
        <c:axId val="230520704"/>
        <c:axId val="230526976"/>
      </c:lineChart>
      <c:lineChart>
        <c:grouping val="standard"/>
        <c:varyColors val="0"/>
        <c:ser>
          <c:idx val="3"/>
          <c:order val="2"/>
          <c:tx>
            <c:v>Alaska Troll Wild Abundance</c:v>
          </c:tx>
          <c:spPr>
            <a:ln w="50800">
              <a:solidFill>
                <a:schemeClr val="tx1"/>
              </a:solidFill>
              <a:prstDash val="solid"/>
            </a:ln>
          </c:spPr>
          <c:marker>
            <c:symbol val="none"/>
          </c:marker>
          <c:val>
            <c:numRef>
              <c:f>'Taku Table'!$AQ$16:$AQ$41</c:f>
              <c:numCache>
                <c:formatCode>0.000</c:formatCode>
                <c:ptCount val="26"/>
                <c:pt idx="0">
                  <c:v>3.8709355582596414</c:v>
                </c:pt>
                <c:pt idx="1">
                  <c:v>4.1726997823101817</c:v>
                </c:pt>
                <c:pt idx="2">
                  <c:v>6.6518893716874876</c:v>
                </c:pt>
                <c:pt idx="3">
                  <c:v>4.0549686086040255</c:v>
                </c:pt>
                <c:pt idx="4">
                  <c:v>3.4076793457873791</c:v>
                </c:pt>
                <c:pt idx="5">
                  <c:v>2.6918613044967539</c:v>
                </c:pt>
                <c:pt idx="6">
                  <c:v>3.2249503256252758</c:v>
                </c:pt>
                <c:pt idx="7">
                  <c:v>4.1652872370535938</c:v>
                </c:pt>
                <c:pt idx="8">
                  <c:v>2.5264586311745054</c:v>
                </c:pt>
                <c:pt idx="9">
                  <c:v>4.4321211948027184</c:v>
                </c:pt>
                <c:pt idx="10">
                  <c:v>4.696055820465828</c:v>
                </c:pt>
                <c:pt idx="11">
                  <c:v>3.7439226830430816</c:v>
                </c:pt>
                <c:pt idx="12">
                  <c:v>3.9830147394059674</c:v>
                </c:pt>
                <c:pt idx="13">
                  <c:v>4.7227029524352995</c:v>
                </c:pt>
                <c:pt idx="14">
                  <c:v>3.617441621196245</c:v>
                </c:pt>
                <c:pt idx="15">
                  <c:v>2.7118869599033641</c:v>
                </c:pt>
                <c:pt idx="16">
                  <c:v>3.8245198363132995</c:v>
                </c:pt>
                <c:pt idx="17">
                  <c:v>3.9579049170809988</c:v>
                </c:pt>
                <c:pt idx="18">
                  <c:v>3.6439518331485585</c:v>
                </c:pt>
                <c:pt idx="19">
                  <c:v>4.471506823573387</c:v>
                </c:pt>
                <c:pt idx="20">
                  <c:v>3.5228806749102057</c:v>
                </c:pt>
                <c:pt idx="21">
                  <c:v>5.0653238681982691</c:v>
                </c:pt>
                <c:pt idx="22">
                  <c:v>6.6261472069908107</c:v>
                </c:pt>
                <c:pt idx="23">
                  <c:v>3.2240158473155649</c:v>
                </c:pt>
                <c:pt idx="24">
                  <c:v>4.6528674353316211</c:v>
                </c:pt>
                <c:pt idx="25">
                  <c:v>5.1578733018510396</c:v>
                </c:pt>
              </c:numCache>
            </c:numRef>
          </c:val>
          <c:smooth val="0"/>
        </c:ser>
        <c:dLbls>
          <c:showLegendKey val="0"/>
          <c:showVal val="0"/>
          <c:showCatName val="0"/>
          <c:showSerName val="0"/>
          <c:showPercent val="0"/>
          <c:showBubbleSize val="0"/>
        </c:dLbls>
        <c:marker val="1"/>
        <c:smooth val="0"/>
        <c:axId val="230531072"/>
        <c:axId val="230528896"/>
      </c:lineChart>
      <c:catAx>
        <c:axId val="230520704"/>
        <c:scaling>
          <c:orientation val="minMax"/>
        </c:scaling>
        <c:delete val="0"/>
        <c:axPos val="b"/>
        <c:title>
          <c:tx>
            <c:rich>
              <a:bodyPr/>
              <a:lstStyle/>
              <a:p>
                <a:pPr>
                  <a:defRPr sz="1400" b="0" i="0" baseline="0"/>
                </a:pPr>
                <a:r>
                  <a:rPr lang="en-US" sz="1400" b="0" i="0" baseline="0"/>
                  <a:t>Year</a:t>
                </a:r>
              </a:p>
            </c:rich>
          </c:tx>
          <c:overlay val="0"/>
        </c:title>
        <c:numFmt formatCode="General_)" sourceLinked="1"/>
        <c:majorTickMark val="out"/>
        <c:minorTickMark val="none"/>
        <c:tickLblPos val="nextTo"/>
        <c:txPr>
          <a:bodyPr rot="-5400000" vert="horz"/>
          <a:lstStyle/>
          <a:p>
            <a:pPr>
              <a:defRPr/>
            </a:pPr>
            <a:endParaRPr lang="en-US"/>
          </a:p>
        </c:txPr>
        <c:crossAx val="230526976"/>
        <c:crossesAt val="-3"/>
        <c:auto val="1"/>
        <c:lblAlgn val="ctr"/>
        <c:lblOffset val="100"/>
        <c:noMultiLvlLbl val="0"/>
      </c:catAx>
      <c:valAx>
        <c:axId val="230526976"/>
        <c:scaling>
          <c:orientation val="minMax"/>
          <c:max val="3.5"/>
          <c:min val="-3"/>
        </c:scaling>
        <c:delete val="0"/>
        <c:axPos val="l"/>
        <c:title>
          <c:tx>
            <c:rich>
              <a:bodyPr rot="-5400000" vert="horz"/>
              <a:lstStyle/>
              <a:p>
                <a:pPr>
                  <a:defRPr sz="1400" b="0" i="0" baseline="0"/>
                </a:pPr>
                <a:r>
                  <a:rPr lang="en-US" sz="1400" b="0" i="0" baseline="0"/>
                  <a:t>Standardized Total Run</a:t>
                </a:r>
              </a:p>
            </c:rich>
          </c:tx>
          <c:overlay val="0"/>
        </c:title>
        <c:numFmt formatCode="0.0" sourceLinked="0"/>
        <c:majorTickMark val="out"/>
        <c:minorTickMark val="none"/>
        <c:tickLblPos val="nextTo"/>
        <c:crossAx val="230520704"/>
        <c:crosses val="autoZero"/>
        <c:crossBetween val="between"/>
      </c:valAx>
      <c:valAx>
        <c:axId val="230528896"/>
        <c:scaling>
          <c:orientation val="minMax"/>
          <c:max val="7.1"/>
          <c:min val="0"/>
        </c:scaling>
        <c:delete val="0"/>
        <c:axPos val="r"/>
        <c:title>
          <c:tx>
            <c:rich>
              <a:bodyPr rot="-5400000" vert="horz"/>
              <a:lstStyle/>
              <a:p>
                <a:pPr>
                  <a:defRPr sz="1400" b="0"/>
                </a:pPr>
                <a:r>
                  <a:rPr lang="en-US" sz="1400" b="0"/>
                  <a:t>Region Wild Abundance (Millions of fish)</a:t>
                </a:r>
              </a:p>
            </c:rich>
          </c:tx>
          <c:layout>
            <c:manualLayout>
              <c:xMode val="edge"/>
              <c:yMode val="edge"/>
              <c:x val="0.94281102046871945"/>
              <c:y val="5.5425493604398079E-2"/>
            </c:manualLayout>
          </c:layout>
          <c:overlay val="0"/>
        </c:title>
        <c:numFmt formatCode="0" sourceLinked="0"/>
        <c:majorTickMark val="out"/>
        <c:minorTickMark val="none"/>
        <c:tickLblPos val="nextTo"/>
        <c:crossAx val="230531072"/>
        <c:crosses val="max"/>
        <c:crossBetween val="between"/>
      </c:valAx>
      <c:catAx>
        <c:axId val="230531072"/>
        <c:scaling>
          <c:orientation val="minMax"/>
        </c:scaling>
        <c:delete val="1"/>
        <c:axPos val="b"/>
        <c:majorTickMark val="out"/>
        <c:minorTickMark val="none"/>
        <c:tickLblPos val="nextTo"/>
        <c:crossAx val="230528896"/>
        <c:crosses val="autoZero"/>
        <c:auto val="1"/>
        <c:lblAlgn val="ctr"/>
        <c:lblOffset val="100"/>
        <c:noMultiLvlLbl val="0"/>
      </c:catAx>
    </c:plotArea>
    <c:legend>
      <c:legendPos val="r"/>
      <c:layout>
        <c:manualLayout>
          <c:xMode val="edge"/>
          <c:yMode val="edge"/>
          <c:x val="0.20031386290380548"/>
          <c:y val="0.6323353545976792"/>
          <c:w val="0.60154158949040826"/>
          <c:h val="0.15941497107933131"/>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1861470839386"/>
          <c:y val="5.6853340317907251E-2"/>
          <c:w val="0.76844317998481071"/>
          <c:h val="0.78430468158007449"/>
        </c:manualLayout>
      </c:layout>
      <c:lineChart>
        <c:grouping val="standard"/>
        <c:varyColors val="0"/>
        <c:ser>
          <c:idx val="0"/>
          <c:order val="1"/>
          <c:tx>
            <c:v>Hugh Smith Lake Return x 7.5</c:v>
          </c:tx>
          <c:spPr>
            <a:ln>
              <a:solidFill>
                <a:srgbClr val="FF0000"/>
              </a:solidFill>
              <a:prstDash val="sysDash"/>
            </a:ln>
          </c:spPr>
          <c:marker>
            <c:symbol val="none"/>
          </c:marker>
          <c:val>
            <c:numRef>
              <c:f>'Taku Table'!$AR$6:$AR$41</c:f>
              <c:numCache>
                <c:formatCode>#,##0</c:formatCode>
                <c:ptCount val="36"/>
                <c:pt idx="0">
                  <c:v>45992.985754411762</c:v>
                </c:pt>
                <c:pt idx="1">
                  <c:v>29059.782041934584</c:v>
                </c:pt>
                <c:pt idx="2">
                  <c:v>30177.463524451206</c:v>
                </c:pt>
                <c:pt idx="3">
                  <c:v>18300.475516646773</c:v>
                </c:pt>
                <c:pt idx="4">
                  <c:v>32739.320963760634</c:v>
                </c:pt>
                <c:pt idx="5">
                  <c:v>16827.999938076926</c:v>
                </c:pt>
                <c:pt idx="6">
                  <c:v>11046.310704545454</c:v>
                </c:pt>
                <c:pt idx="7">
                  <c:v>18031.111647058824</c:v>
                </c:pt>
                <c:pt idx="8">
                  <c:v>35951.998588235299</c:v>
                </c:pt>
                <c:pt idx="9">
                  <c:v>43250.755497807615</c:v>
                </c:pt>
                <c:pt idx="10">
                  <c:v>36710.112273569983</c:v>
                </c:pt>
                <c:pt idx="11">
                  <c:v>31813.51702151162</c:v>
                </c:pt>
                <c:pt idx="12">
                  <c:v>70978.18999028379</c:v>
                </c:pt>
                <c:pt idx="13">
                  <c:v>50311.43159278074</c:v>
                </c:pt>
                <c:pt idx="14">
                  <c:v>29610.149238692749</c:v>
                </c:pt>
                <c:pt idx="15">
                  <c:v>20217.030070040073</c:v>
                </c:pt>
                <c:pt idx="16">
                  <c:v>32784.504630517578</c:v>
                </c:pt>
                <c:pt idx="17">
                  <c:v>31658.867132025556</c:v>
                </c:pt>
                <c:pt idx="18">
                  <c:v>10098.217566410609</c:v>
                </c:pt>
                <c:pt idx="19">
                  <c:v>23395.573779690585</c:v>
                </c:pt>
                <c:pt idx="20">
                  <c:v>40544.60962322235</c:v>
                </c:pt>
                <c:pt idx="21">
                  <c:v>27573.01701546102</c:v>
                </c:pt>
                <c:pt idx="22">
                  <c:v>18686.687641571341</c:v>
                </c:pt>
                <c:pt idx="23">
                  <c:v>27391.618703231994</c:v>
                </c:pt>
                <c:pt idx="24">
                  <c:v>14444.10928838542</c:v>
                </c:pt>
                <c:pt idx="25">
                  <c:v>24817.920721130416</c:v>
                </c:pt>
                <c:pt idx="26">
                  <c:v>28320</c:v>
                </c:pt>
                <c:pt idx="27">
                  <c:v>32872.5</c:v>
                </c:pt>
                <c:pt idx="28">
                  <c:v>40627.5</c:v>
                </c:pt>
                <c:pt idx="29">
                  <c:v>29527.5</c:v>
                </c:pt>
                <c:pt idx="30">
                  <c:v>31222.5</c:v>
                </c:pt>
                <c:pt idx="31">
                  <c:v>51795</c:v>
                </c:pt>
                <c:pt idx="32">
                  <c:v>57802.5</c:v>
                </c:pt>
                <c:pt idx="33">
                  <c:v>14655</c:v>
                </c:pt>
                <c:pt idx="34">
                  <c:v>18495</c:v>
                </c:pt>
                <c:pt idx="35">
                  <c:v>18187.5</c:v>
                </c:pt>
              </c:numCache>
            </c:numRef>
          </c:val>
          <c:smooth val="0"/>
        </c:ser>
        <c:ser>
          <c:idx val="1"/>
          <c:order val="2"/>
          <c:tx>
            <c:v>Berners River Return</c:v>
          </c:tx>
          <c:spPr>
            <a:ln w="44450">
              <a:solidFill>
                <a:srgbClr val="0033CC"/>
              </a:solidFill>
              <a:prstDash val="sysDash"/>
            </a:ln>
          </c:spPr>
          <c:marker>
            <c:symbol val="none"/>
          </c:marker>
          <c:cat>
            <c:numRef>
              <c:f>'Taku Table'!$AP$6:$AP$41</c:f>
              <c:numCache>
                <c:formatCode>General_)</c:formatCode>
                <c:ptCount val="36"/>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pt idx="34">
                  <c:v>2016</c:v>
                </c:pt>
                <c:pt idx="35">
                  <c:v>2017</c:v>
                </c:pt>
              </c:numCache>
            </c:numRef>
          </c:cat>
          <c:val>
            <c:numRef>
              <c:f>'Berners River'!$K$11:$K$46</c:f>
              <c:numCache>
                <c:formatCode>#,##0</c:formatCode>
                <c:ptCount val="36"/>
                <c:pt idx="0">
                  <c:v>32609.466443750003</c:v>
                </c:pt>
                <c:pt idx="1">
                  <c:v>34414.496114285736</c:v>
                </c:pt>
                <c:pt idx="3">
                  <c:v>24336.406934285711</c:v>
                </c:pt>
                <c:pt idx="4">
                  <c:v>24687.243790666638</c:v>
                </c:pt>
                <c:pt idx="5">
                  <c:v>13954.139353870971</c:v>
                </c:pt>
                <c:pt idx="6">
                  <c:v>15148.339939375004</c:v>
                </c:pt>
                <c:pt idx="7">
                  <c:v>19756.31947621622</c:v>
                </c:pt>
                <c:pt idx="8">
                  <c:v>33960.630254994816</c:v>
                </c:pt>
                <c:pt idx="9">
                  <c:v>34986.804854161077</c:v>
                </c:pt>
                <c:pt idx="10">
                  <c:v>45994.775120772909</c:v>
                </c:pt>
                <c:pt idx="11">
                  <c:v>49605.621649948291</c:v>
                </c:pt>
                <c:pt idx="12">
                  <c:v>73368.888401009244</c:v>
                </c:pt>
                <c:pt idx="13">
                  <c:v>28815.150686949062</c:v>
                </c:pt>
                <c:pt idx="14">
                  <c:v>23653.698673798015</c:v>
                </c:pt>
                <c:pt idx="15">
                  <c:v>15284.193293887598</c:v>
                </c:pt>
                <c:pt idx="16">
                  <c:v>23137.138818002408</c:v>
                </c:pt>
                <c:pt idx="17">
                  <c:v>33145.161085633677</c:v>
                </c:pt>
                <c:pt idx="18">
                  <c:v>21464.712363482147</c:v>
                </c:pt>
                <c:pt idx="19">
                  <c:v>32152.75112682458</c:v>
                </c:pt>
                <c:pt idx="20">
                  <c:v>49818.421037951979</c:v>
                </c:pt>
                <c:pt idx="21">
                  <c:v>29111.021630484258</c:v>
                </c:pt>
                <c:pt idx="22">
                  <c:v>33174.003930812047</c:v>
                </c:pt>
                <c:pt idx="23">
                  <c:v>12757.874942477865</c:v>
                </c:pt>
                <c:pt idx="24">
                  <c:v>15822.204102688618</c:v>
                </c:pt>
                <c:pt idx="25">
                  <c:v>8721.5504169317664</c:v>
                </c:pt>
                <c:pt idx="26">
                  <c:v>14366.759212206873</c:v>
                </c:pt>
                <c:pt idx="27">
                  <c:v>9317.4461149367089</c:v>
                </c:pt>
                <c:pt idx="28">
                  <c:v>21816.53139184419</c:v>
                </c:pt>
                <c:pt idx="29">
                  <c:v>12029.060059090903</c:v>
                </c:pt>
                <c:pt idx="30">
                  <c:v>8530.5066227316747</c:v>
                </c:pt>
                <c:pt idx="31">
                  <c:v>21067.581021634618</c:v>
                </c:pt>
                <c:pt idx="32">
                  <c:v>26648.29454920346</c:v>
                </c:pt>
                <c:pt idx="33">
                  <c:v>15649</c:v>
                </c:pt>
                <c:pt idx="34">
                  <c:v>9948.2170047798718</c:v>
                </c:pt>
                <c:pt idx="35">
                  <c:v>14298</c:v>
                </c:pt>
              </c:numCache>
            </c:numRef>
          </c:val>
          <c:smooth val="0"/>
        </c:ser>
        <c:ser>
          <c:idx val="2"/>
          <c:order val="3"/>
          <c:tx>
            <c:v>Chilkat River x 0.15</c:v>
          </c:tx>
          <c:spPr>
            <a:ln w="22225">
              <a:solidFill>
                <a:srgbClr val="0033CC"/>
              </a:solidFill>
              <a:prstDash val="sysDash"/>
            </a:ln>
          </c:spPr>
          <c:marker>
            <c:symbol val="none"/>
          </c:marker>
          <c:val>
            <c:numRef>
              <c:f>'Berners River'!$P$11:$P$46</c:f>
              <c:numCache>
                <c:formatCode>General</c:formatCode>
                <c:ptCount val="36"/>
                <c:pt idx="18" formatCode="#,##0">
                  <c:v>19.265109048067014</c:v>
                </c:pt>
                <c:pt idx="19" formatCode="#,##0">
                  <c:v>23.987891017406934</c:v>
                </c:pt>
                <c:pt idx="20" formatCode="#,##0">
                  <c:v>52.324121128297435</c:v>
                </c:pt>
                <c:pt idx="21" formatCode="#,##0">
                  <c:v>33.722020674225149</c:v>
                </c:pt>
                <c:pt idx="22" formatCode="#,##0">
                  <c:v>30.049156213759897</c:v>
                </c:pt>
                <c:pt idx="23" formatCode="#,##0">
                  <c:v>10.034391905398467</c:v>
                </c:pt>
                <c:pt idx="24" formatCode="#,##0">
                  <c:v>22.359456956808447</c:v>
                </c:pt>
                <c:pt idx="25" formatCode="#,##0">
                  <c:v>5.8898186843496836</c:v>
                </c:pt>
                <c:pt idx="26" formatCode="#,##0">
                  <c:v>16.643085506774476</c:v>
                </c:pt>
                <c:pt idx="27" formatCode="#,##0">
                  <c:v>12.019108439325134</c:v>
                </c:pt>
                <c:pt idx="28" formatCode="#,##0">
                  <c:v>23.753498703420401</c:v>
                </c:pt>
                <c:pt idx="29" formatCode="#,##0">
                  <c:v>15.039275720790464</c:v>
                </c:pt>
                <c:pt idx="30" formatCode="#,##0">
                  <c:v>10.018540028615398</c:v>
                </c:pt>
                <c:pt idx="31" formatCode="#,##0">
                  <c:v>18.704752898871369</c:v>
                </c:pt>
                <c:pt idx="32" formatCode="#,##0">
                  <c:v>24.077154012884407</c:v>
                </c:pt>
                <c:pt idx="33" formatCode="#,##0">
                  <c:v>11.052605660706998</c:v>
                </c:pt>
                <c:pt idx="34" formatCode="#,##0">
                  <c:v>6.2364053495484146</c:v>
                </c:pt>
                <c:pt idx="35" formatCode="#,##0">
                  <c:v>8.0870734885425346</c:v>
                </c:pt>
              </c:numCache>
            </c:numRef>
          </c:val>
          <c:smooth val="0"/>
        </c:ser>
        <c:dLbls>
          <c:showLegendKey val="0"/>
          <c:showVal val="0"/>
          <c:showCatName val="0"/>
          <c:showSerName val="0"/>
          <c:showPercent val="0"/>
          <c:showBubbleSize val="0"/>
        </c:dLbls>
        <c:marker val="1"/>
        <c:smooth val="0"/>
        <c:axId val="230662144"/>
        <c:axId val="230664064"/>
      </c:lineChart>
      <c:lineChart>
        <c:grouping val="standard"/>
        <c:varyColors val="0"/>
        <c:ser>
          <c:idx val="3"/>
          <c:order val="0"/>
          <c:tx>
            <c:v>Alaska Troll Wild Abundance</c:v>
          </c:tx>
          <c:spPr>
            <a:ln w="50800">
              <a:solidFill>
                <a:schemeClr val="tx1"/>
              </a:solidFill>
              <a:prstDash val="solid"/>
            </a:ln>
          </c:spPr>
          <c:marker>
            <c:symbol val="none"/>
          </c:marker>
          <c:trendline>
            <c:spPr>
              <a:ln>
                <a:prstDash val="dash"/>
              </a:ln>
            </c:spPr>
            <c:trendlineType val="linear"/>
            <c:dispRSqr val="0"/>
            <c:dispEq val="0"/>
          </c:trendline>
          <c:val>
            <c:numRef>
              <c:f>'Taku Table'!$AQ$6:$AQ$41</c:f>
              <c:numCache>
                <c:formatCode>0.000</c:formatCode>
                <c:ptCount val="36"/>
                <c:pt idx="0">
                  <c:v>3.7520835163986841</c:v>
                </c:pt>
                <c:pt idx="1">
                  <c:v>3.2797699836658984</c:v>
                </c:pt>
                <c:pt idx="2">
                  <c:v>2.8739339138215305</c:v>
                </c:pt>
                <c:pt idx="3">
                  <c:v>3.8775989640080808</c:v>
                </c:pt>
                <c:pt idx="4">
                  <c:v>4.1999609384774761</c:v>
                </c:pt>
                <c:pt idx="5">
                  <c:v>2.6708093694380484</c:v>
                </c:pt>
                <c:pt idx="6">
                  <c:v>1.5444060197490821</c:v>
                </c:pt>
                <c:pt idx="7">
                  <c:v>2.3994648814511308</c:v>
                </c:pt>
                <c:pt idx="8">
                  <c:v>3.6168321860428221</c:v>
                </c:pt>
                <c:pt idx="9">
                  <c:v>4.1722714114334973</c:v>
                </c:pt>
                <c:pt idx="10">
                  <c:v>3.8709355582596414</c:v>
                </c:pt>
                <c:pt idx="11">
                  <c:v>4.1726997823101817</c:v>
                </c:pt>
                <c:pt idx="12">
                  <c:v>6.6518893716874876</c:v>
                </c:pt>
                <c:pt idx="13">
                  <c:v>4.0549686086040255</c:v>
                </c:pt>
                <c:pt idx="14">
                  <c:v>3.4076793457873791</c:v>
                </c:pt>
                <c:pt idx="15">
                  <c:v>2.6918613044967539</c:v>
                </c:pt>
                <c:pt idx="16">
                  <c:v>3.2249503256252758</c:v>
                </c:pt>
                <c:pt idx="17">
                  <c:v>4.1652872370535938</c:v>
                </c:pt>
                <c:pt idx="18">
                  <c:v>2.5264586311745054</c:v>
                </c:pt>
                <c:pt idx="19">
                  <c:v>4.4321211948027184</c:v>
                </c:pt>
                <c:pt idx="20">
                  <c:v>4.696055820465828</c:v>
                </c:pt>
                <c:pt idx="21">
                  <c:v>3.7439226830430816</c:v>
                </c:pt>
                <c:pt idx="22">
                  <c:v>3.9830147394059674</c:v>
                </c:pt>
                <c:pt idx="23">
                  <c:v>4.7227029524352995</c:v>
                </c:pt>
                <c:pt idx="24">
                  <c:v>3.617441621196245</c:v>
                </c:pt>
                <c:pt idx="25">
                  <c:v>2.7118869599033641</c:v>
                </c:pt>
                <c:pt idx="26">
                  <c:v>3.8245198363132995</c:v>
                </c:pt>
                <c:pt idx="27">
                  <c:v>3.9579049170809988</c:v>
                </c:pt>
                <c:pt idx="28">
                  <c:v>3.6439518331485585</c:v>
                </c:pt>
                <c:pt idx="29">
                  <c:v>4.471506823573387</c:v>
                </c:pt>
                <c:pt idx="30">
                  <c:v>3.5228806749102057</c:v>
                </c:pt>
                <c:pt idx="31">
                  <c:v>5.0653238681982691</c:v>
                </c:pt>
                <c:pt idx="32">
                  <c:v>6.6261472069908107</c:v>
                </c:pt>
                <c:pt idx="33">
                  <c:v>3.2240158473155649</c:v>
                </c:pt>
                <c:pt idx="34">
                  <c:v>4.6528674353316211</c:v>
                </c:pt>
                <c:pt idx="35">
                  <c:v>5.1578733018510396</c:v>
                </c:pt>
              </c:numCache>
            </c:numRef>
          </c:val>
          <c:smooth val="0"/>
        </c:ser>
        <c:dLbls>
          <c:showLegendKey val="0"/>
          <c:showVal val="0"/>
          <c:showCatName val="0"/>
          <c:showSerName val="0"/>
          <c:showPercent val="0"/>
          <c:showBubbleSize val="0"/>
        </c:dLbls>
        <c:marker val="1"/>
        <c:smooth val="0"/>
        <c:axId val="230676352"/>
        <c:axId val="230674432"/>
      </c:lineChart>
      <c:catAx>
        <c:axId val="230662144"/>
        <c:scaling>
          <c:orientation val="minMax"/>
        </c:scaling>
        <c:delete val="0"/>
        <c:axPos val="b"/>
        <c:title>
          <c:tx>
            <c:rich>
              <a:bodyPr/>
              <a:lstStyle/>
              <a:p>
                <a:pPr>
                  <a:defRPr sz="1400" b="0" i="0" baseline="0"/>
                </a:pPr>
                <a:r>
                  <a:rPr lang="en-US" sz="1400" b="0" i="0" baseline="0"/>
                  <a:t>Year</a:t>
                </a:r>
              </a:p>
            </c:rich>
          </c:tx>
          <c:layout>
            <c:manualLayout>
              <c:xMode val="edge"/>
              <c:yMode val="edge"/>
              <c:x val="0.50131658580158744"/>
              <c:y val="0.9402839916976905"/>
            </c:manualLayout>
          </c:layout>
          <c:overlay val="0"/>
        </c:title>
        <c:numFmt formatCode="General_)" sourceLinked="1"/>
        <c:majorTickMark val="out"/>
        <c:minorTickMark val="none"/>
        <c:tickLblPos val="nextTo"/>
        <c:txPr>
          <a:bodyPr rot="-5400000" vert="horz"/>
          <a:lstStyle/>
          <a:p>
            <a:pPr>
              <a:defRPr sz="1100"/>
            </a:pPr>
            <a:endParaRPr lang="en-US"/>
          </a:p>
        </c:txPr>
        <c:crossAx val="230664064"/>
        <c:crossesAt val="-3.6"/>
        <c:auto val="1"/>
        <c:lblAlgn val="ctr"/>
        <c:lblOffset val="100"/>
        <c:noMultiLvlLbl val="0"/>
      </c:catAx>
      <c:valAx>
        <c:axId val="230664064"/>
        <c:scaling>
          <c:orientation val="minMax"/>
          <c:max val="75000"/>
          <c:min val="0"/>
        </c:scaling>
        <c:delete val="0"/>
        <c:axPos val="l"/>
        <c:title>
          <c:tx>
            <c:rich>
              <a:bodyPr rot="-5400000" vert="horz"/>
              <a:lstStyle/>
              <a:p>
                <a:pPr>
                  <a:defRPr sz="1400" b="0" i="0" baseline="0"/>
                </a:pPr>
                <a:r>
                  <a:rPr lang="en-US" sz="1400" b="0" i="0" baseline="0"/>
                  <a:t>Number of Fish</a:t>
                </a:r>
              </a:p>
            </c:rich>
          </c:tx>
          <c:layout>
            <c:manualLayout>
              <c:xMode val="edge"/>
              <c:yMode val="edge"/>
              <c:x val="8.9326990048282946E-3"/>
              <c:y val="0.31164607562130048"/>
            </c:manualLayout>
          </c:layout>
          <c:overlay val="0"/>
        </c:title>
        <c:numFmt formatCode="#,##0" sourceLinked="0"/>
        <c:majorTickMark val="out"/>
        <c:minorTickMark val="none"/>
        <c:tickLblPos val="nextTo"/>
        <c:txPr>
          <a:bodyPr/>
          <a:lstStyle/>
          <a:p>
            <a:pPr>
              <a:defRPr sz="1100"/>
            </a:pPr>
            <a:endParaRPr lang="en-US"/>
          </a:p>
        </c:txPr>
        <c:crossAx val="230662144"/>
        <c:crosses val="autoZero"/>
        <c:crossBetween val="between"/>
      </c:valAx>
      <c:valAx>
        <c:axId val="230674432"/>
        <c:scaling>
          <c:orientation val="minMax"/>
          <c:max val="9"/>
          <c:min val="0"/>
        </c:scaling>
        <c:delete val="0"/>
        <c:axPos val="r"/>
        <c:title>
          <c:tx>
            <c:rich>
              <a:bodyPr rot="-5400000" vert="horz"/>
              <a:lstStyle/>
              <a:p>
                <a:pPr>
                  <a:defRPr sz="1400" b="0"/>
                </a:pPr>
                <a:r>
                  <a:rPr lang="en-US" sz="1400" b="0"/>
                  <a:t>Region Wild Abundance (Millions of fish)</a:t>
                </a:r>
              </a:p>
            </c:rich>
          </c:tx>
          <c:layout>
            <c:manualLayout>
              <c:xMode val="edge"/>
              <c:yMode val="edge"/>
              <c:x val="0.95047499872111185"/>
              <c:y val="6.9256635807553341E-2"/>
            </c:manualLayout>
          </c:layout>
          <c:overlay val="0"/>
        </c:title>
        <c:numFmt formatCode="0" sourceLinked="0"/>
        <c:majorTickMark val="out"/>
        <c:minorTickMark val="none"/>
        <c:tickLblPos val="nextTo"/>
        <c:txPr>
          <a:bodyPr/>
          <a:lstStyle/>
          <a:p>
            <a:pPr>
              <a:defRPr sz="1100"/>
            </a:pPr>
            <a:endParaRPr lang="en-US"/>
          </a:p>
        </c:txPr>
        <c:crossAx val="230676352"/>
        <c:crosses val="max"/>
        <c:crossBetween val="between"/>
      </c:valAx>
      <c:catAx>
        <c:axId val="230676352"/>
        <c:scaling>
          <c:orientation val="minMax"/>
        </c:scaling>
        <c:delete val="1"/>
        <c:axPos val="b"/>
        <c:majorTickMark val="out"/>
        <c:minorTickMark val="none"/>
        <c:tickLblPos val="nextTo"/>
        <c:crossAx val="230674432"/>
        <c:crosses val="autoZero"/>
        <c:auto val="1"/>
        <c:lblAlgn val="ctr"/>
        <c:lblOffset val="100"/>
        <c:noMultiLvlLbl val="0"/>
      </c:catAx>
    </c:plotArea>
    <c:legend>
      <c:legendPos val="r"/>
      <c:legendEntry>
        <c:idx val="4"/>
        <c:delete val="1"/>
      </c:legendEntry>
      <c:layout>
        <c:manualLayout>
          <c:xMode val="edge"/>
          <c:yMode val="edge"/>
          <c:x val="0.40645220696738243"/>
          <c:y val="3.0650018120119922E-2"/>
          <c:w val="0.51179615659930622"/>
          <c:h val="0.1957284837303287"/>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1861470839386"/>
          <c:y val="5.6853340317907251E-2"/>
          <c:w val="0.76844317998481071"/>
          <c:h val="0.78430468158007449"/>
        </c:manualLayout>
      </c:layout>
      <c:lineChart>
        <c:grouping val="standard"/>
        <c:varyColors val="0"/>
        <c:ser>
          <c:idx val="0"/>
          <c:order val="1"/>
          <c:tx>
            <c:v>Hugh Smith Lake Return x 7.5</c:v>
          </c:tx>
          <c:spPr>
            <a:ln>
              <a:solidFill>
                <a:srgbClr val="FF0000"/>
              </a:solidFill>
              <a:prstDash val="sysDash"/>
            </a:ln>
          </c:spPr>
          <c:marker>
            <c:symbol val="none"/>
          </c:marker>
          <c:cat>
            <c:numRef>
              <c:f>'Taku Table'!$AP$34:$AP$56</c:f>
              <c:numCache>
                <c:formatCode>General_)</c:formatCode>
                <c:ptCount val="23"/>
                <c:pt idx="0">
                  <c:v>2010</c:v>
                </c:pt>
                <c:pt idx="1">
                  <c:v>2011</c:v>
                </c:pt>
                <c:pt idx="2">
                  <c:v>2012</c:v>
                </c:pt>
                <c:pt idx="3">
                  <c:v>2013</c:v>
                </c:pt>
                <c:pt idx="4">
                  <c:v>2014</c:v>
                </c:pt>
                <c:pt idx="5">
                  <c:v>2015</c:v>
                </c:pt>
                <c:pt idx="6">
                  <c:v>2016</c:v>
                </c:pt>
                <c:pt idx="7">
                  <c:v>2017</c:v>
                </c:pt>
              </c:numCache>
            </c:numRef>
          </c:cat>
          <c:val>
            <c:numRef>
              <c:f>'Taku Table'!$AR$29:$AR$41</c:f>
              <c:numCache>
                <c:formatCode>#,##0</c:formatCode>
                <c:ptCount val="13"/>
                <c:pt idx="0">
                  <c:v>27391.618703231994</c:v>
                </c:pt>
                <c:pt idx="1">
                  <c:v>14444.10928838542</c:v>
                </c:pt>
                <c:pt idx="2">
                  <c:v>24817.920721130416</c:v>
                </c:pt>
                <c:pt idx="3">
                  <c:v>28320</c:v>
                </c:pt>
                <c:pt idx="4">
                  <c:v>32872.5</c:v>
                </c:pt>
                <c:pt idx="5">
                  <c:v>40627.5</c:v>
                </c:pt>
                <c:pt idx="6">
                  <c:v>29527.5</c:v>
                </c:pt>
                <c:pt idx="7">
                  <c:v>31222.5</c:v>
                </c:pt>
                <c:pt idx="8">
                  <c:v>51795</c:v>
                </c:pt>
                <c:pt idx="9">
                  <c:v>57802.5</c:v>
                </c:pt>
                <c:pt idx="10">
                  <c:v>14655</c:v>
                </c:pt>
                <c:pt idx="11">
                  <c:v>18495</c:v>
                </c:pt>
                <c:pt idx="12">
                  <c:v>18187.5</c:v>
                </c:pt>
              </c:numCache>
            </c:numRef>
          </c:val>
          <c:smooth val="0"/>
        </c:ser>
        <c:ser>
          <c:idx val="1"/>
          <c:order val="2"/>
          <c:tx>
            <c:v>Berners River Return</c:v>
          </c:tx>
          <c:spPr>
            <a:ln w="44450">
              <a:solidFill>
                <a:srgbClr val="0033CC"/>
              </a:solidFill>
              <a:prstDash val="sysDash"/>
            </a:ln>
          </c:spPr>
          <c:marker>
            <c:symbol val="none"/>
          </c:marker>
          <c:cat>
            <c:numRef>
              <c:f>'Taku Table'!$AP$34:$AP$56</c:f>
              <c:numCache>
                <c:formatCode>General_)</c:formatCode>
                <c:ptCount val="23"/>
                <c:pt idx="0">
                  <c:v>2010</c:v>
                </c:pt>
                <c:pt idx="1">
                  <c:v>2011</c:v>
                </c:pt>
                <c:pt idx="2">
                  <c:v>2012</c:v>
                </c:pt>
                <c:pt idx="3">
                  <c:v>2013</c:v>
                </c:pt>
                <c:pt idx="4">
                  <c:v>2014</c:v>
                </c:pt>
                <c:pt idx="5">
                  <c:v>2015</c:v>
                </c:pt>
                <c:pt idx="6">
                  <c:v>2016</c:v>
                </c:pt>
                <c:pt idx="7">
                  <c:v>2017</c:v>
                </c:pt>
              </c:numCache>
            </c:numRef>
          </c:cat>
          <c:val>
            <c:numRef>
              <c:f>'Berners River'!$K$34:$K$46</c:f>
              <c:numCache>
                <c:formatCode>#,##0</c:formatCode>
                <c:ptCount val="13"/>
                <c:pt idx="0">
                  <c:v>12757.874942477865</c:v>
                </c:pt>
                <c:pt idx="1">
                  <c:v>15822.204102688618</c:v>
                </c:pt>
                <c:pt idx="2">
                  <c:v>8721.5504169317664</c:v>
                </c:pt>
                <c:pt idx="3">
                  <c:v>14366.759212206873</c:v>
                </c:pt>
                <c:pt idx="4">
                  <c:v>9317.4461149367089</c:v>
                </c:pt>
                <c:pt idx="5">
                  <c:v>21816.53139184419</c:v>
                </c:pt>
                <c:pt idx="6">
                  <c:v>12029.060059090903</c:v>
                </c:pt>
                <c:pt idx="7">
                  <c:v>8530.5066227316747</c:v>
                </c:pt>
                <c:pt idx="8">
                  <c:v>21067.581021634618</c:v>
                </c:pt>
                <c:pt idx="9">
                  <c:v>26648.29454920346</c:v>
                </c:pt>
                <c:pt idx="10">
                  <c:v>15649</c:v>
                </c:pt>
                <c:pt idx="11">
                  <c:v>9948.2170047798718</c:v>
                </c:pt>
                <c:pt idx="12">
                  <c:v>14298</c:v>
                </c:pt>
              </c:numCache>
            </c:numRef>
          </c:val>
          <c:smooth val="0"/>
        </c:ser>
        <c:ser>
          <c:idx val="2"/>
          <c:order val="3"/>
          <c:tx>
            <c:v>Chilkat River x 0.15</c:v>
          </c:tx>
          <c:spPr>
            <a:ln w="22225">
              <a:solidFill>
                <a:srgbClr val="0033CC"/>
              </a:solidFill>
              <a:prstDash val="sysDash"/>
            </a:ln>
          </c:spPr>
          <c:marker>
            <c:symbol val="none"/>
          </c:marker>
          <c:cat>
            <c:numRef>
              <c:f>'Taku Table'!$AP$34:$AP$56</c:f>
              <c:numCache>
                <c:formatCode>General_)</c:formatCode>
                <c:ptCount val="23"/>
                <c:pt idx="0">
                  <c:v>2010</c:v>
                </c:pt>
                <c:pt idx="1">
                  <c:v>2011</c:v>
                </c:pt>
                <c:pt idx="2">
                  <c:v>2012</c:v>
                </c:pt>
                <c:pt idx="3">
                  <c:v>2013</c:v>
                </c:pt>
                <c:pt idx="4">
                  <c:v>2014</c:v>
                </c:pt>
                <c:pt idx="5">
                  <c:v>2015</c:v>
                </c:pt>
                <c:pt idx="6">
                  <c:v>2016</c:v>
                </c:pt>
                <c:pt idx="7">
                  <c:v>2017</c:v>
                </c:pt>
              </c:numCache>
            </c:numRef>
          </c:cat>
          <c:val>
            <c:numRef>
              <c:f>'Berners River'!$P$34:$P$46</c:f>
              <c:numCache>
                <c:formatCode>#,##0</c:formatCode>
                <c:ptCount val="13"/>
                <c:pt idx="0">
                  <c:v>10.034391905398467</c:v>
                </c:pt>
                <c:pt idx="1">
                  <c:v>22.359456956808447</c:v>
                </c:pt>
                <c:pt idx="2">
                  <c:v>5.8898186843496836</c:v>
                </c:pt>
                <c:pt idx="3">
                  <c:v>16.643085506774476</c:v>
                </c:pt>
                <c:pt idx="4">
                  <c:v>12.019108439325134</c:v>
                </c:pt>
                <c:pt idx="5">
                  <c:v>23.753498703420401</c:v>
                </c:pt>
                <c:pt idx="6">
                  <c:v>15.039275720790464</c:v>
                </c:pt>
                <c:pt idx="7">
                  <c:v>10.018540028615398</c:v>
                </c:pt>
                <c:pt idx="8">
                  <c:v>18.704752898871369</c:v>
                </c:pt>
                <c:pt idx="9">
                  <c:v>24.077154012884407</c:v>
                </c:pt>
                <c:pt idx="10">
                  <c:v>11.052605660706998</c:v>
                </c:pt>
                <c:pt idx="11">
                  <c:v>6.2364053495484146</c:v>
                </c:pt>
                <c:pt idx="12">
                  <c:v>8.0870734885425346</c:v>
                </c:pt>
              </c:numCache>
            </c:numRef>
          </c:val>
          <c:smooth val="0"/>
        </c:ser>
        <c:dLbls>
          <c:showLegendKey val="0"/>
          <c:showVal val="0"/>
          <c:showCatName val="0"/>
          <c:showSerName val="0"/>
          <c:showPercent val="0"/>
          <c:showBubbleSize val="0"/>
        </c:dLbls>
        <c:marker val="1"/>
        <c:smooth val="0"/>
        <c:axId val="230709888"/>
        <c:axId val="230724352"/>
      </c:lineChart>
      <c:lineChart>
        <c:grouping val="standard"/>
        <c:varyColors val="0"/>
        <c:ser>
          <c:idx val="3"/>
          <c:order val="0"/>
          <c:tx>
            <c:v>Alaska Troll Wild Abundance</c:v>
          </c:tx>
          <c:spPr>
            <a:ln w="50800">
              <a:solidFill>
                <a:schemeClr val="tx1"/>
              </a:solidFill>
              <a:prstDash val="solid"/>
            </a:ln>
          </c:spPr>
          <c:marker>
            <c:symbol val="none"/>
          </c:marker>
          <c:val>
            <c:numRef>
              <c:f>'Taku Table'!$AQ$29:$AQ$41</c:f>
              <c:numCache>
                <c:formatCode>0.000</c:formatCode>
                <c:ptCount val="13"/>
                <c:pt idx="0">
                  <c:v>4.7227029524352995</c:v>
                </c:pt>
                <c:pt idx="1">
                  <c:v>3.617441621196245</c:v>
                </c:pt>
                <c:pt idx="2">
                  <c:v>2.7118869599033641</c:v>
                </c:pt>
                <c:pt idx="3">
                  <c:v>3.8245198363132995</c:v>
                </c:pt>
                <c:pt idx="4">
                  <c:v>3.9579049170809988</c:v>
                </c:pt>
                <c:pt idx="5">
                  <c:v>3.6439518331485585</c:v>
                </c:pt>
                <c:pt idx="6">
                  <c:v>4.471506823573387</c:v>
                </c:pt>
                <c:pt idx="7">
                  <c:v>3.5228806749102057</c:v>
                </c:pt>
                <c:pt idx="8">
                  <c:v>5.0653238681982691</c:v>
                </c:pt>
                <c:pt idx="9">
                  <c:v>6.6261472069908107</c:v>
                </c:pt>
                <c:pt idx="10">
                  <c:v>3.2240158473155649</c:v>
                </c:pt>
                <c:pt idx="11">
                  <c:v>4.6528674353316211</c:v>
                </c:pt>
                <c:pt idx="12">
                  <c:v>5.1578733018510396</c:v>
                </c:pt>
              </c:numCache>
            </c:numRef>
          </c:val>
          <c:smooth val="0"/>
        </c:ser>
        <c:dLbls>
          <c:showLegendKey val="0"/>
          <c:showVal val="0"/>
          <c:showCatName val="0"/>
          <c:showSerName val="0"/>
          <c:showPercent val="0"/>
          <c:showBubbleSize val="0"/>
        </c:dLbls>
        <c:marker val="1"/>
        <c:smooth val="0"/>
        <c:axId val="230732544"/>
        <c:axId val="230726272"/>
      </c:lineChart>
      <c:catAx>
        <c:axId val="230709888"/>
        <c:scaling>
          <c:orientation val="minMax"/>
        </c:scaling>
        <c:delete val="0"/>
        <c:axPos val="b"/>
        <c:title>
          <c:tx>
            <c:rich>
              <a:bodyPr/>
              <a:lstStyle/>
              <a:p>
                <a:pPr>
                  <a:defRPr sz="1400" b="0" i="0" baseline="0"/>
                </a:pPr>
                <a:r>
                  <a:rPr lang="en-US" sz="1400" b="0" i="0" baseline="0"/>
                  <a:t>Year</a:t>
                </a:r>
              </a:p>
            </c:rich>
          </c:tx>
          <c:layout>
            <c:manualLayout>
              <c:xMode val="edge"/>
              <c:yMode val="edge"/>
              <c:x val="0.50131658580158744"/>
              <c:y val="0.9402839916976905"/>
            </c:manualLayout>
          </c:layout>
          <c:overlay val="0"/>
        </c:title>
        <c:numFmt formatCode="General_)" sourceLinked="1"/>
        <c:majorTickMark val="out"/>
        <c:minorTickMark val="none"/>
        <c:tickLblPos val="nextTo"/>
        <c:txPr>
          <a:bodyPr rot="-5400000" vert="horz"/>
          <a:lstStyle/>
          <a:p>
            <a:pPr>
              <a:defRPr sz="1100"/>
            </a:pPr>
            <a:endParaRPr lang="en-US"/>
          </a:p>
        </c:txPr>
        <c:crossAx val="230724352"/>
        <c:crossesAt val="-3.6"/>
        <c:auto val="1"/>
        <c:lblAlgn val="ctr"/>
        <c:lblOffset val="100"/>
        <c:noMultiLvlLbl val="0"/>
      </c:catAx>
      <c:valAx>
        <c:axId val="230724352"/>
        <c:scaling>
          <c:orientation val="minMax"/>
          <c:max val="75000"/>
          <c:min val="0"/>
        </c:scaling>
        <c:delete val="0"/>
        <c:axPos val="l"/>
        <c:title>
          <c:tx>
            <c:rich>
              <a:bodyPr rot="-5400000" vert="horz"/>
              <a:lstStyle/>
              <a:p>
                <a:pPr>
                  <a:defRPr sz="1400" b="0" i="0" baseline="0"/>
                </a:pPr>
                <a:r>
                  <a:rPr lang="en-US" sz="1400" b="0" i="0" baseline="0"/>
                  <a:t>Number of Fish</a:t>
                </a:r>
              </a:p>
            </c:rich>
          </c:tx>
          <c:layout>
            <c:manualLayout>
              <c:xMode val="edge"/>
              <c:yMode val="edge"/>
              <c:x val="8.9326990048282946E-3"/>
              <c:y val="0.31164607562130048"/>
            </c:manualLayout>
          </c:layout>
          <c:overlay val="0"/>
        </c:title>
        <c:numFmt formatCode="#,##0" sourceLinked="0"/>
        <c:majorTickMark val="out"/>
        <c:minorTickMark val="none"/>
        <c:tickLblPos val="nextTo"/>
        <c:txPr>
          <a:bodyPr/>
          <a:lstStyle/>
          <a:p>
            <a:pPr>
              <a:defRPr sz="1100"/>
            </a:pPr>
            <a:endParaRPr lang="en-US"/>
          </a:p>
        </c:txPr>
        <c:crossAx val="230709888"/>
        <c:crosses val="autoZero"/>
        <c:crossBetween val="between"/>
      </c:valAx>
      <c:valAx>
        <c:axId val="230726272"/>
        <c:scaling>
          <c:orientation val="minMax"/>
          <c:max val="9"/>
          <c:min val="0"/>
        </c:scaling>
        <c:delete val="0"/>
        <c:axPos val="r"/>
        <c:title>
          <c:tx>
            <c:rich>
              <a:bodyPr rot="-5400000" vert="horz"/>
              <a:lstStyle/>
              <a:p>
                <a:pPr>
                  <a:defRPr sz="1400" b="0"/>
                </a:pPr>
                <a:r>
                  <a:rPr lang="en-US" sz="1400" b="0"/>
                  <a:t>Region Wild Abundance (Millions of fish)</a:t>
                </a:r>
              </a:p>
            </c:rich>
          </c:tx>
          <c:layout>
            <c:manualLayout>
              <c:xMode val="edge"/>
              <c:yMode val="edge"/>
              <c:x val="0.95047499872111185"/>
              <c:y val="6.9256635807553341E-2"/>
            </c:manualLayout>
          </c:layout>
          <c:overlay val="0"/>
        </c:title>
        <c:numFmt formatCode="0" sourceLinked="0"/>
        <c:majorTickMark val="out"/>
        <c:minorTickMark val="none"/>
        <c:tickLblPos val="nextTo"/>
        <c:txPr>
          <a:bodyPr/>
          <a:lstStyle/>
          <a:p>
            <a:pPr>
              <a:defRPr sz="1100"/>
            </a:pPr>
            <a:endParaRPr lang="en-US"/>
          </a:p>
        </c:txPr>
        <c:crossAx val="230732544"/>
        <c:crosses val="max"/>
        <c:crossBetween val="between"/>
      </c:valAx>
      <c:catAx>
        <c:axId val="230732544"/>
        <c:scaling>
          <c:orientation val="minMax"/>
        </c:scaling>
        <c:delete val="1"/>
        <c:axPos val="b"/>
        <c:majorTickMark val="out"/>
        <c:minorTickMark val="none"/>
        <c:tickLblPos val="nextTo"/>
        <c:crossAx val="230726272"/>
        <c:crosses val="autoZero"/>
        <c:auto val="1"/>
        <c:lblAlgn val="ctr"/>
        <c:lblOffset val="100"/>
        <c:noMultiLvlLbl val="0"/>
      </c:catAx>
    </c:plotArea>
    <c:legend>
      <c:legendPos val="r"/>
      <c:layout>
        <c:manualLayout>
          <c:xMode val="edge"/>
          <c:yMode val="edge"/>
          <c:x val="0.40645220696738243"/>
          <c:y val="3.0650018120119922E-2"/>
          <c:w val="0.51179615659930622"/>
          <c:h val="0.1957284837303287"/>
        </c:manualLayout>
      </c:layout>
      <c:overlay val="0"/>
    </c:legend>
    <c:plotVisOnly val="1"/>
    <c:dispBlanksAs val="gap"/>
    <c:showDLblsOverMax val="0"/>
  </c:chart>
  <c:txPr>
    <a:bodyPr/>
    <a:lstStyle/>
    <a:p>
      <a:pPr>
        <a:defRPr sz="1200" baseline="0">
          <a:latin typeface="Arial" panose="020B0604020202020204" pitchFamily="34" charset="0"/>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2000-2016</c:v>
          </c:tx>
          <c:spPr>
            <a:ln w="28575">
              <a:noFill/>
            </a:ln>
          </c:spPr>
          <c:marker>
            <c:symbol val="circle"/>
            <c:size val="7"/>
            <c:spPr>
              <a:solidFill>
                <a:schemeClr val="tx1"/>
              </a:solidFill>
              <a:ln>
                <a:solidFill>
                  <a:schemeClr val="tx1"/>
                </a:solidFill>
              </a:ln>
            </c:spPr>
          </c:marker>
          <c:dPt>
            <c:idx val="17"/>
            <c:bubble3D val="0"/>
          </c:dPt>
          <c:trendline>
            <c:trendlineType val="linear"/>
            <c:intercept val="0"/>
            <c:dispRSqr val="1"/>
            <c:dispEq val="1"/>
            <c:trendlineLbl>
              <c:layout>
                <c:manualLayout>
                  <c:x val="-0.36459860620870665"/>
                  <c:y val="2.5071359812183523E-2"/>
                </c:manualLayout>
              </c:layout>
              <c:numFmt formatCode="#,##0.00000000" sourceLinked="0"/>
              <c:txPr>
                <a:bodyPr/>
                <a:lstStyle/>
                <a:p>
                  <a:pPr>
                    <a:defRPr sz="1400"/>
                  </a:pPr>
                  <a:endParaRPr lang="en-US"/>
                </a:p>
              </c:txPr>
            </c:trendlineLbl>
          </c:trendline>
          <c:xVal>
            <c:numRef>
              <c:f>'Berners River'!$K$113:$K$130</c:f>
              <c:numCache>
                <c:formatCode>#,##0</c:formatCode>
                <c:ptCount val="18"/>
                <c:pt idx="0">
                  <c:v>24033.712363482147</c:v>
                </c:pt>
                <c:pt idx="1">
                  <c:v>36805.75112682458</c:v>
                </c:pt>
                <c:pt idx="2">
                  <c:v>56500.421037951979</c:v>
                </c:pt>
                <c:pt idx="3">
                  <c:v>31550.021630484258</c:v>
                </c:pt>
                <c:pt idx="4">
                  <c:v>36660.003930812047</c:v>
                </c:pt>
                <c:pt idx="5">
                  <c:v>14016.874942477865</c:v>
                </c:pt>
                <c:pt idx="6">
                  <c:v>17141.204102688618</c:v>
                </c:pt>
                <c:pt idx="7">
                  <c:v>9665.5504169317664</c:v>
                </c:pt>
                <c:pt idx="8">
                  <c:v>16023.759212206873</c:v>
                </c:pt>
                <c:pt idx="9">
                  <c:v>10337.446114936709</c:v>
                </c:pt>
                <c:pt idx="10">
                  <c:v>23630.53139184419</c:v>
                </c:pt>
                <c:pt idx="11">
                  <c:v>13488.060059090903</c:v>
                </c:pt>
                <c:pt idx="12">
                  <c:v>9852.5066227316747</c:v>
                </c:pt>
                <c:pt idx="13">
                  <c:v>22582.581021634618</c:v>
                </c:pt>
                <c:pt idx="14">
                  <c:v>30382.29454920346</c:v>
                </c:pt>
                <c:pt idx="15">
                  <c:v>18047</c:v>
                </c:pt>
                <c:pt idx="16">
                  <c:v>11572.217004779872</c:v>
                </c:pt>
                <c:pt idx="17">
                  <c:v>15996</c:v>
                </c:pt>
              </c:numCache>
            </c:numRef>
          </c:xVal>
          <c:yVal>
            <c:numRef>
              <c:f>ChilkatTable!$T$19:$T$35</c:f>
              <c:numCache>
                <c:formatCode>#,##0</c:formatCode>
                <c:ptCount val="17"/>
                <c:pt idx="0">
                  <c:v>125178</c:v>
                </c:pt>
                <c:pt idx="1">
                  <c:v>155865</c:v>
                </c:pt>
                <c:pt idx="2">
                  <c:v>339984</c:v>
                </c:pt>
                <c:pt idx="3">
                  <c:v>219114</c:v>
                </c:pt>
                <c:pt idx="4">
                  <c:v>195249</c:v>
                </c:pt>
                <c:pt idx="5">
                  <c:v>65200</c:v>
                </c:pt>
                <c:pt idx="6">
                  <c:v>145284</c:v>
                </c:pt>
                <c:pt idx="7">
                  <c:v>38270</c:v>
                </c:pt>
                <c:pt idx="8">
                  <c:v>108141</c:v>
                </c:pt>
                <c:pt idx="9">
                  <c:v>78096</c:v>
                </c:pt>
                <c:pt idx="10">
                  <c:v>154342</c:v>
                </c:pt>
                <c:pt idx="11">
                  <c:v>97720</c:v>
                </c:pt>
                <c:pt idx="12">
                  <c:v>65097</c:v>
                </c:pt>
                <c:pt idx="13">
                  <c:v>121537</c:v>
                </c:pt>
                <c:pt idx="14">
                  <c:v>156445</c:v>
                </c:pt>
                <c:pt idx="15">
                  <c:v>71816</c:v>
                </c:pt>
                <c:pt idx="16">
                  <c:v>40522</c:v>
                </c:pt>
              </c:numCache>
            </c:numRef>
          </c:yVal>
          <c:smooth val="0"/>
        </c:ser>
        <c:ser>
          <c:idx val="1"/>
          <c:order val="1"/>
          <c:tx>
            <c:v>2017</c:v>
          </c:tx>
          <c:spPr>
            <a:ln w="28575">
              <a:noFill/>
            </a:ln>
          </c:spPr>
          <c:marker>
            <c:symbol val="circle"/>
            <c:size val="7"/>
            <c:spPr>
              <a:solidFill>
                <a:srgbClr val="FF0000"/>
              </a:solidFill>
              <a:ln>
                <a:solidFill>
                  <a:schemeClr val="tx1"/>
                </a:solidFill>
              </a:ln>
            </c:spPr>
          </c:marker>
          <c:xVal>
            <c:numRef>
              <c:f>'Berners River'!$K$130</c:f>
              <c:numCache>
                <c:formatCode>#,##0</c:formatCode>
                <c:ptCount val="1"/>
                <c:pt idx="0">
                  <c:v>15996</c:v>
                </c:pt>
              </c:numCache>
            </c:numRef>
          </c:xVal>
          <c:yVal>
            <c:numRef>
              <c:f>ChilkatTable!$K$36</c:f>
              <c:numCache>
                <c:formatCode>#,##0</c:formatCode>
                <c:ptCount val="1"/>
                <c:pt idx="0">
                  <c:v>52547</c:v>
                </c:pt>
              </c:numCache>
            </c:numRef>
          </c:yVal>
          <c:smooth val="0"/>
        </c:ser>
        <c:ser>
          <c:idx val="2"/>
          <c:order val="2"/>
          <c:tx>
            <c:v>2018</c:v>
          </c:tx>
          <c:spPr>
            <a:ln w="28575">
              <a:noFill/>
            </a:ln>
          </c:spPr>
          <c:marker>
            <c:symbol val="circle"/>
            <c:size val="7"/>
            <c:spPr>
              <a:solidFill>
                <a:srgbClr val="00B0F0"/>
              </a:solidFill>
              <a:ln>
                <a:solidFill>
                  <a:schemeClr val="tx1"/>
                </a:solidFill>
              </a:ln>
            </c:spPr>
          </c:marker>
          <c:xVal>
            <c:numRef>
              <c:f>'Berners River'!$K$131</c:f>
              <c:numCache>
                <c:formatCode>#,##0</c:formatCode>
                <c:ptCount val="1"/>
                <c:pt idx="0">
                  <c:v>8636</c:v>
                </c:pt>
              </c:numCache>
            </c:numRef>
          </c:xVal>
          <c:yVal>
            <c:numRef>
              <c:f>ChilkatTable!$T$37</c:f>
              <c:numCache>
                <c:formatCode>#,##0</c:formatCode>
                <c:ptCount val="1"/>
                <c:pt idx="0">
                  <c:v>86691.262899059191</c:v>
                </c:pt>
              </c:numCache>
            </c:numRef>
          </c:yVal>
          <c:smooth val="0"/>
        </c:ser>
        <c:dLbls>
          <c:showLegendKey val="0"/>
          <c:showVal val="0"/>
          <c:showCatName val="0"/>
          <c:showSerName val="0"/>
          <c:showPercent val="0"/>
          <c:showBubbleSize val="0"/>
        </c:dLbls>
        <c:axId val="226760576"/>
        <c:axId val="230792192"/>
      </c:scatterChart>
      <c:valAx>
        <c:axId val="226760576"/>
        <c:scaling>
          <c:orientation val="minMax"/>
        </c:scaling>
        <c:delete val="0"/>
        <c:axPos val="b"/>
        <c:title>
          <c:tx>
            <c:rich>
              <a:bodyPr/>
              <a:lstStyle/>
              <a:p>
                <a:pPr>
                  <a:defRPr sz="1400"/>
                </a:pPr>
                <a:r>
                  <a:rPr lang="en-US" sz="1400"/>
                  <a:t>Berners River Return (Number of Fish)</a:t>
                </a:r>
              </a:p>
            </c:rich>
          </c:tx>
          <c:overlay val="0"/>
        </c:title>
        <c:numFmt formatCode="#,##0" sourceLinked="1"/>
        <c:majorTickMark val="out"/>
        <c:minorTickMark val="none"/>
        <c:tickLblPos val="nextTo"/>
        <c:crossAx val="230792192"/>
        <c:crosses val="autoZero"/>
        <c:crossBetween val="midCat"/>
      </c:valAx>
      <c:valAx>
        <c:axId val="230792192"/>
        <c:scaling>
          <c:orientation val="minMax"/>
          <c:max val="350000"/>
          <c:min val="0"/>
        </c:scaling>
        <c:delete val="0"/>
        <c:axPos val="l"/>
        <c:title>
          <c:tx>
            <c:rich>
              <a:bodyPr rot="-5400000" vert="horz"/>
              <a:lstStyle/>
              <a:p>
                <a:pPr>
                  <a:defRPr sz="1400"/>
                </a:pPr>
                <a:r>
                  <a:rPr lang="en-US" sz="1400"/>
                  <a:t>Chilkat River Return (Number of Fish)</a:t>
                </a:r>
              </a:p>
            </c:rich>
          </c:tx>
          <c:overlay val="0"/>
        </c:title>
        <c:numFmt formatCode="#,##0" sourceLinked="1"/>
        <c:majorTickMark val="out"/>
        <c:minorTickMark val="none"/>
        <c:tickLblPos val="nextTo"/>
        <c:crossAx val="226760576"/>
        <c:crosses val="autoZero"/>
        <c:crossBetween val="midCat"/>
      </c:valAx>
    </c:plotArea>
    <c:plotVisOnly val="1"/>
    <c:dispBlanksAs val="gap"/>
    <c:showDLblsOverMax val="0"/>
  </c:chart>
  <c:printSettings>
    <c:headerFooter/>
    <c:pageMargins b="0.75" l="0.7" r="0.7" t="0.75" header="0.3" footer="0.3"/>
    <c:pageSetup/>
  </c:printSettings>
  <c:userShapes r:id="rId1"/>
</c:chartSpace>
</file>

<file path=xl/charts/chart1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2000-2018</a:t>
            </a:r>
          </a:p>
        </c:rich>
      </c:tx>
      <c:layout>
        <c:manualLayout>
          <c:xMode val="edge"/>
          <c:yMode val="edge"/>
          <c:x val="0.37283034663770476"/>
          <c:y val="1.6427101181457814E-2"/>
        </c:manualLayout>
      </c:layout>
      <c:overlay val="0"/>
    </c:title>
    <c:autoTitleDeleted val="0"/>
    <c:plotArea>
      <c:layout/>
      <c:scatterChart>
        <c:scatterStyle val="lineMarker"/>
        <c:varyColors val="0"/>
        <c:ser>
          <c:idx val="0"/>
          <c:order val="0"/>
          <c:tx>
            <c:v>2000-2016</c:v>
          </c:tx>
          <c:spPr>
            <a:ln w="28575">
              <a:noFill/>
            </a:ln>
          </c:spPr>
          <c:marker>
            <c:symbol val="circle"/>
            <c:size val="7"/>
            <c:spPr>
              <a:solidFill>
                <a:schemeClr val="tx1"/>
              </a:solidFill>
              <a:ln>
                <a:solidFill>
                  <a:schemeClr val="tx1"/>
                </a:solidFill>
              </a:ln>
            </c:spPr>
          </c:marker>
          <c:dPt>
            <c:idx val="17"/>
            <c:bubble3D val="0"/>
          </c:dPt>
          <c:trendline>
            <c:trendlineType val="linear"/>
            <c:intercept val="0"/>
            <c:dispRSqr val="1"/>
            <c:dispEq val="1"/>
            <c:trendlineLbl>
              <c:layout>
                <c:manualLayout>
                  <c:x val="-0.29671056204181373"/>
                  <c:y val="2.1975997506312333E-2"/>
                </c:manualLayout>
              </c:layout>
              <c:numFmt formatCode="#,##0.00000000" sourceLinked="0"/>
              <c:txPr>
                <a:bodyPr/>
                <a:lstStyle/>
                <a:p>
                  <a:pPr>
                    <a:defRPr sz="1400"/>
                  </a:pPr>
                  <a:endParaRPr lang="en-US"/>
                </a:p>
              </c:txPr>
            </c:trendlineLbl>
          </c:trendline>
          <c:xVal>
            <c:numRef>
              <c:f>'Berners River'!$K$113:$K$133</c:f>
              <c:numCache>
                <c:formatCode>#,##0</c:formatCode>
                <c:ptCount val="21"/>
                <c:pt idx="0">
                  <c:v>24033.712363482147</c:v>
                </c:pt>
                <c:pt idx="1">
                  <c:v>36805.75112682458</c:v>
                </c:pt>
                <c:pt idx="2">
                  <c:v>56500.421037951979</c:v>
                </c:pt>
                <c:pt idx="3">
                  <c:v>31550.021630484258</c:v>
                </c:pt>
                <c:pt idx="4">
                  <c:v>36660.003930812047</c:v>
                </c:pt>
                <c:pt idx="5">
                  <c:v>14016.874942477865</c:v>
                </c:pt>
                <c:pt idx="6">
                  <c:v>17141.204102688618</c:v>
                </c:pt>
                <c:pt idx="7">
                  <c:v>9665.5504169317664</c:v>
                </c:pt>
                <c:pt idx="8">
                  <c:v>16023.759212206873</c:v>
                </c:pt>
                <c:pt idx="9">
                  <c:v>10337.446114936709</c:v>
                </c:pt>
                <c:pt idx="10">
                  <c:v>23630.53139184419</c:v>
                </c:pt>
                <c:pt idx="11">
                  <c:v>13488.060059090903</c:v>
                </c:pt>
                <c:pt idx="12">
                  <c:v>9852.5066227316747</c:v>
                </c:pt>
                <c:pt idx="13">
                  <c:v>22582.581021634618</c:v>
                </c:pt>
                <c:pt idx="14">
                  <c:v>30382.29454920346</c:v>
                </c:pt>
                <c:pt idx="15">
                  <c:v>18047</c:v>
                </c:pt>
                <c:pt idx="16">
                  <c:v>11572.217004779872</c:v>
                </c:pt>
                <c:pt idx="17">
                  <c:v>15996</c:v>
                </c:pt>
                <c:pt idx="18">
                  <c:v>8636</c:v>
                </c:pt>
                <c:pt idx="19">
                  <c:v>27210.277261448497</c:v>
                </c:pt>
              </c:numCache>
            </c:numRef>
          </c:xVal>
          <c:yVal>
            <c:numRef>
              <c:f>ChilkatTable!$T$19:$T$37</c:f>
              <c:numCache>
                <c:formatCode>#,##0</c:formatCode>
                <c:ptCount val="19"/>
                <c:pt idx="0">
                  <c:v>125178</c:v>
                </c:pt>
                <c:pt idx="1">
                  <c:v>155865</c:v>
                </c:pt>
                <c:pt idx="2">
                  <c:v>339984</c:v>
                </c:pt>
                <c:pt idx="3">
                  <c:v>219114</c:v>
                </c:pt>
                <c:pt idx="4">
                  <c:v>195249</c:v>
                </c:pt>
                <c:pt idx="5">
                  <c:v>65200</c:v>
                </c:pt>
                <c:pt idx="6">
                  <c:v>145284</c:v>
                </c:pt>
                <c:pt idx="7">
                  <c:v>38270</c:v>
                </c:pt>
                <c:pt idx="8">
                  <c:v>108141</c:v>
                </c:pt>
                <c:pt idx="9">
                  <c:v>78096</c:v>
                </c:pt>
                <c:pt idx="10">
                  <c:v>154342</c:v>
                </c:pt>
                <c:pt idx="11">
                  <c:v>97720</c:v>
                </c:pt>
                <c:pt idx="12">
                  <c:v>65097</c:v>
                </c:pt>
                <c:pt idx="13">
                  <c:v>121537</c:v>
                </c:pt>
                <c:pt idx="14">
                  <c:v>156445</c:v>
                </c:pt>
                <c:pt idx="15">
                  <c:v>71816</c:v>
                </c:pt>
                <c:pt idx="16">
                  <c:v>40522</c:v>
                </c:pt>
                <c:pt idx="17">
                  <c:v>52547</c:v>
                </c:pt>
                <c:pt idx="18">
                  <c:v>86691.262899059191</c:v>
                </c:pt>
              </c:numCache>
            </c:numRef>
          </c:yVal>
          <c:smooth val="0"/>
        </c:ser>
        <c:dLbls>
          <c:showLegendKey val="0"/>
          <c:showVal val="0"/>
          <c:showCatName val="0"/>
          <c:showSerName val="0"/>
          <c:showPercent val="0"/>
          <c:showBubbleSize val="0"/>
        </c:dLbls>
        <c:axId val="221541504"/>
        <c:axId val="221543424"/>
      </c:scatterChart>
      <c:valAx>
        <c:axId val="221541504"/>
        <c:scaling>
          <c:orientation val="minMax"/>
        </c:scaling>
        <c:delete val="0"/>
        <c:axPos val="b"/>
        <c:title>
          <c:tx>
            <c:rich>
              <a:bodyPr/>
              <a:lstStyle/>
              <a:p>
                <a:pPr>
                  <a:defRPr sz="1400"/>
                </a:pPr>
                <a:r>
                  <a:rPr lang="en-US" sz="1400"/>
                  <a:t>Berners River Return (Number of Fish)</a:t>
                </a:r>
              </a:p>
            </c:rich>
          </c:tx>
          <c:overlay val="0"/>
        </c:title>
        <c:numFmt formatCode="#,##0" sourceLinked="1"/>
        <c:majorTickMark val="out"/>
        <c:minorTickMark val="none"/>
        <c:tickLblPos val="nextTo"/>
        <c:crossAx val="221543424"/>
        <c:crosses val="autoZero"/>
        <c:crossBetween val="midCat"/>
      </c:valAx>
      <c:valAx>
        <c:axId val="221543424"/>
        <c:scaling>
          <c:orientation val="minMax"/>
          <c:max val="350000"/>
          <c:min val="0"/>
        </c:scaling>
        <c:delete val="0"/>
        <c:axPos val="l"/>
        <c:title>
          <c:tx>
            <c:rich>
              <a:bodyPr rot="-5400000" vert="horz"/>
              <a:lstStyle/>
              <a:p>
                <a:pPr>
                  <a:defRPr sz="1400"/>
                </a:pPr>
                <a:r>
                  <a:rPr lang="en-US" sz="1400"/>
                  <a:t>Chilkat River Return (Number of Fish)</a:t>
                </a:r>
              </a:p>
            </c:rich>
          </c:tx>
          <c:overlay val="0"/>
        </c:title>
        <c:numFmt formatCode="#,##0" sourceLinked="1"/>
        <c:majorTickMark val="out"/>
        <c:minorTickMark val="none"/>
        <c:tickLblPos val="nextTo"/>
        <c:crossAx val="221541504"/>
        <c:crosses val="autoZero"/>
        <c:crossBetween val="midCat"/>
      </c:valAx>
    </c:plotArea>
    <c:plotVisOnly val="1"/>
    <c:dispBlanksAs val="gap"/>
    <c:showDLblsOverMax val="0"/>
  </c:chart>
  <c:printSettings>
    <c:headerFooter/>
    <c:pageMargins b="0.75" l="0.7" r="0.7" t="0.75" header="0.3" footer="0.3"/>
    <c:pageSetup/>
  </c:printSettings>
  <c:userShapes r:id="rId1"/>
</c:chartSpace>
</file>

<file path=xl/charts/chart1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2000-2018</a:t>
            </a:r>
          </a:p>
        </c:rich>
      </c:tx>
      <c:overlay val="0"/>
    </c:title>
    <c:autoTitleDeleted val="0"/>
    <c:plotArea>
      <c:layout/>
      <c:scatterChart>
        <c:scatterStyle val="lineMarker"/>
        <c:varyColors val="0"/>
        <c:ser>
          <c:idx val="0"/>
          <c:order val="0"/>
          <c:tx>
            <c:v>2000-2016</c:v>
          </c:tx>
          <c:spPr>
            <a:ln w="28575">
              <a:noFill/>
            </a:ln>
          </c:spPr>
          <c:marker>
            <c:symbol val="circle"/>
            <c:size val="7"/>
            <c:spPr>
              <a:solidFill>
                <a:schemeClr val="tx1"/>
              </a:solidFill>
              <a:ln>
                <a:solidFill>
                  <a:schemeClr val="tx1"/>
                </a:solidFill>
              </a:ln>
            </c:spPr>
          </c:marker>
          <c:dPt>
            <c:idx val="17"/>
            <c:bubble3D val="0"/>
          </c:dPt>
          <c:trendline>
            <c:trendlineType val="linear"/>
            <c:intercept val="0"/>
            <c:dispRSqr val="1"/>
            <c:dispEq val="1"/>
            <c:trendlineLbl>
              <c:layout>
                <c:manualLayout>
                  <c:x val="-0.29671056204181373"/>
                  <c:y val="2.1975997506312333E-2"/>
                </c:manualLayout>
              </c:layout>
              <c:numFmt formatCode="General" sourceLinked="0"/>
              <c:txPr>
                <a:bodyPr/>
                <a:lstStyle/>
                <a:p>
                  <a:pPr>
                    <a:defRPr sz="1400"/>
                  </a:pPr>
                  <a:endParaRPr lang="en-US"/>
                </a:p>
              </c:txPr>
            </c:trendlineLbl>
          </c:trendline>
          <c:xVal>
            <c:numRef>
              <c:f>'Berners River'!$K$29:$K$47</c:f>
              <c:numCache>
                <c:formatCode>#,##0</c:formatCode>
                <c:ptCount val="19"/>
                <c:pt idx="0">
                  <c:v>21464.712363482147</c:v>
                </c:pt>
                <c:pt idx="1">
                  <c:v>32152.75112682458</c:v>
                </c:pt>
                <c:pt idx="2">
                  <c:v>49818.421037951979</c:v>
                </c:pt>
                <c:pt idx="3">
                  <c:v>29111.021630484258</c:v>
                </c:pt>
                <c:pt idx="4">
                  <c:v>33174.003930812047</c:v>
                </c:pt>
                <c:pt idx="5">
                  <c:v>12757.874942477865</c:v>
                </c:pt>
                <c:pt idx="6">
                  <c:v>15822.204102688618</c:v>
                </c:pt>
                <c:pt idx="7">
                  <c:v>8721.5504169317664</c:v>
                </c:pt>
                <c:pt idx="8">
                  <c:v>14366.759212206873</c:v>
                </c:pt>
                <c:pt idx="9">
                  <c:v>9317.4461149367089</c:v>
                </c:pt>
                <c:pt idx="10">
                  <c:v>21816.53139184419</c:v>
                </c:pt>
                <c:pt idx="11">
                  <c:v>12029.060059090903</c:v>
                </c:pt>
                <c:pt idx="12">
                  <c:v>8530.5066227316747</c:v>
                </c:pt>
                <c:pt idx="13">
                  <c:v>21067.581021634618</c:v>
                </c:pt>
                <c:pt idx="14">
                  <c:v>26648.29454920346</c:v>
                </c:pt>
                <c:pt idx="15">
                  <c:v>15649</c:v>
                </c:pt>
                <c:pt idx="16">
                  <c:v>9948.2170047798718</c:v>
                </c:pt>
                <c:pt idx="17">
                  <c:v>14298</c:v>
                </c:pt>
                <c:pt idx="18">
                  <c:v>7780</c:v>
                </c:pt>
              </c:numCache>
            </c:numRef>
          </c:xVal>
          <c:yVal>
            <c:numRef>
              <c:f>ChilkatTable!$T$19:$T$37</c:f>
              <c:numCache>
                <c:formatCode>#,##0</c:formatCode>
                <c:ptCount val="19"/>
                <c:pt idx="0">
                  <c:v>125178</c:v>
                </c:pt>
                <c:pt idx="1">
                  <c:v>155865</c:v>
                </c:pt>
                <c:pt idx="2">
                  <c:v>339984</c:v>
                </c:pt>
                <c:pt idx="3">
                  <c:v>219114</c:v>
                </c:pt>
                <c:pt idx="4">
                  <c:v>195249</c:v>
                </c:pt>
                <c:pt idx="5">
                  <c:v>65200</c:v>
                </c:pt>
                <c:pt idx="6">
                  <c:v>145284</c:v>
                </c:pt>
                <c:pt idx="7">
                  <c:v>38270</c:v>
                </c:pt>
                <c:pt idx="8">
                  <c:v>108141</c:v>
                </c:pt>
                <c:pt idx="9">
                  <c:v>78096</c:v>
                </c:pt>
                <c:pt idx="10">
                  <c:v>154342</c:v>
                </c:pt>
                <c:pt idx="11">
                  <c:v>97720</c:v>
                </c:pt>
                <c:pt idx="12">
                  <c:v>65097</c:v>
                </c:pt>
                <c:pt idx="13">
                  <c:v>121537</c:v>
                </c:pt>
                <c:pt idx="14">
                  <c:v>156445</c:v>
                </c:pt>
                <c:pt idx="15">
                  <c:v>71816</c:v>
                </c:pt>
                <c:pt idx="16">
                  <c:v>40522</c:v>
                </c:pt>
                <c:pt idx="17">
                  <c:v>52547</c:v>
                </c:pt>
                <c:pt idx="18">
                  <c:v>86691.262899059191</c:v>
                </c:pt>
              </c:numCache>
            </c:numRef>
          </c:yVal>
          <c:smooth val="0"/>
        </c:ser>
        <c:dLbls>
          <c:showLegendKey val="0"/>
          <c:showVal val="0"/>
          <c:showCatName val="0"/>
          <c:showSerName val="0"/>
          <c:showPercent val="0"/>
          <c:showBubbleSize val="0"/>
        </c:dLbls>
        <c:axId val="230822272"/>
        <c:axId val="230824192"/>
      </c:scatterChart>
      <c:valAx>
        <c:axId val="230822272"/>
        <c:scaling>
          <c:orientation val="minMax"/>
        </c:scaling>
        <c:delete val="0"/>
        <c:axPos val="b"/>
        <c:title>
          <c:tx>
            <c:rich>
              <a:bodyPr/>
              <a:lstStyle/>
              <a:p>
                <a:pPr>
                  <a:defRPr sz="1400"/>
                </a:pPr>
                <a:r>
                  <a:rPr lang="en-US" sz="1400"/>
                  <a:t>Berners River Return (Number of Fish)</a:t>
                </a:r>
              </a:p>
            </c:rich>
          </c:tx>
          <c:overlay val="0"/>
        </c:title>
        <c:numFmt formatCode="#,##0" sourceLinked="1"/>
        <c:majorTickMark val="out"/>
        <c:minorTickMark val="none"/>
        <c:tickLblPos val="nextTo"/>
        <c:crossAx val="230824192"/>
        <c:crosses val="autoZero"/>
        <c:crossBetween val="midCat"/>
      </c:valAx>
      <c:valAx>
        <c:axId val="230824192"/>
        <c:scaling>
          <c:orientation val="minMax"/>
          <c:max val="350000"/>
          <c:min val="0"/>
        </c:scaling>
        <c:delete val="0"/>
        <c:axPos val="l"/>
        <c:title>
          <c:tx>
            <c:rich>
              <a:bodyPr rot="-5400000" vert="horz"/>
              <a:lstStyle/>
              <a:p>
                <a:pPr>
                  <a:defRPr sz="1400"/>
                </a:pPr>
                <a:r>
                  <a:rPr lang="en-US" sz="1400"/>
                  <a:t>Chilkat River Return (Number of Fish)</a:t>
                </a:r>
              </a:p>
            </c:rich>
          </c:tx>
          <c:overlay val="0"/>
        </c:title>
        <c:numFmt formatCode="#,##0" sourceLinked="1"/>
        <c:majorTickMark val="out"/>
        <c:minorTickMark val="none"/>
        <c:tickLblPos val="nextTo"/>
        <c:crossAx val="230822272"/>
        <c:crosses val="autoZero"/>
        <c:crossBetween val="midCat"/>
      </c:valAx>
    </c:plotArea>
    <c:plotVisOnly val="1"/>
    <c:dispBlanksAs val="gap"/>
    <c:showDLblsOverMax val="0"/>
  </c:chart>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v>2000-2016</c:v>
          </c:tx>
          <c:spPr>
            <a:ln w="28575">
              <a:noFill/>
            </a:ln>
          </c:spPr>
          <c:marker>
            <c:symbol val="circle"/>
            <c:size val="7"/>
            <c:spPr>
              <a:solidFill>
                <a:schemeClr val="tx1"/>
              </a:solidFill>
              <a:ln>
                <a:solidFill>
                  <a:schemeClr val="tx1"/>
                </a:solidFill>
              </a:ln>
            </c:spPr>
          </c:marker>
          <c:dPt>
            <c:idx val="17"/>
            <c:bubble3D val="0"/>
          </c:dPt>
          <c:trendline>
            <c:trendlineType val="linear"/>
            <c:intercept val="0"/>
            <c:dispRSqr val="1"/>
            <c:dispEq val="1"/>
            <c:trendlineLbl>
              <c:layout>
                <c:manualLayout>
                  <c:x val="-0.27255271970314054"/>
                  <c:y val="1.2452190363157015E-2"/>
                </c:manualLayout>
              </c:layout>
              <c:numFmt formatCode="#,##0.00000000" sourceLinked="0"/>
              <c:txPr>
                <a:bodyPr/>
                <a:lstStyle/>
                <a:p>
                  <a:pPr>
                    <a:defRPr sz="1400"/>
                  </a:pPr>
                  <a:endParaRPr lang="en-US"/>
                </a:p>
              </c:txPr>
            </c:trendlineLbl>
          </c:trendline>
          <c:xVal>
            <c:numRef>
              <c:f>ChilkatTable!$W$19:$W$36</c:f>
              <c:numCache>
                <c:formatCode>#,##0</c:formatCode>
                <c:ptCount val="18"/>
                <c:pt idx="0">
                  <c:v>21464.712363482147</c:v>
                </c:pt>
                <c:pt idx="1">
                  <c:v>32152.75112682458</c:v>
                </c:pt>
                <c:pt idx="2">
                  <c:v>49818.421037951979</c:v>
                </c:pt>
                <c:pt idx="3">
                  <c:v>29111.021630484258</c:v>
                </c:pt>
                <c:pt idx="4">
                  <c:v>33174.003930812047</c:v>
                </c:pt>
                <c:pt idx="5">
                  <c:v>12757.874942477865</c:v>
                </c:pt>
                <c:pt idx="6">
                  <c:v>15822.204102688618</c:v>
                </c:pt>
                <c:pt idx="7">
                  <c:v>8721.5504169317664</c:v>
                </c:pt>
                <c:pt idx="8">
                  <c:v>14366.759212206873</c:v>
                </c:pt>
                <c:pt idx="9">
                  <c:v>9317.4461149367089</c:v>
                </c:pt>
                <c:pt idx="10">
                  <c:v>21816.53139184419</c:v>
                </c:pt>
                <c:pt idx="11">
                  <c:v>12029.060059090903</c:v>
                </c:pt>
                <c:pt idx="12">
                  <c:v>8530.5066227316747</c:v>
                </c:pt>
                <c:pt idx="13">
                  <c:v>21067.581021634618</c:v>
                </c:pt>
                <c:pt idx="14">
                  <c:v>26648.29454920346</c:v>
                </c:pt>
                <c:pt idx="15">
                  <c:v>15649</c:v>
                </c:pt>
                <c:pt idx="16">
                  <c:v>9948.2170047798718</c:v>
                </c:pt>
                <c:pt idx="17">
                  <c:v>14298</c:v>
                </c:pt>
              </c:numCache>
            </c:numRef>
          </c:xVal>
          <c:yVal>
            <c:numRef>
              <c:f>ChilkatTable!$T$19:$T$36</c:f>
              <c:numCache>
                <c:formatCode>#,##0</c:formatCode>
                <c:ptCount val="18"/>
                <c:pt idx="0">
                  <c:v>125178</c:v>
                </c:pt>
                <c:pt idx="1">
                  <c:v>155865</c:v>
                </c:pt>
                <c:pt idx="2">
                  <c:v>339984</c:v>
                </c:pt>
                <c:pt idx="3">
                  <c:v>219114</c:v>
                </c:pt>
                <c:pt idx="4">
                  <c:v>195249</c:v>
                </c:pt>
                <c:pt idx="5">
                  <c:v>65200</c:v>
                </c:pt>
                <c:pt idx="6">
                  <c:v>145284</c:v>
                </c:pt>
                <c:pt idx="7">
                  <c:v>38270</c:v>
                </c:pt>
                <c:pt idx="8">
                  <c:v>108141</c:v>
                </c:pt>
                <c:pt idx="9">
                  <c:v>78096</c:v>
                </c:pt>
                <c:pt idx="10">
                  <c:v>154342</c:v>
                </c:pt>
                <c:pt idx="11">
                  <c:v>97720</c:v>
                </c:pt>
                <c:pt idx="12">
                  <c:v>65097</c:v>
                </c:pt>
                <c:pt idx="13">
                  <c:v>121537</c:v>
                </c:pt>
                <c:pt idx="14">
                  <c:v>156445</c:v>
                </c:pt>
                <c:pt idx="15">
                  <c:v>71816</c:v>
                </c:pt>
                <c:pt idx="16">
                  <c:v>40522</c:v>
                </c:pt>
                <c:pt idx="17">
                  <c:v>52547</c:v>
                </c:pt>
              </c:numCache>
            </c:numRef>
          </c:yVal>
          <c:smooth val="0"/>
        </c:ser>
        <c:dLbls>
          <c:showLegendKey val="0"/>
          <c:showVal val="0"/>
          <c:showCatName val="0"/>
          <c:showSerName val="0"/>
          <c:showPercent val="0"/>
          <c:showBubbleSize val="0"/>
        </c:dLbls>
        <c:axId val="230841344"/>
        <c:axId val="230876288"/>
      </c:scatterChart>
      <c:valAx>
        <c:axId val="230841344"/>
        <c:scaling>
          <c:orientation val="minMax"/>
        </c:scaling>
        <c:delete val="0"/>
        <c:axPos val="b"/>
        <c:title>
          <c:tx>
            <c:rich>
              <a:bodyPr/>
              <a:lstStyle/>
              <a:p>
                <a:pPr>
                  <a:defRPr sz="1400"/>
                </a:pPr>
                <a:r>
                  <a:rPr lang="en-US" sz="1400"/>
                  <a:t>Berners River Return (Number of Fish)</a:t>
                </a:r>
              </a:p>
            </c:rich>
          </c:tx>
          <c:overlay val="0"/>
        </c:title>
        <c:numFmt formatCode="#,##0" sourceLinked="1"/>
        <c:majorTickMark val="out"/>
        <c:minorTickMark val="none"/>
        <c:tickLblPos val="nextTo"/>
        <c:crossAx val="230876288"/>
        <c:crosses val="autoZero"/>
        <c:crossBetween val="midCat"/>
      </c:valAx>
      <c:valAx>
        <c:axId val="230876288"/>
        <c:scaling>
          <c:orientation val="minMax"/>
          <c:max val="350000"/>
          <c:min val="0"/>
        </c:scaling>
        <c:delete val="0"/>
        <c:axPos val="l"/>
        <c:title>
          <c:tx>
            <c:rich>
              <a:bodyPr rot="-5400000" vert="horz"/>
              <a:lstStyle/>
              <a:p>
                <a:pPr>
                  <a:defRPr sz="1400"/>
                </a:pPr>
                <a:r>
                  <a:rPr lang="en-US" sz="1400"/>
                  <a:t>Chilkat River Return (Number of Fish)</a:t>
                </a:r>
              </a:p>
            </c:rich>
          </c:tx>
          <c:overlay val="0"/>
        </c:title>
        <c:numFmt formatCode="#,##0" sourceLinked="1"/>
        <c:majorTickMark val="out"/>
        <c:minorTickMark val="none"/>
        <c:tickLblPos val="nextTo"/>
        <c:crossAx val="230841344"/>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chart" Target="../charts/chart22.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chart" Target="../charts/chart21.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18" Type="http://schemas.openxmlformats.org/officeDocument/2006/relationships/chart" Target="../charts/chart40.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17" Type="http://schemas.openxmlformats.org/officeDocument/2006/relationships/chart" Target="../charts/chart39.xml"/><Relationship Id="rId2" Type="http://schemas.openxmlformats.org/officeDocument/2006/relationships/chart" Target="../charts/chart24.xml"/><Relationship Id="rId16" Type="http://schemas.openxmlformats.org/officeDocument/2006/relationships/chart" Target="../charts/chart38.xml"/><Relationship Id="rId20" Type="http://schemas.openxmlformats.org/officeDocument/2006/relationships/chart" Target="../charts/chart42.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5" Type="http://schemas.openxmlformats.org/officeDocument/2006/relationships/chart" Target="../charts/chart37.xml"/><Relationship Id="rId10" Type="http://schemas.openxmlformats.org/officeDocument/2006/relationships/chart" Target="../charts/chart32.xml"/><Relationship Id="rId19" Type="http://schemas.openxmlformats.org/officeDocument/2006/relationships/chart" Target="../charts/chart41.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63.xml"/><Relationship Id="rId13" Type="http://schemas.openxmlformats.org/officeDocument/2006/relationships/chart" Target="../charts/chart67.xml"/><Relationship Id="rId18" Type="http://schemas.openxmlformats.org/officeDocument/2006/relationships/chart" Target="../charts/chart72.xml"/><Relationship Id="rId3" Type="http://schemas.openxmlformats.org/officeDocument/2006/relationships/chart" Target="../charts/chart58.xml"/><Relationship Id="rId7" Type="http://schemas.openxmlformats.org/officeDocument/2006/relationships/chart" Target="../charts/chart62.xml"/><Relationship Id="rId12" Type="http://schemas.openxmlformats.org/officeDocument/2006/relationships/chart" Target="../charts/chart66.xml"/><Relationship Id="rId17" Type="http://schemas.openxmlformats.org/officeDocument/2006/relationships/chart" Target="../charts/chart71.xml"/><Relationship Id="rId2" Type="http://schemas.openxmlformats.org/officeDocument/2006/relationships/chart" Target="../charts/chart57.xml"/><Relationship Id="rId16" Type="http://schemas.openxmlformats.org/officeDocument/2006/relationships/chart" Target="../charts/chart70.xml"/><Relationship Id="rId20" Type="http://schemas.openxmlformats.org/officeDocument/2006/relationships/chart" Target="../charts/chart74.xml"/><Relationship Id="rId1" Type="http://schemas.openxmlformats.org/officeDocument/2006/relationships/chart" Target="../charts/chart56.xml"/><Relationship Id="rId6" Type="http://schemas.openxmlformats.org/officeDocument/2006/relationships/chart" Target="../charts/chart61.xml"/><Relationship Id="rId11" Type="http://schemas.openxmlformats.org/officeDocument/2006/relationships/chart" Target="../charts/chart65.xml"/><Relationship Id="rId5" Type="http://schemas.openxmlformats.org/officeDocument/2006/relationships/chart" Target="../charts/chart60.xml"/><Relationship Id="rId15" Type="http://schemas.openxmlformats.org/officeDocument/2006/relationships/chart" Target="../charts/chart69.xml"/><Relationship Id="rId10" Type="http://schemas.openxmlformats.org/officeDocument/2006/relationships/chart" Target="../charts/chart64.xml"/><Relationship Id="rId19" Type="http://schemas.openxmlformats.org/officeDocument/2006/relationships/chart" Target="../charts/chart73.xml"/><Relationship Id="rId4" Type="http://schemas.openxmlformats.org/officeDocument/2006/relationships/chart" Target="../charts/chart59.xml"/><Relationship Id="rId9" Type="http://schemas.openxmlformats.org/officeDocument/2006/relationships/image" Target="../media/image1.emf"/><Relationship Id="rId14" Type="http://schemas.openxmlformats.org/officeDocument/2006/relationships/chart" Target="../charts/chart68.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77.xml"/><Relationship Id="rId7" Type="http://schemas.openxmlformats.org/officeDocument/2006/relationships/chart" Target="../charts/chart81.xml"/><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chart" Target="../charts/chart80.xml"/><Relationship Id="rId5" Type="http://schemas.openxmlformats.org/officeDocument/2006/relationships/chart" Target="../charts/chart79.xml"/><Relationship Id="rId4" Type="http://schemas.openxmlformats.org/officeDocument/2006/relationships/chart" Target="../charts/chart7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83.xml"/><Relationship Id="rId1" Type="http://schemas.openxmlformats.org/officeDocument/2006/relationships/chart" Target="../charts/chart82.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86.xml"/><Relationship Id="rId2" Type="http://schemas.openxmlformats.org/officeDocument/2006/relationships/chart" Target="../charts/chart85.xml"/><Relationship Id="rId1" Type="http://schemas.openxmlformats.org/officeDocument/2006/relationships/chart" Target="../charts/chart84.xml"/><Relationship Id="rId5" Type="http://schemas.openxmlformats.org/officeDocument/2006/relationships/chart" Target="../charts/chart88.xml"/><Relationship Id="rId4" Type="http://schemas.openxmlformats.org/officeDocument/2006/relationships/chart" Target="../charts/chart87.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96.xml"/><Relationship Id="rId13" Type="http://schemas.openxmlformats.org/officeDocument/2006/relationships/chart" Target="../charts/chart101.xml"/><Relationship Id="rId18" Type="http://schemas.openxmlformats.org/officeDocument/2006/relationships/chart" Target="../charts/chart106.xml"/><Relationship Id="rId3" Type="http://schemas.openxmlformats.org/officeDocument/2006/relationships/chart" Target="../charts/chart91.xml"/><Relationship Id="rId21" Type="http://schemas.openxmlformats.org/officeDocument/2006/relationships/chart" Target="../charts/chart109.xml"/><Relationship Id="rId7" Type="http://schemas.openxmlformats.org/officeDocument/2006/relationships/chart" Target="../charts/chart95.xml"/><Relationship Id="rId12" Type="http://schemas.openxmlformats.org/officeDocument/2006/relationships/chart" Target="../charts/chart100.xml"/><Relationship Id="rId17" Type="http://schemas.openxmlformats.org/officeDocument/2006/relationships/chart" Target="../charts/chart105.xml"/><Relationship Id="rId2" Type="http://schemas.openxmlformats.org/officeDocument/2006/relationships/chart" Target="../charts/chart90.xml"/><Relationship Id="rId16" Type="http://schemas.openxmlformats.org/officeDocument/2006/relationships/chart" Target="../charts/chart104.xml"/><Relationship Id="rId20" Type="http://schemas.openxmlformats.org/officeDocument/2006/relationships/chart" Target="../charts/chart108.xml"/><Relationship Id="rId1" Type="http://schemas.openxmlformats.org/officeDocument/2006/relationships/chart" Target="../charts/chart89.xml"/><Relationship Id="rId6" Type="http://schemas.openxmlformats.org/officeDocument/2006/relationships/chart" Target="../charts/chart94.xml"/><Relationship Id="rId11" Type="http://schemas.openxmlformats.org/officeDocument/2006/relationships/chart" Target="../charts/chart99.xml"/><Relationship Id="rId5" Type="http://schemas.openxmlformats.org/officeDocument/2006/relationships/chart" Target="../charts/chart93.xml"/><Relationship Id="rId15" Type="http://schemas.openxmlformats.org/officeDocument/2006/relationships/chart" Target="../charts/chart103.xml"/><Relationship Id="rId23" Type="http://schemas.openxmlformats.org/officeDocument/2006/relationships/chart" Target="../charts/chart111.xml"/><Relationship Id="rId10" Type="http://schemas.openxmlformats.org/officeDocument/2006/relationships/chart" Target="../charts/chart98.xml"/><Relationship Id="rId19" Type="http://schemas.openxmlformats.org/officeDocument/2006/relationships/chart" Target="../charts/chart107.xml"/><Relationship Id="rId4" Type="http://schemas.openxmlformats.org/officeDocument/2006/relationships/chart" Target="../charts/chart92.xml"/><Relationship Id="rId9" Type="http://schemas.openxmlformats.org/officeDocument/2006/relationships/chart" Target="../charts/chart97.xml"/><Relationship Id="rId14" Type="http://schemas.openxmlformats.org/officeDocument/2006/relationships/chart" Target="../charts/chart102.xml"/><Relationship Id="rId22" Type="http://schemas.openxmlformats.org/officeDocument/2006/relationships/chart" Target="../charts/chart110.xml"/></Relationships>
</file>

<file path=xl/drawings/_rels/drawing37.xml.rels><?xml version="1.0" encoding="UTF-8" standalone="yes"?>
<Relationships xmlns="http://schemas.openxmlformats.org/package/2006/relationships"><Relationship Id="rId3" Type="http://schemas.openxmlformats.org/officeDocument/2006/relationships/chart" Target="../charts/chart114.xml"/><Relationship Id="rId2" Type="http://schemas.openxmlformats.org/officeDocument/2006/relationships/chart" Target="../charts/chart113.xml"/><Relationship Id="rId1" Type="http://schemas.openxmlformats.org/officeDocument/2006/relationships/chart" Target="../charts/chart112.xml"/></Relationships>
</file>

<file path=xl/drawings/_rels/drawing40.xml.rels><?xml version="1.0" encoding="UTF-8" standalone="yes"?>
<Relationships xmlns="http://schemas.openxmlformats.org/package/2006/relationships"><Relationship Id="rId8" Type="http://schemas.openxmlformats.org/officeDocument/2006/relationships/chart" Target="../charts/chart122.xml"/><Relationship Id="rId13" Type="http://schemas.openxmlformats.org/officeDocument/2006/relationships/chart" Target="../charts/chart127.xml"/><Relationship Id="rId18" Type="http://schemas.openxmlformats.org/officeDocument/2006/relationships/chart" Target="../charts/chart132.xml"/><Relationship Id="rId26" Type="http://schemas.openxmlformats.org/officeDocument/2006/relationships/chart" Target="../charts/chart140.xml"/><Relationship Id="rId3" Type="http://schemas.openxmlformats.org/officeDocument/2006/relationships/chart" Target="../charts/chart117.xml"/><Relationship Id="rId21" Type="http://schemas.openxmlformats.org/officeDocument/2006/relationships/chart" Target="../charts/chart135.xml"/><Relationship Id="rId7" Type="http://schemas.openxmlformats.org/officeDocument/2006/relationships/chart" Target="../charts/chart121.xml"/><Relationship Id="rId12" Type="http://schemas.openxmlformats.org/officeDocument/2006/relationships/chart" Target="../charts/chart126.xml"/><Relationship Id="rId17" Type="http://schemas.openxmlformats.org/officeDocument/2006/relationships/chart" Target="../charts/chart131.xml"/><Relationship Id="rId25" Type="http://schemas.openxmlformats.org/officeDocument/2006/relationships/chart" Target="../charts/chart139.xml"/><Relationship Id="rId2" Type="http://schemas.openxmlformats.org/officeDocument/2006/relationships/chart" Target="../charts/chart116.xml"/><Relationship Id="rId16" Type="http://schemas.openxmlformats.org/officeDocument/2006/relationships/chart" Target="../charts/chart130.xml"/><Relationship Id="rId20" Type="http://schemas.openxmlformats.org/officeDocument/2006/relationships/chart" Target="../charts/chart134.xml"/><Relationship Id="rId29" Type="http://schemas.openxmlformats.org/officeDocument/2006/relationships/chart" Target="../charts/chart143.xml"/><Relationship Id="rId1" Type="http://schemas.openxmlformats.org/officeDocument/2006/relationships/chart" Target="../charts/chart115.xml"/><Relationship Id="rId6" Type="http://schemas.openxmlformats.org/officeDocument/2006/relationships/chart" Target="../charts/chart120.xml"/><Relationship Id="rId11" Type="http://schemas.openxmlformats.org/officeDocument/2006/relationships/chart" Target="../charts/chart125.xml"/><Relationship Id="rId24" Type="http://schemas.openxmlformats.org/officeDocument/2006/relationships/chart" Target="../charts/chart138.xml"/><Relationship Id="rId5" Type="http://schemas.openxmlformats.org/officeDocument/2006/relationships/chart" Target="../charts/chart119.xml"/><Relationship Id="rId15" Type="http://schemas.openxmlformats.org/officeDocument/2006/relationships/chart" Target="../charts/chart129.xml"/><Relationship Id="rId23" Type="http://schemas.openxmlformats.org/officeDocument/2006/relationships/chart" Target="../charts/chart137.xml"/><Relationship Id="rId28" Type="http://schemas.openxmlformats.org/officeDocument/2006/relationships/chart" Target="../charts/chart142.xml"/><Relationship Id="rId10" Type="http://schemas.openxmlformats.org/officeDocument/2006/relationships/chart" Target="../charts/chart124.xml"/><Relationship Id="rId19" Type="http://schemas.openxmlformats.org/officeDocument/2006/relationships/chart" Target="../charts/chart133.xml"/><Relationship Id="rId4" Type="http://schemas.openxmlformats.org/officeDocument/2006/relationships/chart" Target="../charts/chart118.xml"/><Relationship Id="rId9" Type="http://schemas.openxmlformats.org/officeDocument/2006/relationships/chart" Target="../charts/chart123.xml"/><Relationship Id="rId14" Type="http://schemas.openxmlformats.org/officeDocument/2006/relationships/chart" Target="../charts/chart128.xml"/><Relationship Id="rId22" Type="http://schemas.openxmlformats.org/officeDocument/2006/relationships/chart" Target="../charts/chart136.xml"/><Relationship Id="rId27" Type="http://schemas.openxmlformats.org/officeDocument/2006/relationships/chart" Target="../charts/chart141.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146.xml"/><Relationship Id="rId2" Type="http://schemas.openxmlformats.org/officeDocument/2006/relationships/chart" Target="../charts/chart145.xml"/><Relationship Id="rId1" Type="http://schemas.openxmlformats.org/officeDocument/2006/relationships/chart" Target="../charts/chart144.xml"/><Relationship Id="rId4" Type="http://schemas.openxmlformats.org/officeDocument/2006/relationships/chart" Target="../charts/chart147.xml"/></Relationships>
</file>

<file path=xl/drawings/drawing1.xml><?xml version="1.0" encoding="utf-8"?>
<xdr:wsDr xmlns:xdr="http://schemas.openxmlformats.org/drawingml/2006/spreadsheetDrawing" xmlns:a="http://schemas.openxmlformats.org/drawingml/2006/main">
  <xdr:twoCellAnchor>
    <xdr:from>
      <xdr:col>0</xdr:col>
      <xdr:colOff>85725</xdr:colOff>
      <xdr:row>44</xdr:row>
      <xdr:rowOff>9525</xdr:rowOff>
    </xdr:from>
    <xdr:to>
      <xdr:col>5</xdr:col>
      <xdr:colOff>361950</xdr:colOff>
      <xdr:row>59</xdr:row>
      <xdr:rowOff>104775</xdr:rowOff>
    </xdr:to>
    <xdr:graphicFrame macro="">
      <xdr:nvGraphicFramePr>
        <xdr:cNvPr id="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59</xdr:row>
      <xdr:rowOff>47625</xdr:rowOff>
    </xdr:from>
    <xdr:to>
      <xdr:col>10</xdr:col>
      <xdr:colOff>581025</xdr:colOff>
      <xdr:row>74</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94</xdr:row>
      <xdr:rowOff>19050</xdr:rowOff>
    </xdr:from>
    <xdr:to>
      <xdr:col>5</xdr:col>
      <xdr:colOff>371475</xdr:colOff>
      <xdr:row>109</xdr:row>
      <xdr:rowOff>114300</xdr:rowOff>
    </xdr:to>
    <xdr:graphicFrame macro="">
      <xdr:nvGraphicFramePr>
        <xdr:cNvPr id="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304800</xdr:colOff>
      <xdr:row>94</xdr:row>
      <xdr:rowOff>0</xdr:rowOff>
    </xdr:from>
    <xdr:to>
      <xdr:col>10</xdr:col>
      <xdr:colOff>581025</xdr:colOff>
      <xdr:row>109</xdr:row>
      <xdr:rowOff>95250</xdr:rowOff>
    </xdr:to>
    <xdr:graphicFrame macro="">
      <xdr:nvGraphicFramePr>
        <xdr:cNvPr id="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95250</xdr:colOff>
      <xdr:row>109</xdr:row>
      <xdr:rowOff>76200</xdr:rowOff>
    </xdr:from>
    <xdr:to>
      <xdr:col>5</xdr:col>
      <xdr:colOff>371475</xdr:colOff>
      <xdr:row>124</xdr:row>
      <xdr:rowOff>171450</xdr:rowOff>
    </xdr:to>
    <xdr:graphicFrame macro="">
      <xdr:nvGraphicFramePr>
        <xdr:cNvPr id="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323850</xdr:colOff>
      <xdr:row>109</xdr:row>
      <xdr:rowOff>95250</xdr:rowOff>
    </xdr:from>
    <xdr:to>
      <xdr:col>10</xdr:col>
      <xdr:colOff>600075</xdr:colOff>
      <xdr:row>125</xdr:row>
      <xdr:rowOff>0</xdr:rowOff>
    </xdr:to>
    <xdr:graphicFrame macro="">
      <xdr:nvGraphicFramePr>
        <xdr:cNvPr id="11"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466725</xdr:colOff>
      <xdr:row>74</xdr:row>
      <xdr:rowOff>95250</xdr:rowOff>
    </xdr:from>
    <xdr:to>
      <xdr:col>8</xdr:col>
      <xdr:colOff>133350</xdr:colOff>
      <xdr:row>90</xdr:row>
      <xdr:rowOff>0</xdr:rowOff>
    </xdr:to>
    <xdr:graphicFrame macro="">
      <xdr:nvGraphicFramePr>
        <xdr:cNvPr id="1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76200</xdr:colOff>
      <xdr:row>59</xdr:row>
      <xdr:rowOff>38100</xdr:rowOff>
    </xdr:from>
    <xdr:to>
      <xdr:col>5</xdr:col>
      <xdr:colOff>352425</xdr:colOff>
      <xdr:row>74</xdr:row>
      <xdr:rowOff>133350</xdr:rowOff>
    </xdr:to>
    <xdr:graphicFrame macro="">
      <xdr:nvGraphicFramePr>
        <xdr:cNvPr id="1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295275</xdr:colOff>
      <xdr:row>44</xdr:row>
      <xdr:rowOff>19050</xdr:rowOff>
    </xdr:from>
    <xdr:to>
      <xdr:col>10</xdr:col>
      <xdr:colOff>571500</xdr:colOff>
      <xdr:row>59</xdr:row>
      <xdr:rowOff>114300</xdr:rowOff>
    </xdr:to>
    <xdr:graphicFrame macro="">
      <xdr:nvGraphicFramePr>
        <xdr:cNvPr id="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30</xdr:col>
      <xdr:colOff>9525</xdr:colOff>
      <xdr:row>25</xdr:row>
      <xdr:rowOff>66675</xdr:rowOff>
    </xdr:from>
    <xdr:to>
      <xdr:col>41</xdr:col>
      <xdr:colOff>9525</xdr:colOff>
      <xdr:row>43</xdr:row>
      <xdr:rowOff>95248</xdr:rowOff>
    </xdr:to>
    <xdr:graphicFrame macro="">
      <xdr:nvGraphicFramePr>
        <xdr:cNvPr id="3"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0</xdr:colOff>
      <xdr:row>0</xdr:row>
      <xdr:rowOff>0</xdr:rowOff>
    </xdr:from>
    <xdr:to>
      <xdr:col>78</xdr:col>
      <xdr:colOff>542925</xdr:colOff>
      <xdr:row>25</xdr:row>
      <xdr:rowOff>172810</xdr:rowOff>
    </xdr:to>
    <xdr:graphicFrame macro="">
      <xdr:nvGraphicFramePr>
        <xdr:cNvPr id="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600074</xdr:colOff>
      <xdr:row>3</xdr:row>
      <xdr:rowOff>123826</xdr:rowOff>
    </xdr:from>
    <xdr:to>
      <xdr:col>55</xdr:col>
      <xdr:colOff>28575</xdr:colOff>
      <xdr:row>26</xdr:row>
      <xdr:rowOff>104775</xdr:rowOff>
    </xdr:to>
    <xdr:graphicFrame macro="">
      <xdr:nvGraphicFramePr>
        <xdr:cNvPr id="1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47625</xdr:colOff>
      <xdr:row>47</xdr:row>
      <xdr:rowOff>19050</xdr:rowOff>
    </xdr:from>
    <xdr:to>
      <xdr:col>37</xdr:col>
      <xdr:colOff>19049</xdr:colOff>
      <xdr:row>71</xdr:row>
      <xdr:rowOff>85725</xdr:rowOff>
    </xdr:to>
    <xdr:graphicFrame macro="">
      <xdr:nvGraphicFramePr>
        <xdr:cNvPr id="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448235</xdr:colOff>
      <xdr:row>107</xdr:row>
      <xdr:rowOff>13445</xdr:rowOff>
    </xdr:from>
    <xdr:to>
      <xdr:col>38</xdr:col>
      <xdr:colOff>581585</xdr:colOff>
      <xdr:row>125</xdr:row>
      <xdr:rowOff>60624</xdr:rowOff>
    </xdr:to>
    <xdr:graphicFrame macro="">
      <xdr:nvGraphicFramePr>
        <xdr:cNvPr id="1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38100</xdr:colOff>
      <xdr:row>47</xdr:row>
      <xdr:rowOff>19050</xdr:rowOff>
    </xdr:from>
    <xdr:to>
      <xdr:col>43</xdr:col>
      <xdr:colOff>590549</xdr:colOff>
      <xdr:row>71</xdr:row>
      <xdr:rowOff>85725</xdr:rowOff>
    </xdr:to>
    <xdr:graphicFrame macro="">
      <xdr:nvGraphicFramePr>
        <xdr:cNvPr id="1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142877</xdr:colOff>
      <xdr:row>55</xdr:row>
      <xdr:rowOff>95251</xdr:rowOff>
    </xdr:from>
    <xdr:to>
      <xdr:col>42</xdr:col>
      <xdr:colOff>333375</xdr:colOff>
      <xdr:row>56</xdr:row>
      <xdr:rowOff>57150</xdr:rowOff>
    </xdr:to>
    <xdr:cxnSp macro="">
      <xdr:nvCxnSpPr>
        <xdr:cNvPr id="5" name="Straight Arrow Connector 4"/>
        <xdr:cNvCxnSpPr/>
      </xdr:nvCxnSpPr>
      <xdr:spPr bwMode="auto">
        <a:xfrm flipH="1" flipV="1">
          <a:off x="27060527" y="10296526"/>
          <a:ext cx="190498" cy="123824"/>
        </a:xfrm>
        <a:prstGeom prst="straightConnector1">
          <a:avLst/>
        </a:prstGeom>
        <a:noFill/>
        <a:ln w="1" cap="flat" cmpd="sng" algn="ctr">
          <a:solidFill>
            <a:schemeClr val="tx1"/>
          </a:solidFill>
          <a:prstDash val="solid"/>
          <a:round/>
          <a:headEnd type="none" w="med" len="med"/>
          <a:tailEnd type="arrow"/>
        </a:ln>
        <a:effectLst/>
      </xdr:spPr>
    </xdr:cxnSp>
    <xdr:clientData/>
  </xdr:twoCellAnchor>
  <xdr:twoCellAnchor>
    <xdr:from>
      <xdr:col>68</xdr:col>
      <xdr:colOff>11205</xdr:colOff>
      <xdr:row>31</xdr:row>
      <xdr:rowOff>190499</xdr:rowOff>
    </xdr:from>
    <xdr:to>
      <xdr:col>79</xdr:col>
      <xdr:colOff>313765</xdr:colOff>
      <xdr:row>55</xdr:row>
      <xdr:rowOff>112058</xdr:rowOff>
    </xdr:to>
    <xdr:graphicFrame macro="">
      <xdr:nvGraphicFramePr>
        <xdr:cNvPr id="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19050</xdr:colOff>
      <xdr:row>5</xdr:row>
      <xdr:rowOff>28575</xdr:rowOff>
    </xdr:from>
    <xdr:to>
      <xdr:col>41</xdr:col>
      <xdr:colOff>19051</xdr:colOff>
      <xdr:row>25</xdr:row>
      <xdr:rowOff>95251</xdr:rowOff>
    </xdr:to>
    <xdr:graphicFrame macro="">
      <xdr:nvGraphicFramePr>
        <xdr:cNvPr id="1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79</xdr:col>
      <xdr:colOff>549089</xdr:colOff>
      <xdr:row>30</xdr:row>
      <xdr:rowOff>67235</xdr:rowOff>
    </xdr:from>
    <xdr:to>
      <xdr:col>90</xdr:col>
      <xdr:colOff>549089</xdr:colOff>
      <xdr:row>58</xdr:row>
      <xdr:rowOff>78441</xdr:rowOff>
    </xdr:to>
    <xdr:graphicFrame macro="">
      <xdr:nvGraphicFramePr>
        <xdr:cNvPr id="14"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55</xdr:col>
      <xdr:colOff>414617</xdr:colOff>
      <xdr:row>1</xdr:row>
      <xdr:rowOff>129988</xdr:rowOff>
    </xdr:from>
    <xdr:to>
      <xdr:col>63</xdr:col>
      <xdr:colOff>168088</xdr:colOff>
      <xdr:row>24</xdr:row>
      <xdr:rowOff>156882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39</xdr:col>
      <xdr:colOff>0</xdr:colOff>
      <xdr:row>107</xdr:row>
      <xdr:rowOff>0</xdr:rowOff>
    </xdr:from>
    <xdr:to>
      <xdr:col>45</xdr:col>
      <xdr:colOff>66675</xdr:colOff>
      <xdr:row>125</xdr:row>
      <xdr:rowOff>108697</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36</xdr:col>
      <xdr:colOff>1</xdr:colOff>
      <xdr:row>74</xdr:row>
      <xdr:rowOff>44823</xdr:rowOff>
    </xdr:from>
    <xdr:to>
      <xdr:col>42</xdr:col>
      <xdr:colOff>552450</xdr:colOff>
      <xdr:row>99</xdr:row>
      <xdr:rowOff>21851</xdr:rowOff>
    </xdr:to>
    <xdr:graphicFrame macro="">
      <xdr:nvGraphicFramePr>
        <xdr:cNvPr id="20"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22411</xdr:colOff>
      <xdr:row>74</xdr:row>
      <xdr:rowOff>44823</xdr:rowOff>
    </xdr:from>
    <xdr:to>
      <xdr:col>35</xdr:col>
      <xdr:colOff>598953</xdr:colOff>
      <xdr:row>99</xdr:row>
      <xdr:rowOff>21852</xdr:rowOff>
    </xdr:to>
    <xdr:graphicFrame macro="">
      <xdr:nvGraphicFramePr>
        <xdr:cNvPr id="2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0.8414</cdr:x>
      <cdr:y>0.16423</cdr:y>
    </cdr:from>
    <cdr:to>
      <cdr:x>0.9795</cdr:x>
      <cdr:y>0.23764</cdr:y>
    </cdr:to>
    <cdr:sp macro="" textlink="">
      <cdr:nvSpPr>
        <cdr:cNvPr id="3" name="TextBox 2"/>
        <cdr:cNvSpPr txBox="1"/>
      </cdr:nvSpPr>
      <cdr:spPr>
        <a:xfrm xmlns:a="http://schemas.openxmlformats.org/drawingml/2006/main">
          <a:off x="3574407" y="628862"/>
          <a:ext cx="586668" cy="2810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latin typeface="Arial" pitchFamily="34" charset="0"/>
              <a:cs typeface="Arial" pitchFamily="34" charset="0"/>
            </a:rPr>
            <a:t>1993</a:t>
          </a:r>
        </a:p>
        <a:p xmlns:a="http://schemas.openxmlformats.org/drawingml/2006/main">
          <a:endParaRPr lang="en-US" sz="1100">
            <a:latin typeface="Arial" pitchFamily="34" charset="0"/>
            <a:cs typeface="Arial" pitchFamily="34" charset="0"/>
          </a:endParaRPr>
        </a:p>
      </cdr:txBody>
    </cdr:sp>
  </cdr:relSizeAnchor>
  <cdr:relSizeAnchor xmlns:cdr="http://schemas.openxmlformats.org/drawingml/2006/chartDrawing">
    <cdr:from>
      <cdr:x>0.13992</cdr:x>
      <cdr:y>0.10273</cdr:y>
    </cdr:from>
    <cdr:to>
      <cdr:x>0.29066</cdr:x>
      <cdr:y>0.16636</cdr:y>
    </cdr:to>
    <cdr:sp macro="" textlink="">
      <cdr:nvSpPr>
        <cdr:cNvPr id="4" name="TextBox 1"/>
        <cdr:cNvSpPr txBox="1"/>
      </cdr:nvSpPr>
      <cdr:spPr>
        <a:xfrm xmlns:a="http://schemas.openxmlformats.org/drawingml/2006/main">
          <a:off x="588664" y="405147"/>
          <a:ext cx="634201" cy="250951"/>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nSpc>
              <a:spcPts val="1100"/>
            </a:lnSpc>
          </a:pPr>
          <a:r>
            <a:rPr lang="en-US" sz="1100">
              <a:solidFill>
                <a:schemeClr val="tx1"/>
              </a:solidFill>
              <a:latin typeface="Arial" pitchFamily="34" charset="0"/>
              <a:cs typeface="Arial" pitchFamily="34" charset="0"/>
            </a:rPr>
            <a:t> 2017</a:t>
          </a:r>
          <a:r>
            <a:rPr lang="en-US" sz="1100" baseline="0">
              <a:solidFill>
                <a:schemeClr val="tx1"/>
              </a:solidFill>
              <a:latin typeface="Arial" pitchFamily="34" charset="0"/>
              <a:cs typeface="Arial" pitchFamily="34" charset="0"/>
            </a:rPr>
            <a:t> </a:t>
          </a:r>
          <a:r>
            <a:rPr lang="en-US" sz="1100" baseline="0">
              <a:solidFill>
                <a:srgbClr val="FF0000"/>
              </a:solidFill>
              <a:latin typeface="Arial" pitchFamily="34" charset="0"/>
              <a:cs typeface="Arial" pitchFamily="34" charset="0"/>
            </a:rPr>
            <a:t>  </a:t>
          </a:r>
        </a:p>
        <a:p xmlns:a="http://schemas.openxmlformats.org/drawingml/2006/main">
          <a:pPr>
            <a:lnSpc>
              <a:spcPts val="1100"/>
            </a:lnSpc>
          </a:pPr>
          <a:r>
            <a:rPr lang="en-US" sz="1100" baseline="0">
              <a:solidFill>
                <a:srgbClr val="FF0000"/>
              </a:solidFill>
              <a:latin typeface="Arial" pitchFamily="34" charset="0"/>
              <a:cs typeface="Arial" pitchFamily="34" charset="0"/>
            </a:rPr>
            <a:t>        </a:t>
          </a:r>
          <a:endParaRPr lang="en-US" sz="1100">
            <a:solidFill>
              <a:srgbClr val="FF0000"/>
            </a:solidFill>
            <a:latin typeface="Arial" pitchFamily="34" charset="0"/>
            <a:cs typeface="Arial" pitchFamily="34" charset="0"/>
          </a:endParaRPr>
        </a:p>
      </cdr:txBody>
    </cdr:sp>
  </cdr:relSizeAnchor>
  <cdr:relSizeAnchor xmlns:cdr="http://schemas.openxmlformats.org/drawingml/2006/chartDrawing">
    <cdr:from>
      <cdr:x>0.17461</cdr:x>
      <cdr:y>0.80688</cdr:y>
    </cdr:from>
    <cdr:to>
      <cdr:x>0.3127</cdr:x>
      <cdr:y>0.88029</cdr:y>
    </cdr:to>
    <cdr:sp macro="" textlink="">
      <cdr:nvSpPr>
        <cdr:cNvPr id="6" name="TextBox 1"/>
        <cdr:cNvSpPr txBox="1"/>
      </cdr:nvSpPr>
      <cdr:spPr>
        <a:xfrm xmlns:a="http://schemas.openxmlformats.org/drawingml/2006/main">
          <a:off x="734613" y="3182275"/>
          <a:ext cx="580979" cy="2895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50">
              <a:solidFill>
                <a:schemeClr val="tx1"/>
              </a:solidFill>
              <a:latin typeface="Arial" pitchFamily="34" charset="0"/>
              <a:cs typeface="Arial" pitchFamily="34" charset="0"/>
            </a:rPr>
            <a:t>2015</a:t>
          </a:r>
        </a:p>
        <a:p xmlns:a="http://schemas.openxmlformats.org/drawingml/2006/main">
          <a:endParaRPr lang="en-US" sz="1050">
            <a:solidFill>
              <a:srgbClr val="0070C0"/>
            </a:solidFill>
            <a:latin typeface="Arial" pitchFamily="34" charset="0"/>
            <a:cs typeface="Arial" pitchFamily="34" charset="0"/>
          </a:endParaRPr>
        </a:p>
      </cdr:txBody>
    </cdr:sp>
  </cdr:relSizeAnchor>
  <cdr:relSizeAnchor xmlns:cdr="http://schemas.openxmlformats.org/drawingml/2006/chartDrawing">
    <cdr:from>
      <cdr:x>0.28375</cdr:x>
      <cdr:y>0.7914</cdr:y>
    </cdr:from>
    <cdr:to>
      <cdr:x>0.42184</cdr:x>
      <cdr:y>0.86481</cdr:y>
    </cdr:to>
    <cdr:sp macro="" textlink="">
      <cdr:nvSpPr>
        <cdr:cNvPr id="5" name="TextBox 1"/>
        <cdr:cNvSpPr txBox="1"/>
      </cdr:nvSpPr>
      <cdr:spPr>
        <a:xfrm xmlns:a="http://schemas.openxmlformats.org/drawingml/2006/main">
          <a:off x="1193801" y="3121211"/>
          <a:ext cx="580979" cy="2895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50">
              <a:solidFill>
                <a:schemeClr val="tx1"/>
              </a:solidFill>
              <a:latin typeface="Arial" pitchFamily="34" charset="0"/>
              <a:cs typeface="Arial" pitchFamily="34" charset="0"/>
            </a:rPr>
            <a:t>2016</a:t>
          </a:r>
        </a:p>
        <a:p xmlns:a="http://schemas.openxmlformats.org/drawingml/2006/main">
          <a:endParaRPr lang="en-US" sz="1050">
            <a:solidFill>
              <a:srgbClr val="0070C0"/>
            </a:solidFill>
            <a:latin typeface="Arial" pitchFamily="34" charset="0"/>
            <a:cs typeface="Arial"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0.86787</cdr:x>
      <cdr:y>0.08137</cdr:y>
    </cdr:from>
    <cdr:to>
      <cdr:x>0.99315</cdr:x>
      <cdr:y>0.15207</cdr:y>
    </cdr:to>
    <cdr:sp macro="" textlink="">
      <cdr:nvSpPr>
        <cdr:cNvPr id="2" name="TextBox 1"/>
        <cdr:cNvSpPr txBox="1"/>
      </cdr:nvSpPr>
      <cdr:spPr>
        <a:xfrm xmlns:a="http://schemas.openxmlformats.org/drawingml/2006/main">
          <a:off x="3630436" y="320905"/>
          <a:ext cx="524065" cy="278835"/>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solidFill>
                <a:schemeClr val="tx1"/>
              </a:solidFill>
              <a:latin typeface="Arial" pitchFamily="34" charset="0"/>
              <a:cs typeface="Arial" pitchFamily="34" charset="0"/>
            </a:rPr>
            <a:t>2016</a:t>
          </a:r>
        </a:p>
      </cdr:txBody>
    </cdr:sp>
  </cdr:relSizeAnchor>
  <cdr:relSizeAnchor xmlns:cdr="http://schemas.openxmlformats.org/drawingml/2006/chartDrawing">
    <cdr:from>
      <cdr:x>0.78098</cdr:x>
      <cdr:y>0.353</cdr:y>
    </cdr:from>
    <cdr:to>
      <cdr:x>0.93628</cdr:x>
      <cdr:y>0.4237</cdr:y>
    </cdr:to>
    <cdr:sp macro="" textlink="">
      <cdr:nvSpPr>
        <cdr:cNvPr id="3" name="TextBox 1"/>
        <cdr:cNvSpPr txBox="1"/>
      </cdr:nvSpPr>
      <cdr:spPr>
        <a:xfrm xmlns:a="http://schemas.openxmlformats.org/drawingml/2006/main">
          <a:off x="3287959" y="1398726"/>
          <a:ext cx="653821" cy="280142"/>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solidFill>
                <a:schemeClr val="tx1"/>
              </a:solidFill>
              <a:latin typeface="Arial" pitchFamily="34" charset="0"/>
              <a:cs typeface="Arial" pitchFamily="34" charset="0"/>
            </a:rPr>
            <a:t>2015</a:t>
          </a:r>
        </a:p>
      </cdr:txBody>
    </cdr:sp>
  </cdr:relSizeAnchor>
  <cdr:relSizeAnchor xmlns:cdr="http://schemas.openxmlformats.org/drawingml/2006/chartDrawing">
    <cdr:from>
      <cdr:x>0.7919</cdr:x>
      <cdr:y>0.3073</cdr:y>
    </cdr:from>
    <cdr:to>
      <cdr:x>0.9472</cdr:x>
      <cdr:y>0.378</cdr:y>
    </cdr:to>
    <cdr:sp macro="" textlink="">
      <cdr:nvSpPr>
        <cdr:cNvPr id="4" name="TextBox 1"/>
        <cdr:cNvSpPr txBox="1"/>
      </cdr:nvSpPr>
      <cdr:spPr>
        <a:xfrm xmlns:a="http://schemas.openxmlformats.org/drawingml/2006/main">
          <a:off x="3333922" y="1217638"/>
          <a:ext cx="653820" cy="280142"/>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solidFill>
                <a:schemeClr val="tx1"/>
              </a:solidFill>
              <a:latin typeface="Arial" pitchFamily="34" charset="0"/>
              <a:cs typeface="Arial" pitchFamily="34" charset="0"/>
            </a:rPr>
            <a:t>1993</a:t>
          </a:r>
        </a:p>
      </cdr:txBody>
    </cdr:sp>
  </cdr:relSizeAnchor>
  <cdr:relSizeAnchor xmlns:cdr="http://schemas.openxmlformats.org/drawingml/2006/chartDrawing">
    <cdr:from>
      <cdr:x>0.75792</cdr:x>
      <cdr:y>0.31208</cdr:y>
    </cdr:from>
    <cdr:to>
      <cdr:x>0.8109</cdr:x>
      <cdr:y>0.33809</cdr:y>
    </cdr:to>
    <cdr:cxnSp macro="">
      <cdr:nvCxnSpPr>
        <cdr:cNvPr id="5" name="Straight Arrow Connector 4"/>
        <cdr:cNvCxnSpPr/>
      </cdr:nvCxnSpPr>
      <cdr:spPr bwMode="auto">
        <a:xfrm xmlns:a="http://schemas.openxmlformats.org/drawingml/2006/main" flipH="1" flipV="1">
          <a:off x="3190880" y="1236576"/>
          <a:ext cx="223062" cy="103072"/>
        </a:xfrm>
        <a:prstGeom xmlns:a="http://schemas.openxmlformats.org/drawingml/2006/main" prst="straightConnector1">
          <a:avLst/>
        </a:prstGeom>
        <a:noFill xmlns:a="http://schemas.openxmlformats.org/drawingml/2006/main"/>
        <a:ln xmlns:a="http://schemas.openxmlformats.org/drawingml/2006/main" w="1" cap="flat" cmpd="sng" algn="ctr">
          <a:solidFill>
            <a:schemeClr val="tx1"/>
          </a:solidFill>
          <a:prstDash val="solid"/>
          <a:round/>
          <a:headEnd type="none" w="med" len="med"/>
          <a:tailEnd type="arrow"/>
        </a:ln>
        <a:effectLst xmlns:a="http://schemas.openxmlformats.org/drawingml/2006/main"/>
      </cdr:spPr>
    </cdr:cxnSp>
  </cdr:relSizeAnchor>
  <cdr:relSizeAnchor xmlns:cdr="http://schemas.openxmlformats.org/drawingml/2006/chartDrawing">
    <cdr:from>
      <cdr:x>0.19966</cdr:x>
      <cdr:y>0.55273</cdr:y>
    </cdr:from>
    <cdr:to>
      <cdr:x>0.32494</cdr:x>
      <cdr:y>0.62343</cdr:y>
    </cdr:to>
    <cdr:sp macro="" textlink="">
      <cdr:nvSpPr>
        <cdr:cNvPr id="6" name="TextBox 1"/>
        <cdr:cNvSpPr txBox="1"/>
      </cdr:nvSpPr>
      <cdr:spPr>
        <a:xfrm xmlns:a="http://schemas.openxmlformats.org/drawingml/2006/main">
          <a:off x="835211" y="2179918"/>
          <a:ext cx="524065" cy="278835"/>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solidFill>
                <a:schemeClr val="tx1"/>
              </a:solidFill>
              <a:latin typeface="Arial" pitchFamily="34" charset="0"/>
              <a:cs typeface="Arial" pitchFamily="34" charset="0"/>
            </a:rPr>
            <a:t>2017</a:t>
          </a:r>
        </a:p>
      </cdr:txBody>
    </cdr:sp>
  </cdr:relSizeAnchor>
</c:userShapes>
</file>

<file path=xl/drawings/drawing5.xml><?xml version="1.0" encoding="utf-8"?>
<c:userShapes xmlns:c="http://schemas.openxmlformats.org/drawingml/2006/chart">
  <cdr:relSizeAnchor xmlns:cdr="http://schemas.openxmlformats.org/drawingml/2006/chartDrawing">
    <cdr:from>
      <cdr:x>0.86787</cdr:x>
      <cdr:y>0.08137</cdr:y>
    </cdr:from>
    <cdr:to>
      <cdr:x>0.99315</cdr:x>
      <cdr:y>0.15207</cdr:y>
    </cdr:to>
    <cdr:sp macro="" textlink="">
      <cdr:nvSpPr>
        <cdr:cNvPr id="2" name="TextBox 1"/>
        <cdr:cNvSpPr txBox="1"/>
      </cdr:nvSpPr>
      <cdr:spPr>
        <a:xfrm xmlns:a="http://schemas.openxmlformats.org/drawingml/2006/main">
          <a:off x="3630436" y="320905"/>
          <a:ext cx="524065" cy="278835"/>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solidFill>
                <a:schemeClr val="tx1"/>
              </a:solidFill>
              <a:latin typeface="Arial" pitchFamily="34" charset="0"/>
              <a:cs typeface="Arial" pitchFamily="34" charset="0"/>
            </a:rPr>
            <a:t>2016</a:t>
          </a:r>
        </a:p>
      </cdr:txBody>
    </cdr:sp>
  </cdr:relSizeAnchor>
  <cdr:relSizeAnchor xmlns:cdr="http://schemas.openxmlformats.org/drawingml/2006/chartDrawing">
    <cdr:from>
      <cdr:x>0.77294</cdr:x>
      <cdr:y>0.36427</cdr:y>
    </cdr:from>
    <cdr:to>
      <cdr:x>0.92824</cdr:x>
      <cdr:y>0.43497</cdr:y>
    </cdr:to>
    <cdr:sp macro="" textlink="">
      <cdr:nvSpPr>
        <cdr:cNvPr id="3" name="TextBox 1"/>
        <cdr:cNvSpPr txBox="1"/>
      </cdr:nvSpPr>
      <cdr:spPr>
        <a:xfrm xmlns:a="http://schemas.openxmlformats.org/drawingml/2006/main">
          <a:off x="3233342" y="1448905"/>
          <a:ext cx="649644" cy="281211"/>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solidFill>
                <a:schemeClr val="tx1"/>
              </a:solidFill>
              <a:latin typeface="Arial" pitchFamily="34" charset="0"/>
              <a:cs typeface="Arial" pitchFamily="34" charset="0"/>
            </a:rPr>
            <a:t>2015</a:t>
          </a:r>
        </a:p>
      </cdr:txBody>
    </cdr:sp>
  </cdr:relSizeAnchor>
  <cdr:relSizeAnchor xmlns:cdr="http://schemas.openxmlformats.org/drawingml/2006/chartDrawing">
    <cdr:from>
      <cdr:x>0.7919</cdr:x>
      <cdr:y>0.3073</cdr:y>
    </cdr:from>
    <cdr:to>
      <cdr:x>0.9472</cdr:x>
      <cdr:y>0.378</cdr:y>
    </cdr:to>
    <cdr:sp macro="" textlink="">
      <cdr:nvSpPr>
        <cdr:cNvPr id="4" name="TextBox 1"/>
        <cdr:cNvSpPr txBox="1"/>
      </cdr:nvSpPr>
      <cdr:spPr>
        <a:xfrm xmlns:a="http://schemas.openxmlformats.org/drawingml/2006/main">
          <a:off x="3333922" y="1217638"/>
          <a:ext cx="653820" cy="280142"/>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solidFill>
                <a:schemeClr val="tx1"/>
              </a:solidFill>
              <a:latin typeface="Arial" pitchFamily="34" charset="0"/>
              <a:cs typeface="Arial" pitchFamily="34" charset="0"/>
            </a:rPr>
            <a:t>1993</a:t>
          </a:r>
        </a:p>
      </cdr:txBody>
    </cdr:sp>
  </cdr:relSizeAnchor>
  <cdr:relSizeAnchor xmlns:cdr="http://schemas.openxmlformats.org/drawingml/2006/chartDrawing">
    <cdr:from>
      <cdr:x>0.75792</cdr:x>
      <cdr:y>0.31208</cdr:y>
    </cdr:from>
    <cdr:to>
      <cdr:x>0.8109</cdr:x>
      <cdr:y>0.33809</cdr:y>
    </cdr:to>
    <cdr:cxnSp macro="">
      <cdr:nvCxnSpPr>
        <cdr:cNvPr id="5" name="Straight Arrow Connector 4"/>
        <cdr:cNvCxnSpPr/>
      </cdr:nvCxnSpPr>
      <cdr:spPr bwMode="auto">
        <a:xfrm xmlns:a="http://schemas.openxmlformats.org/drawingml/2006/main" flipH="1" flipV="1">
          <a:off x="3190880" y="1236576"/>
          <a:ext cx="223062" cy="103072"/>
        </a:xfrm>
        <a:prstGeom xmlns:a="http://schemas.openxmlformats.org/drawingml/2006/main" prst="straightConnector1">
          <a:avLst/>
        </a:prstGeom>
        <a:noFill xmlns:a="http://schemas.openxmlformats.org/drawingml/2006/main"/>
        <a:ln xmlns:a="http://schemas.openxmlformats.org/drawingml/2006/main" w="1" cap="flat" cmpd="sng" algn="ctr">
          <a:solidFill>
            <a:schemeClr val="tx1"/>
          </a:solidFill>
          <a:prstDash val="solid"/>
          <a:round/>
          <a:headEnd type="none" w="med" len="med"/>
          <a:tailEnd type="arrow"/>
        </a:ln>
        <a:effectLst xmlns:a="http://schemas.openxmlformats.org/drawingml/2006/main"/>
      </cdr:spPr>
    </cdr:cxnSp>
  </cdr:relSizeAnchor>
  <cdr:relSizeAnchor xmlns:cdr="http://schemas.openxmlformats.org/drawingml/2006/chartDrawing">
    <cdr:from>
      <cdr:x>0.16341</cdr:x>
      <cdr:y>0.52737</cdr:y>
    </cdr:from>
    <cdr:to>
      <cdr:x>0.30619</cdr:x>
      <cdr:y>0.61981</cdr:y>
    </cdr:to>
    <cdr:sp macro="" textlink="">
      <cdr:nvSpPr>
        <cdr:cNvPr id="6" name="TextBox 1"/>
        <cdr:cNvSpPr txBox="1"/>
      </cdr:nvSpPr>
      <cdr:spPr>
        <a:xfrm xmlns:a="http://schemas.openxmlformats.org/drawingml/2006/main">
          <a:off x="683560" y="2097646"/>
          <a:ext cx="597275" cy="367649"/>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aseline="0">
              <a:solidFill>
                <a:schemeClr val="tx1"/>
              </a:solidFill>
              <a:latin typeface="Arial" pitchFamily="34" charset="0"/>
              <a:cs typeface="Arial" pitchFamily="34" charset="0"/>
            </a:rPr>
            <a:t> </a:t>
          </a:r>
          <a:r>
            <a:rPr lang="en-US" sz="1100" baseline="0">
              <a:solidFill>
                <a:schemeClr val="tx1"/>
              </a:solidFill>
              <a:latin typeface="Arial" pitchFamily="34" charset="0"/>
              <a:cs typeface="Arial" pitchFamily="34" charset="0"/>
            </a:rPr>
            <a:t>2017</a:t>
          </a:r>
        </a:p>
        <a:p xmlns:a="http://schemas.openxmlformats.org/drawingml/2006/main">
          <a:r>
            <a:rPr lang="en-US" sz="1000" baseline="0">
              <a:solidFill>
                <a:schemeClr val="tx1"/>
              </a:solidFill>
              <a:latin typeface="Arial" pitchFamily="34" charset="0"/>
              <a:cs typeface="Arial" pitchFamily="34" charset="0"/>
            </a:rPr>
            <a:t>(linear)</a:t>
          </a:r>
        </a:p>
      </cdr:txBody>
    </cdr:sp>
  </cdr:relSizeAnchor>
  <cdr:relSizeAnchor xmlns:cdr="http://schemas.openxmlformats.org/drawingml/2006/chartDrawing">
    <cdr:from>
      <cdr:x>0.74614</cdr:x>
      <cdr:y>0.3593</cdr:y>
    </cdr:from>
    <cdr:to>
      <cdr:x>0.79168</cdr:x>
      <cdr:y>0.38916</cdr:y>
    </cdr:to>
    <cdr:cxnSp macro="">
      <cdr:nvCxnSpPr>
        <cdr:cNvPr id="8" name="Straight Arrow Connector 7"/>
        <cdr:cNvCxnSpPr/>
      </cdr:nvCxnSpPr>
      <cdr:spPr bwMode="auto">
        <a:xfrm xmlns:a="http://schemas.openxmlformats.org/drawingml/2006/main" flipH="1" flipV="1">
          <a:off x="3121229" y="1429136"/>
          <a:ext cx="190501" cy="118769"/>
        </a:xfrm>
        <a:prstGeom xmlns:a="http://schemas.openxmlformats.org/drawingml/2006/main" prst="straightConnector1">
          <a:avLst/>
        </a:prstGeom>
        <a:noFill xmlns:a="http://schemas.openxmlformats.org/drawingml/2006/main"/>
        <a:ln xmlns:a="http://schemas.openxmlformats.org/drawingml/2006/main" w="1" cap="flat" cmpd="sng" algn="ctr">
          <a:solidFill>
            <a:schemeClr val="tx1"/>
          </a:solidFill>
          <a:prstDash val="solid"/>
          <a:round/>
          <a:headEnd type="none" w="med" len="med"/>
          <a:tailEnd type="arrow"/>
        </a:ln>
        <a:effectLst xmlns:a="http://schemas.openxmlformats.org/drawingml/2006/main"/>
      </cdr:spPr>
    </cdr:cxnSp>
  </cdr:relSizeAnchor>
  <cdr:relSizeAnchor xmlns:cdr="http://schemas.openxmlformats.org/drawingml/2006/chartDrawing">
    <cdr:from>
      <cdr:x>0.24109</cdr:x>
      <cdr:y>0.71559</cdr:y>
    </cdr:from>
    <cdr:to>
      <cdr:x>0.45272</cdr:x>
      <cdr:y>0.81138</cdr:y>
    </cdr:to>
    <cdr:sp macro="" textlink="">
      <cdr:nvSpPr>
        <cdr:cNvPr id="9" name="TextBox 1"/>
        <cdr:cNvSpPr txBox="1"/>
      </cdr:nvSpPr>
      <cdr:spPr>
        <a:xfrm xmlns:a="http://schemas.openxmlformats.org/drawingml/2006/main">
          <a:off x="1008528" y="2846296"/>
          <a:ext cx="885265" cy="381000"/>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aseline="0">
              <a:solidFill>
                <a:sysClr val="windowText" lastClr="000000"/>
              </a:solidFill>
              <a:latin typeface="Arial" pitchFamily="34" charset="0"/>
              <a:cs typeface="Arial" pitchFamily="34" charset="0"/>
            </a:rPr>
            <a:t> </a:t>
          </a:r>
          <a:r>
            <a:rPr lang="en-US" sz="1100" baseline="0">
              <a:solidFill>
                <a:sysClr val="windowText" lastClr="000000"/>
              </a:solidFill>
              <a:latin typeface="Arial" pitchFamily="34" charset="0"/>
              <a:cs typeface="Arial" pitchFamily="34" charset="0"/>
            </a:rPr>
            <a:t>2017 </a:t>
          </a:r>
        </a:p>
        <a:p xmlns:a="http://schemas.openxmlformats.org/drawingml/2006/main">
          <a:pPr algn="l"/>
          <a:r>
            <a:rPr lang="en-US" sz="1000" baseline="0">
              <a:solidFill>
                <a:sysClr val="windowText" lastClr="000000"/>
              </a:solidFill>
              <a:latin typeface="Arial" pitchFamily="34" charset="0"/>
              <a:cs typeface="Arial" pitchFamily="34" charset="0"/>
            </a:rPr>
            <a:t>(polynomial)</a:t>
          </a:r>
        </a:p>
      </cdr:txBody>
    </cdr:sp>
  </cdr:relSizeAnchor>
</c:userShapes>
</file>

<file path=xl/drawings/drawing6.xml><?xml version="1.0" encoding="utf-8"?>
<c:userShapes xmlns:c="http://schemas.openxmlformats.org/drawingml/2006/chart">
  <cdr:relSizeAnchor xmlns:cdr="http://schemas.openxmlformats.org/drawingml/2006/chartDrawing">
    <cdr:from>
      <cdr:x>0.8414</cdr:x>
      <cdr:y>0.16423</cdr:y>
    </cdr:from>
    <cdr:to>
      <cdr:x>0.9795</cdr:x>
      <cdr:y>0.23764</cdr:y>
    </cdr:to>
    <cdr:sp macro="" textlink="">
      <cdr:nvSpPr>
        <cdr:cNvPr id="3" name="TextBox 2"/>
        <cdr:cNvSpPr txBox="1"/>
      </cdr:nvSpPr>
      <cdr:spPr>
        <a:xfrm xmlns:a="http://schemas.openxmlformats.org/drawingml/2006/main">
          <a:off x="3574407" y="628862"/>
          <a:ext cx="586668" cy="2810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latin typeface="Arial" pitchFamily="34" charset="0"/>
              <a:cs typeface="Arial" pitchFamily="34" charset="0"/>
            </a:rPr>
            <a:t>1993</a:t>
          </a:r>
        </a:p>
        <a:p xmlns:a="http://schemas.openxmlformats.org/drawingml/2006/main">
          <a:endParaRPr lang="en-US" sz="1100">
            <a:latin typeface="Arial" pitchFamily="34" charset="0"/>
            <a:cs typeface="Arial" pitchFamily="34" charset="0"/>
          </a:endParaRPr>
        </a:p>
      </cdr:txBody>
    </cdr:sp>
  </cdr:relSizeAnchor>
  <cdr:relSizeAnchor xmlns:cdr="http://schemas.openxmlformats.org/drawingml/2006/chartDrawing">
    <cdr:from>
      <cdr:x>0.13992</cdr:x>
      <cdr:y>0.10273</cdr:y>
    </cdr:from>
    <cdr:to>
      <cdr:x>0.29066</cdr:x>
      <cdr:y>0.16636</cdr:y>
    </cdr:to>
    <cdr:sp macro="" textlink="">
      <cdr:nvSpPr>
        <cdr:cNvPr id="4" name="TextBox 1"/>
        <cdr:cNvSpPr txBox="1"/>
      </cdr:nvSpPr>
      <cdr:spPr>
        <a:xfrm xmlns:a="http://schemas.openxmlformats.org/drawingml/2006/main">
          <a:off x="588664" y="405147"/>
          <a:ext cx="634201" cy="250951"/>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nSpc>
              <a:spcPts val="1100"/>
            </a:lnSpc>
          </a:pPr>
          <a:r>
            <a:rPr lang="en-US" sz="1100">
              <a:solidFill>
                <a:schemeClr val="tx1"/>
              </a:solidFill>
              <a:latin typeface="Arial" pitchFamily="34" charset="0"/>
              <a:cs typeface="Arial" pitchFamily="34" charset="0"/>
            </a:rPr>
            <a:t> 2017</a:t>
          </a:r>
          <a:r>
            <a:rPr lang="en-US" sz="1100" baseline="0">
              <a:solidFill>
                <a:schemeClr val="tx1"/>
              </a:solidFill>
              <a:latin typeface="Arial" pitchFamily="34" charset="0"/>
              <a:cs typeface="Arial" pitchFamily="34" charset="0"/>
            </a:rPr>
            <a:t> </a:t>
          </a:r>
          <a:r>
            <a:rPr lang="en-US" sz="1100" baseline="0">
              <a:solidFill>
                <a:srgbClr val="FF0000"/>
              </a:solidFill>
              <a:latin typeface="Arial" pitchFamily="34" charset="0"/>
              <a:cs typeface="Arial" pitchFamily="34" charset="0"/>
            </a:rPr>
            <a:t>  </a:t>
          </a:r>
        </a:p>
        <a:p xmlns:a="http://schemas.openxmlformats.org/drawingml/2006/main">
          <a:pPr>
            <a:lnSpc>
              <a:spcPts val="1100"/>
            </a:lnSpc>
          </a:pPr>
          <a:r>
            <a:rPr lang="en-US" sz="1100" baseline="0">
              <a:solidFill>
                <a:srgbClr val="FF0000"/>
              </a:solidFill>
              <a:latin typeface="Arial" pitchFamily="34" charset="0"/>
              <a:cs typeface="Arial" pitchFamily="34" charset="0"/>
            </a:rPr>
            <a:t>        </a:t>
          </a:r>
          <a:endParaRPr lang="en-US" sz="1100">
            <a:solidFill>
              <a:srgbClr val="FF0000"/>
            </a:solidFill>
            <a:latin typeface="Arial" pitchFamily="34" charset="0"/>
            <a:cs typeface="Arial" pitchFamily="34" charset="0"/>
          </a:endParaRPr>
        </a:p>
      </cdr:txBody>
    </cdr:sp>
  </cdr:relSizeAnchor>
  <cdr:relSizeAnchor xmlns:cdr="http://schemas.openxmlformats.org/drawingml/2006/chartDrawing">
    <cdr:from>
      <cdr:x>0.17461</cdr:x>
      <cdr:y>0.80688</cdr:y>
    </cdr:from>
    <cdr:to>
      <cdr:x>0.3127</cdr:x>
      <cdr:y>0.88029</cdr:y>
    </cdr:to>
    <cdr:sp macro="" textlink="">
      <cdr:nvSpPr>
        <cdr:cNvPr id="6" name="TextBox 1"/>
        <cdr:cNvSpPr txBox="1"/>
      </cdr:nvSpPr>
      <cdr:spPr>
        <a:xfrm xmlns:a="http://schemas.openxmlformats.org/drawingml/2006/main">
          <a:off x="734613" y="3182275"/>
          <a:ext cx="580979" cy="2895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50">
              <a:solidFill>
                <a:schemeClr val="tx1"/>
              </a:solidFill>
              <a:latin typeface="Arial" pitchFamily="34" charset="0"/>
              <a:cs typeface="Arial" pitchFamily="34" charset="0"/>
            </a:rPr>
            <a:t>2015</a:t>
          </a:r>
        </a:p>
        <a:p xmlns:a="http://schemas.openxmlformats.org/drawingml/2006/main">
          <a:endParaRPr lang="en-US" sz="1050">
            <a:solidFill>
              <a:srgbClr val="0070C0"/>
            </a:solidFill>
            <a:latin typeface="Arial" pitchFamily="34" charset="0"/>
            <a:cs typeface="Arial" pitchFamily="34" charset="0"/>
          </a:endParaRPr>
        </a:p>
      </cdr:txBody>
    </cdr:sp>
  </cdr:relSizeAnchor>
  <cdr:relSizeAnchor xmlns:cdr="http://schemas.openxmlformats.org/drawingml/2006/chartDrawing">
    <cdr:from>
      <cdr:x>0.28375</cdr:x>
      <cdr:y>0.7914</cdr:y>
    </cdr:from>
    <cdr:to>
      <cdr:x>0.42184</cdr:x>
      <cdr:y>0.86481</cdr:y>
    </cdr:to>
    <cdr:sp macro="" textlink="">
      <cdr:nvSpPr>
        <cdr:cNvPr id="5" name="TextBox 1"/>
        <cdr:cNvSpPr txBox="1"/>
      </cdr:nvSpPr>
      <cdr:spPr>
        <a:xfrm xmlns:a="http://schemas.openxmlformats.org/drawingml/2006/main">
          <a:off x="1193801" y="3121211"/>
          <a:ext cx="580979" cy="2895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50">
              <a:solidFill>
                <a:schemeClr val="tx1"/>
              </a:solidFill>
              <a:latin typeface="Arial" pitchFamily="34" charset="0"/>
              <a:cs typeface="Arial" pitchFamily="34" charset="0"/>
            </a:rPr>
            <a:t>2016</a:t>
          </a:r>
        </a:p>
        <a:p xmlns:a="http://schemas.openxmlformats.org/drawingml/2006/main">
          <a:endParaRPr lang="en-US" sz="1050">
            <a:solidFill>
              <a:srgbClr val="0070C0"/>
            </a:solidFill>
            <a:latin typeface="Arial" pitchFamily="34" charset="0"/>
            <a:cs typeface="Arial" pitchFamily="34" charset="0"/>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29</xdr:col>
      <xdr:colOff>247650</xdr:colOff>
      <xdr:row>5</xdr:row>
      <xdr:rowOff>142875</xdr:rowOff>
    </xdr:from>
    <xdr:to>
      <xdr:col>39</xdr:col>
      <xdr:colOff>47626</xdr:colOff>
      <xdr:row>24</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523875</xdr:colOff>
      <xdr:row>4</xdr:row>
      <xdr:rowOff>171450</xdr:rowOff>
    </xdr:from>
    <xdr:to>
      <xdr:col>47</xdr:col>
      <xdr:colOff>466725</xdr:colOff>
      <xdr:row>28</xdr:row>
      <xdr:rowOff>133350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31</xdr:row>
      <xdr:rowOff>123824</xdr:rowOff>
    </xdr:from>
    <xdr:to>
      <xdr:col>40</xdr:col>
      <xdr:colOff>276225</xdr:colOff>
      <xdr:row>53</xdr:row>
      <xdr:rowOff>47624</xdr:rowOff>
    </xdr:to>
    <xdr:graphicFrame macro="">
      <xdr:nvGraphicFramePr>
        <xdr:cNvPr id="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0</xdr:colOff>
      <xdr:row>32</xdr:row>
      <xdr:rowOff>0</xdr:rowOff>
    </xdr:from>
    <xdr:to>
      <xdr:col>52</xdr:col>
      <xdr:colOff>276225</xdr:colOff>
      <xdr:row>53</xdr:row>
      <xdr:rowOff>114300</xdr:rowOff>
    </xdr:to>
    <xdr:graphicFrame macro="">
      <xdr:nvGraphicFramePr>
        <xdr:cNvPr id="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60</xdr:col>
      <xdr:colOff>209550</xdr:colOff>
      <xdr:row>23</xdr:row>
      <xdr:rowOff>38101</xdr:rowOff>
    </xdr:from>
    <xdr:to>
      <xdr:col>70</xdr:col>
      <xdr:colOff>485775</xdr:colOff>
      <xdr:row>46</xdr:row>
      <xdr:rowOff>1</xdr:rowOff>
    </xdr:to>
    <xdr:graphicFrame macro="">
      <xdr:nvGraphicFramePr>
        <xdr:cNvPr id="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72</xdr:col>
      <xdr:colOff>0</xdr:colOff>
      <xdr:row>26</xdr:row>
      <xdr:rowOff>0</xdr:rowOff>
    </xdr:from>
    <xdr:to>
      <xdr:col>82</xdr:col>
      <xdr:colOff>276225</xdr:colOff>
      <xdr:row>46</xdr:row>
      <xdr:rowOff>104775</xdr:rowOff>
    </xdr:to>
    <xdr:graphicFrame macro="">
      <xdr:nvGraphicFramePr>
        <xdr:cNvPr id="10"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60</xdr:col>
      <xdr:colOff>0</xdr:colOff>
      <xdr:row>47</xdr:row>
      <xdr:rowOff>0</xdr:rowOff>
    </xdr:from>
    <xdr:to>
      <xdr:col>70</xdr:col>
      <xdr:colOff>276225</xdr:colOff>
      <xdr:row>74</xdr:row>
      <xdr:rowOff>28575</xdr:rowOff>
    </xdr:to>
    <xdr:graphicFrame macro="">
      <xdr:nvGraphicFramePr>
        <xdr:cNvPr id="1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71</xdr:col>
      <xdr:colOff>0</xdr:colOff>
      <xdr:row>47</xdr:row>
      <xdr:rowOff>0</xdr:rowOff>
    </xdr:from>
    <xdr:to>
      <xdr:col>81</xdr:col>
      <xdr:colOff>276225</xdr:colOff>
      <xdr:row>74</xdr:row>
      <xdr:rowOff>28575</xdr:rowOff>
    </xdr:to>
    <xdr:graphicFrame macro="">
      <xdr:nvGraphicFramePr>
        <xdr:cNvPr id="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72</xdr:col>
      <xdr:colOff>9524</xdr:colOff>
      <xdr:row>0</xdr:row>
      <xdr:rowOff>1</xdr:rowOff>
    </xdr:from>
    <xdr:to>
      <xdr:col>81</xdr:col>
      <xdr:colOff>552449</xdr:colOff>
      <xdr:row>23</xdr:row>
      <xdr:rowOff>152401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0</xdr:colOff>
      <xdr:row>63</xdr:row>
      <xdr:rowOff>0</xdr:rowOff>
    </xdr:from>
    <xdr:to>
      <xdr:col>40</xdr:col>
      <xdr:colOff>276225</xdr:colOff>
      <xdr:row>87</xdr:row>
      <xdr:rowOff>85725</xdr:rowOff>
    </xdr:to>
    <xdr:graphicFrame macro="">
      <xdr:nvGraphicFramePr>
        <xdr:cNvPr id="1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9525</xdr:colOff>
      <xdr:row>63</xdr:row>
      <xdr:rowOff>57150</xdr:rowOff>
    </xdr:from>
    <xdr:to>
      <xdr:col>15</xdr:col>
      <xdr:colOff>581025</xdr:colOff>
      <xdr:row>83</xdr:row>
      <xdr:rowOff>114299</xdr:rowOff>
    </xdr:to>
    <xdr:graphicFrame macro="">
      <xdr:nvGraphicFramePr>
        <xdr:cNvPr id="15"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84</xdr:row>
      <xdr:rowOff>0</xdr:rowOff>
    </xdr:from>
    <xdr:to>
      <xdr:col>15</xdr:col>
      <xdr:colOff>571500</xdr:colOff>
      <xdr:row>107</xdr:row>
      <xdr:rowOff>114299</xdr:rowOff>
    </xdr:to>
    <xdr:graphicFrame macro="">
      <xdr:nvGraphicFramePr>
        <xdr:cNvPr id="1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457200</xdr:colOff>
      <xdr:row>131</xdr:row>
      <xdr:rowOff>133350</xdr:rowOff>
    </xdr:from>
    <xdr:to>
      <xdr:col>12</xdr:col>
      <xdr:colOff>438150</xdr:colOff>
      <xdr:row>153</xdr:row>
      <xdr:rowOff>66675</xdr:rowOff>
    </xdr:to>
    <xdr:graphicFrame macro="">
      <xdr:nvGraphicFramePr>
        <xdr:cNvPr id="1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9526</xdr:colOff>
      <xdr:row>153</xdr:row>
      <xdr:rowOff>76200</xdr:rowOff>
    </xdr:from>
    <xdr:to>
      <xdr:col>12</xdr:col>
      <xdr:colOff>447675</xdr:colOff>
      <xdr:row>177</xdr:row>
      <xdr:rowOff>57150</xdr:rowOff>
    </xdr:to>
    <xdr:graphicFrame macro="">
      <xdr:nvGraphicFramePr>
        <xdr:cNvPr id="21"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809624</xdr:colOff>
      <xdr:row>178</xdr:row>
      <xdr:rowOff>9525</xdr:rowOff>
    </xdr:from>
    <xdr:to>
      <xdr:col>12</xdr:col>
      <xdr:colOff>466724</xdr:colOff>
      <xdr:row>202</xdr:row>
      <xdr:rowOff>123825</xdr:rowOff>
    </xdr:to>
    <xdr:graphicFrame macro="">
      <xdr:nvGraphicFramePr>
        <xdr:cNvPr id="25"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0</xdr:colOff>
      <xdr:row>89</xdr:row>
      <xdr:rowOff>0</xdr:rowOff>
    </xdr:from>
    <xdr:to>
      <xdr:col>40</xdr:col>
      <xdr:colOff>304800</xdr:colOff>
      <xdr:row>118</xdr:row>
      <xdr:rowOff>95250</xdr:rowOff>
    </xdr:to>
    <xdr:graphicFrame macro="">
      <xdr:nvGraphicFramePr>
        <xdr:cNvPr id="2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41</xdr:col>
      <xdr:colOff>0</xdr:colOff>
      <xdr:row>89</xdr:row>
      <xdr:rowOff>0</xdr:rowOff>
    </xdr:from>
    <xdr:to>
      <xdr:col>51</xdr:col>
      <xdr:colOff>304800</xdr:colOff>
      <xdr:row>118</xdr:row>
      <xdr:rowOff>95250</xdr:rowOff>
    </xdr:to>
    <xdr:graphicFrame macro="">
      <xdr:nvGraphicFramePr>
        <xdr:cNvPr id="29"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40</xdr:col>
      <xdr:colOff>600075</xdr:colOff>
      <xdr:row>63</xdr:row>
      <xdr:rowOff>0</xdr:rowOff>
    </xdr:from>
    <xdr:to>
      <xdr:col>51</xdr:col>
      <xdr:colOff>295275</xdr:colOff>
      <xdr:row>88</xdr:row>
      <xdr:rowOff>114300</xdr:rowOff>
    </xdr:to>
    <xdr:graphicFrame macro="">
      <xdr:nvGraphicFramePr>
        <xdr:cNvPr id="3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46</xdr:col>
      <xdr:colOff>485774</xdr:colOff>
      <xdr:row>95</xdr:row>
      <xdr:rowOff>133350</xdr:rowOff>
    </xdr:from>
    <xdr:to>
      <xdr:col>48</xdr:col>
      <xdr:colOff>533400</xdr:colOff>
      <xdr:row>113</xdr:row>
      <xdr:rowOff>85723</xdr:rowOff>
    </xdr:to>
    <xdr:sp macro="" textlink="">
      <xdr:nvSpPr>
        <xdr:cNvPr id="2" name="Rectangle 1"/>
        <xdr:cNvSpPr/>
      </xdr:nvSpPr>
      <xdr:spPr bwMode="auto">
        <a:xfrm>
          <a:off x="31022924" y="17964150"/>
          <a:ext cx="1266826" cy="2867023"/>
        </a:xfrm>
        <a:prstGeom prst="rect">
          <a:avLst/>
        </a:prstGeom>
        <a:solidFill>
          <a:srgbClr val="CCFFFF">
            <a:alpha val="30000"/>
          </a:srgbClr>
        </a:solidFill>
        <a:ln w="1" cap="flat" cmpd="sng" algn="ctr">
          <a:solidFill>
            <a:schemeClr val="tx2">
              <a:lumMod val="40000"/>
              <a:lumOff val="60000"/>
            </a:schemeClr>
          </a:solidFill>
          <a:prstDash val="solid"/>
          <a:round/>
          <a:headEnd type="none" w="med" len="med"/>
          <a:tailEnd type="none" w="med" len="med"/>
        </a:ln>
        <a:effectLst/>
      </xdr:spPr>
      <xdr:txBody>
        <a:bodyPr vertOverflow="clip" horzOverflow="clip" wrap="square" lIns="18288" tIns="0" rIns="0" bIns="0" rtlCol="0" anchor="t" upright="1">
          <a:spAutoFit/>
        </a:bodyPr>
        <a:lstStyle/>
        <a:p>
          <a:pPr algn="l"/>
          <a:endParaRPr lang="en-US" sz="1100"/>
        </a:p>
      </xdr:txBody>
    </xdr:sp>
    <xdr:clientData/>
  </xdr:twoCellAnchor>
  <xdr:twoCellAnchor>
    <xdr:from>
      <xdr:col>54</xdr:col>
      <xdr:colOff>19049</xdr:colOff>
      <xdr:row>81</xdr:row>
      <xdr:rowOff>9525</xdr:rowOff>
    </xdr:from>
    <xdr:to>
      <xdr:col>66</xdr:col>
      <xdr:colOff>552450</xdr:colOff>
      <xdr:row>110</xdr:row>
      <xdr:rowOff>19050</xdr:rowOff>
    </xdr:to>
    <xdr:graphicFrame macro="">
      <xdr:nvGraphicFramePr>
        <xdr:cNvPr id="3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53</xdr:col>
      <xdr:colOff>609599</xdr:colOff>
      <xdr:row>108</xdr:row>
      <xdr:rowOff>19050</xdr:rowOff>
    </xdr:from>
    <xdr:to>
      <xdr:col>66</xdr:col>
      <xdr:colOff>542925</xdr:colOff>
      <xdr:row>135</xdr:row>
      <xdr:rowOff>133348</xdr:rowOff>
    </xdr:to>
    <xdr:graphicFrame macro="">
      <xdr:nvGraphicFramePr>
        <xdr:cNvPr id="39"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0.77135</cdr:x>
      <cdr:y>0.5876</cdr:y>
    </cdr:from>
    <cdr:to>
      <cdr:x>0.77135</cdr:x>
      <cdr:y>0.66399</cdr:y>
    </cdr:to>
    <cdr:cxnSp macro="">
      <cdr:nvCxnSpPr>
        <cdr:cNvPr id="2" name="Straight Arrow Connector 1"/>
        <cdr:cNvCxnSpPr/>
      </cdr:nvCxnSpPr>
      <cdr:spPr>
        <a:xfrm xmlns:a="http://schemas.openxmlformats.org/drawingml/2006/main" flipV="1">
          <a:off x="4547890" y="2154820"/>
          <a:ext cx="0" cy="280132"/>
        </a:xfrm>
        <a:prstGeom xmlns:a="http://schemas.openxmlformats.org/drawingml/2006/main" prst="straightConnector1">
          <a:avLst/>
        </a:prstGeom>
        <a:ln xmlns:a="http://schemas.openxmlformats.org/drawingml/2006/main" w="22225">
          <a:solidFill>
            <a:schemeClr val="tx1"/>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0.57835</cdr:x>
      <cdr:y>0.66119</cdr:y>
    </cdr:from>
    <cdr:to>
      <cdr:x>0.96439</cdr:x>
      <cdr:y>0.77143</cdr:y>
    </cdr:to>
    <cdr:sp macro="" textlink="">
      <cdr:nvSpPr>
        <cdr:cNvPr id="3" name="TextBox 2"/>
        <cdr:cNvSpPr txBox="1"/>
      </cdr:nvSpPr>
      <cdr:spPr>
        <a:xfrm xmlns:a="http://schemas.openxmlformats.org/drawingml/2006/main">
          <a:off x="3409934" y="2424676"/>
          <a:ext cx="2276083" cy="40426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200" b="0">
              <a:latin typeface="Arial" panose="020B0604020202020204" pitchFamily="34" charset="0"/>
              <a:cs typeface="Arial" panose="020B0604020202020204" pitchFamily="34" charset="0"/>
            </a:rPr>
            <a:t>Construction of Shoreline Trail and Floating Walkway (2008)</a:t>
          </a:r>
        </a:p>
        <a:p xmlns:a="http://schemas.openxmlformats.org/drawingml/2006/main">
          <a:pPr algn="ctr"/>
          <a:endParaRPr lang="en-US" sz="1200" b="0">
            <a:latin typeface="Arial" panose="020B0604020202020204" pitchFamily="34" charset="0"/>
            <a:cs typeface="Arial" panose="020B0604020202020204" pitchFamily="34" charset="0"/>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0.7971</cdr:x>
      <cdr:y>0.59799</cdr:y>
    </cdr:from>
    <cdr:to>
      <cdr:x>0.7971</cdr:x>
      <cdr:y>0.67438</cdr:y>
    </cdr:to>
    <cdr:cxnSp macro="">
      <cdr:nvCxnSpPr>
        <cdr:cNvPr id="2" name="Straight Arrow Connector 1"/>
        <cdr:cNvCxnSpPr/>
      </cdr:nvCxnSpPr>
      <cdr:spPr>
        <a:xfrm xmlns:a="http://schemas.openxmlformats.org/drawingml/2006/main" flipV="1">
          <a:off x="3841750" y="2460625"/>
          <a:ext cx="1" cy="314322"/>
        </a:xfrm>
        <a:prstGeom xmlns:a="http://schemas.openxmlformats.org/drawingml/2006/main" prst="straightConnector1">
          <a:avLst/>
        </a:prstGeom>
        <a:ln xmlns:a="http://schemas.openxmlformats.org/drawingml/2006/main" w="22225">
          <a:solidFill>
            <a:schemeClr val="tx1"/>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0.57708</cdr:x>
      <cdr:y>0.67626</cdr:y>
    </cdr:from>
    <cdr:to>
      <cdr:x>0.98287</cdr:x>
      <cdr:y>0.79123</cdr:y>
    </cdr:to>
    <cdr:sp macro="" textlink="">
      <cdr:nvSpPr>
        <cdr:cNvPr id="3" name="TextBox 2"/>
        <cdr:cNvSpPr txBox="1"/>
      </cdr:nvSpPr>
      <cdr:spPr>
        <a:xfrm xmlns:a="http://schemas.openxmlformats.org/drawingml/2006/main">
          <a:off x="2781322" y="3072550"/>
          <a:ext cx="1955766" cy="52235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100" b="1"/>
            <a:t>Construction of Shoreline Trail and Floating Walkway (2008)</a:t>
          </a:r>
        </a:p>
        <a:p xmlns:a="http://schemas.openxmlformats.org/drawingml/2006/main">
          <a:pPr algn="ctr"/>
          <a:endParaRPr lang="en-US" sz="1100" b="1"/>
        </a:p>
      </cdr:txBody>
    </cdr:sp>
  </cdr:relSizeAnchor>
</c:userShapes>
</file>

<file path=xl/drawings/drawing10.xml><?xml version="1.0" encoding="utf-8"?>
<c:userShapes xmlns:c="http://schemas.openxmlformats.org/drawingml/2006/chart">
  <cdr:relSizeAnchor xmlns:cdr="http://schemas.openxmlformats.org/drawingml/2006/chartDrawing">
    <cdr:from>
      <cdr:x>0.77656</cdr:x>
      <cdr:y>0.60011</cdr:y>
    </cdr:from>
    <cdr:to>
      <cdr:x>0.77656</cdr:x>
      <cdr:y>0.6765</cdr:y>
    </cdr:to>
    <cdr:cxnSp macro="">
      <cdr:nvCxnSpPr>
        <cdr:cNvPr id="2" name="Straight Arrow Connector 1"/>
        <cdr:cNvCxnSpPr/>
      </cdr:nvCxnSpPr>
      <cdr:spPr>
        <a:xfrm xmlns:a="http://schemas.openxmlformats.org/drawingml/2006/main" flipV="1">
          <a:off x="4682150" y="2697968"/>
          <a:ext cx="0" cy="343435"/>
        </a:xfrm>
        <a:prstGeom xmlns:a="http://schemas.openxmlformats.org/drawingml/2006/main" prst="straightConnector1">
          <a:avLst/>
        </a:prstGeom>
        <a:ln xmlns:a="http://schemas.openxmlformats.org/drawingml/2006/main" w="22225">
          <a:solidFill>
            <a:schemeClr val="tx1"/>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0.57708</cdr:x>
      <cdr:y>0.67626</cdr:y>
    </cdr:from>
    <cdr:to>
      <cdr:x>0.98287</cdr:x>
      <cdr:y>0.79123</cdr:y>
    </cdr:to>
    <cdr:sp macro="" textlink="">
      <cdr:nvSpPr>
        <cdr:cNvPr id="3" name="TextBox 2"/>
        <cdr:cNvSpPr txBox="1"/>
      </cdr:nvSpPr>
      <cdr:spPr>
        <a:xfrm xmlns:a="http://schemas.openxmlformats.org/drawingml/2006/main">
          <a:off x="2781322" y="3072550"/>
          <a:ext cx="1955766" cy="52235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100" b="1"/>
            <a:t>Construction of Shoreline Trail and Floating Walkway (2008)</a:t>
          </a:r>
        </a:p>
        <a:p xmlns:a="http://schemas.openxmlformats.org/drawingml/2006/main">
          <a:pPr algn="ctr"/>
          <a:endParaRPr lang="en-US" sz="1100" b="1"/>
        </a:p>
      </cdr:txBody>
    </cdr:sp>
  </cdr:relSizeAnchor>
</c:userShapes>
</file>

<file path=xl/drawings/drawing11.xml><?xml version="1.0" encoding="utf-8"?>
<c:userShapes xmlns:c="http://schemas.openxmlformats.org/drawingml/2006/chart">
  <cdr:relSizeAnchor xmlns:cdr="http://schemas.openxmlformats.org/drawingml/2006/chartDrawing">
    <cdr:from>
      <cdr:x>0.5</cdr:x>
      <cdr:y>0.13917</cdr:y>
    </cdr:from>
    <cdr:to>
      <cdr:x>0.79762</cdr:x>
      <cdr:y>0.23459</cdr:y>
    </cdr:to>
    <cdr:sp macro="" textlink="">
      <cdr:nvSpPr>
        <cdr:cNvPr id="2" name="TextBox 1"/>
        <cdr:cNvSpPr txBox="1"/>
      </cdr:nvSpPr>
      <cdr:spPr>
        <a:xfrm xmlns:a="http://schemas.openxmlformats.org/drawingml/2006/main">
          <a:off x="3200401" y="666750"/>
          <a:ext cx="1905000" cy="457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200" b="1"/>
            <a:t>Cold Period </a:t>
          </a:r>
        </a:p>
        <a:p xmlns:a="http://schemas.openxmlformats.org/drawingml/2006/main">
          <a:pPr algn="ctr"/>
          <a:r>
            <a:rPr lang="en-US" sz="1100"/>
            <a:t>(negative PDO index)</a:t>
          </a:r>
        </a:p>
      </cdr:txBody>
    </cdr:sp>
  </cdr:relSizeAnchor>
</c:userShapes>
</file>

<file path=xl/drawings/drawing12.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0.23879</cdr:x>
      <cdr:y>0.29087</cdr:y>
    </cdr:from>
    <cdr:to>
      <cdr:x>0.45498</cdr:x>
      <cdr:y>0.43737</cdr:y>
    </cdr:to>
    <cdr:sp macro="" textlink="">
      <cdr:nvSpPr>
        <cdr:cNvPr id="2" name="TextBox 1"/>
        <cdr:cNvSpPr txBox="1"/>
      </cdr:nvSpPr>
      <cdr:spPr>
        <a:xfrm xmlns:a="http://schemas.openxmlformats.org/drawingml/2006/main">
          <a:off x="1876426" y="1304924"/>
          <a:ext cx="1698847" cy="657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200">
              <a:latin typeface="Arial" panose="020B0604020202020204" pitchFamily="34" charset="0"/>
              <a:cs typeface="Arial" panose="020B0604020202020204" pitchFamily="34" charset="0"/>
            </a:rPr>
            <a:t>1990-2014</a:t>
          </a:r>
        </a:p>
        <a:p xmlns:a="http://schemas.openxmlformats.org/drawingml/2006/main">
          <a:pPr algn="ctr"/>
          <a:r>
            <a:rPr lang="en-US" sz="1200">
              <a:latin typeface="Arial" panose="020B0604020202020204" pitchFamily="34" charset="0"/>
              <a:cs typeface="Arial" panose="020B0604020202020204" pitchFamily="34" charset="0"/>
            </a:rPr>
            <a:t>Average Return:</a:t>
          </a:r>
        </a:p>
        <a:p xmlns:a="http://schemas.openxmlformats.org/drawingml/2006/main">
          <a:pPr algn="ctr"/>
          <a:r>
            <a:rPr lang="en-US" sz="1200">
              <a:latin typeface="Arial" panose="020B0604020202020204" pitchFamily="34" charset="0"/>
              <a:cs typeface="Arial" panose="020B0604020202020204" pitchFamily="34" charset="0"/>
            </a:rPr>
            <a:t> 38.2 thousand</a:t>
          </a:r>
        </a:p>
      </cdr:txBody>
    </cdr:sp>
  </cdr:relSizeAnchor>
  <cdr:relSizeAnchor xmlns:cdr="http://schemas.openxmlformats.org/drawingml/2006/chartDrawing">
    <cdr:from>
      <cdr:x>0.80848</cdr:x>
      <cdr:y>0.51906</cdr:y>
    </cdr:from>
    <cdr:to>
      <cdr:x>0.9903</cdr:x>
      <cdr:y>0.6518</cdr:y>
    </cdr:to>
    <cdr:sp macro="" textlink="">
      <cdr:nvSpPr>
        <cdr:cNvPr id="8" name="TextBox 1"/>
        <cdr:cNvSpPr txBox="1"/>
      </cdr:nvSpPr>
      <cdr:spPr>
        <a:xfrm xmlns:a="http://schemas.openxmlformats.org/drawingml/2006/main">
          <a:off x="6353176" y="2328659"/>
          <a:ext cx="1428750" cy="5955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2005-2018</a:t>
          </a:r>
        </a:p>
        <a:p xmlns:a="http://schemas.openxmlformats.org/drawingml/2006/main">
          <a:pPr algn="ctr"/>
          <a:r>
            <a:rPr lang="en-US" sz="1200">
              <a:latin typeface="Arial" panose="020B0604020202020204" pitchFamily="34" charset="0"/>
              <a:cs typeface="Arial" panose="020B0604020202020204" pitchFamily="34" charset="0"/>
            </a:rPr>
            <a:t>Average Return:</a:t>
          </a:r>
        </a:p>
        <a:p xmlns:a="http://schemas.openxmlformats.org/drawingml/2006/main">
          <a:pPr algn="ctr"/>
          <a:r>
            <a:rPr lang="en-US" sz="1200">
              <a:latin typeface="Arial" panose="020B0604020202020204" pitchFamily="34" charset="0"/>
              <a:cs typeface="Arial" panose="020B0604020202020204" pitchFamily="34" charset="0"/>
            </a:rPr>
            <a:t> 15.8 thousand</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49</xdr:row>
      <xdr:rowOff>47625</xdr:rowOff>
    </xdr:from>
    <xdr:to>
      <xdr:col>9</xdr:col>
      <xdr:colOff>342900</xdr:colOff>
      <xdr:row>56</xdr:row>
      <xdr:rowOff>104775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xdr:row>
      <xdr:rowOff>104775</xdr:rowOff>
    </xdr:from>
    <xdr:to>
      <xdr:col>9</xdr:col>
      <xdr:colOff>342900</xdr:colOff>
      <xdr:row>66</xdr:row>
      <xdr:rowOff>28575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68</xdr:row>
      <xdr:rowOff>142875</xdr:rowOff>
    </xdr:from>
    <xdr:to>
      <xdr:col>9</xdr:col>
      <xdr:colOff>361950</xdr:colOff>
      <xdr:row>78</xdr:row>
      <xdr:rowOff>66675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82</xdr:row>
      <xdr:rowOff>142875</xdr:rowOff>
    </xdr:from>
    <xdr:to>
      <xdr:col>9</xdr:col>
      <xdr:colOff>381000</xdr:colOff>
      <xdr:row>95</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62</xdr:row>
      <xdr:rowOff>152400</xdr:rowOff>
    </xdr:from>
    <xdr:to>
      <xdr:col>9</xdr:col>
      <xdr:colOff>361950</xdr:colOff>
      <xdr:row>69</xdr:row>
      <xdr:rowOff>104775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75</xdr:row>
      <xdr:rowOff>28575</xdr:rowOff>
    </xdr:from>
    <xdr:to>
      <xdr:col>9</xdr:col>
      <xdr:colOff>342900</xdr:colOff>
      <xdr:row>83</xdr:row>
      <xdr:rowOff>133350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9525</xdr:colOff>
      <xdr:row>49</xdr:row>
      <xdr:rowOff>104775</xdr:rowOff>
    </xdr:from>
    <xdr:to>
      <xdr:col>9</xdr:col>
      <xdr:colOff>590550</xdr:colOff>
      <xdr:row>64</xdr:row>
      <xdr:rowOff>85725</xdr:rowOff>
    </xdr:to>
    <xdr:graphicFrame macro="">
      <xdr:nvGraphicFramePr>
        <xdr:cNvPr id="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63</xdr:row>
      <xdr:rowOff>66675</xdr:rowOff>
    </xdr:from>
    <xdr:to>
      <xdr:col>9</xdr:col>
      <xdr:colOff>590550</xdr:colOff>
      <xdr:row>84</xdr:row>
      <xdr:rowOff>142875</xdr:rowOff>
    </xdr:to>
    <xdr:graphicFrame macro="">
      <xdr:nvGraphicFramePr>
        <xdr:cNvPr id="3"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91</xdr:row>
      <xdr:rowOff>152400</xdr:rowOff>
    </xdr:from>
    <xdr:to>
      <xdr:col>10</xdr:col>
      <xdr:colOff>419100</xdr:colOff>
      <xdr:row>106</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105</xdr:row>
      <xdr:rowOff>66676</xdr:rowOff>
    </xdr:from>
    <xdr:to>
      <xdr:col>10</xdr:col>
      <xdr:colOff>419100</xdr:colOff>
      <xdr:row>126</xdr:row>
      <xdr:rowOff>85725</xdr:rowOff>
    </xdr:to>
    <xdr:graphicFrame macro="">
      <xdr:nvGraphicFramePr>
        <xdr:cNvPr id="5"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9525</xdr:colOff>
      <xdr:row>57</xdr:row>
      <xdr:rowOff>76200</xdr:rowOff>
    </xdr:from>
    <xdr:to>
      <xdr:col>11</xdr:col>
      <xdr:colOff>19050</xdr:colOff>
      <xdr:row>68</xdr:row>
      <xdr:rowOff>85725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67</xdr:row>
      <xdr:rowOff>152400</xdr:rowOff>
    </xdr:from>
    <xdr:to>
      <xdr:col>11</xdr:col>
      <xdr:colOff>0</xdr:colOff>
      <xdr:row>78</xdr:row>
      <xdr:rowOff>47625</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78</xdr:row>
      <xdr:rowOff>19050</xdr:rowOff>
    </xdr:from>
    <xdr:to>
      <xdr:col>10</xdr:col>
      <xdr:colOff>590550</xdr:colOff>
      <xdr:row>91</xdr:row>
      <xdr:rowOff>152400</xdr:rowOff>
    </xdr:to>
    <xdr:graphicFrame macro="">
      <xdr:nvGraphicFramePr>
        <xdr:cNvPr id="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absoluteAnchor>
    <xdr:pos x="10382250" y="7848599"/>
    <xdr:ext cx="8686800" cy="5925253"/>
    <xdr:graphicFrame macro="">
      <xdr:nvGraphicFramePr>
        <xdr:cNvPr id="3" name="Chart 2"/>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19526250" y="7800975"/>
    <xdr:ext cx="8686800" cy="5925253"/>
    <xdr:graphicFrame macro="">
      <xdr:nvGraphicFramePr>
        <xdr:cNvPr id="4" name="Chart 3"/>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twoCellAnchor>
    <xdr:from>
      <xdr:col>36</xdr:col>
      <xdr:colOff>409575</xdr:colOff>
      <xdr:row>80</xdr:row>
      <xdr:rowOff>47625</xdr:rowOff>
    </xdr:from>
    <xdr:to>
      <xdr:col>44</xdr:col>
      <xdr:colOff>104775</xdr:colOff>
      <xdr:row>95</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0</xdr:colOff>
      <xdr:row>80</xdr:row>
      <xdr:rowOff>0</xdr:rowOff>
    </xdr:from>
    <xdr:to>
      <xdr:col>52</xdr:col>
      <xdr:colOff>304800</xdr:colOff>
      <xdr:row>95</xdr:row>
      <xdr:rowOff>9525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absoluteAnchor>
    <xdr:pos x="28670250" y="7800975"/>
    <xdr:ext cx="8686800" cy="5925253"/>
    <xdr:graphicFrame macro="">
      <xdr:nvGraphicFramePr>
        <xdr:cNvPr id="8" name="Chart 7"/>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absoluteAnchor>
  <xdr:absoluteAnchor>
    <xdr:pos x="37814250" y="7800975"/>
    <xdr:ext cx="8686800" cy="5925253"/>
    <xdr:graphicFrame macro="">
      <xdr:nvGraphicFramePr>
        <xdr:cNvPr id="9" name="Chart 8"/>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absoluteAnchor>
  <xdr:twoCellAnchor>
    <xdr:from>
      <xdr:col>53</xdr:col>
      <xdr:colOff>0</xdr:colOff>
      <xdr:row>81</xdr:row>
      <xdr:rowOff>0</xdr:rowOff>
    </xdr:from>
    <xdr:to>
      <xdr:col>60</xdr:col>
      <xdr:colOff>304800</xdr:colOff>
      <xdr:row>96</xdr:row>
      <xdr:rowOff>28575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161925</xdr:colOff>
      <xdr:row>144</xdr:row>
      <xdr:rowOff>152399</xdr:rowOff>
    </xdr:from>
    <xdr:to>
      <xdr:col>23</xdr:col>
      <xdr:colOff>390525</xdr:colOff>
      <xdr:row>164</xdr:row>
      <xdr:rowOff>47624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35</xdr:col>
      <xdr:colOff>190500</xdr:colOff>
      <xdr:row>5</xdr:row>
      <xdr:rowOff>123825</xdr:rowOff>
    </xdr:from>
    <xdr:to>
      <xdr:col>45</xdr:col>
      <xdr:colOff>457200</xdr:colOff>
      <xdr:row>33</xdr:row>
      <xdr:rowOff>152400</xdr:rowOff>
    </xdr:to>
    <xdr:pic>
      <xdr:nvPicPr>
        <xdr:cNvPr id="13" name="Picture 13"/>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9716750" y="962025"/>
          <a:ext cx="6362700" cy="456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absoluteAnchor>
    <xdr:pos x="25622250" y="838200"/>
    <xdr:ext cx="8674782" cy="6296728"/>
    <xdr:graphicFrame macro="">
      <xdr:nvGraphicFramePr>
        <xdr:cNvPr id="15" name="Chart 14"/>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absoluteAnchor>
  <xdr:twoCellAnchor>
    <xdr:from>
      <xdr:col>18</xdr:col>
      <xdr:colOff>419100</xdr:colOff>
      <xdr:row>175</xdr:row>
      <xdr:rowOff>85725</xdr:rowOff>
    </xdr:from>
    <xdr:to>
      <xdr:col>26</xdr:col>
      <xdr:colOff>114300</xdr:colOff>
      <xdr:row>192</xdr:row>
      <xdr:rowOff>104775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absoluteAnchor>
    <xdr:pos x="34766250" y="838200"/>
    <xdr:ext cx="8674782" cy="6296728"/>
    <xdr:graphicFrame macro="">
      <xdr:nvGraphicFramePr>
        <xdr:cNvPr id="16" name="Chart 15"/>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absoluteAnchor>
  <xdr:absoluteAnchor>
    <xdr:pos x="46958250" y="7800975"/>
    <xdr:ext cx="8686800" cy="5925253"/>
    <xdr:graphicFrame macro="">
      <xdr:nvGraphicFramePr>
        <xdr:cNvPr id="19" name="Chart 18"/>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absoluteAnchor>
  <xdr:absoluteAnchor>
    <xdr:pos x="14649450" y="0"/>
    <xdr:ext cx="8674782" cy="6296728"/>
    <xdr:graphicFrame macro="">
      <xdr:nvGraphicFramePr>
        <xdr:cNvPr id="17" name="Chart 16"/>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absoluteAnchor>
  <xdr:absoluteAnchor>
    <xdr:pos x="14658975" y="2771775"/>
    <xdr:ext cx="8674782" cy="6296728"/>
    <xdr:graphicFrame macro="">
      <xdr:nvGraphicFramePr>
        <xdr:cNvPr id="20" name="Chart 19"/>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absoluteAnchor>
  <xdr:absoluteAnchor>
    <xdr:pos x="46996350" y="13992225"/>
    <xdr:ext cx="9067800" cy="5877628"/>
    <xdr:graphicFrame macro="">
      <xdr:nvGraphicFramePr>
        <xdr:cNvPr id="21" name="Chart 20"/>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absoluteAnchor>
  <xdr:twoCellAnchor>
    <xdr:from>
      <xdr:col>85</xdr:col>
      <xdr:colOff>76200</xdr:colOff>
      <xdr:row>82</xdr:row>
      <xdr:rowOff>171451</xdr:rowOff>
    </xdr:from>
    <xdr:to>
      <xdr:col>86</xdr:col>
      <xdr:colOff>552450</xdr:colOff>
      <xdr:row>110</xdr:row>
      <xdr:rowOff>57150</xdr:rowOff>
    </xdr:to>
    <xdr:sp macro="" textlink="">
      <xdr:nvSpPr>
        <xdr:cNvPr id="10" name="TextBox 9"/>
        <xdr:cNvSpPr txBox="1"/>
      </xdr:nvSpPr>
      <xdr:spPr>
        <a:xfrm>
          <a:off x="50082450" y="14316076"/>
          <a:ext cx="1085850" cy="4714874"/>
        </a:xfrm>
        <a:prstGeom prst="rect">
          <a:avLst/>
        </a:prstGeom>
        <a:solidFill>
          <a:schemeClr val="tx2">
            <a:lumMod val="20000"/>
            <a:lumOff val="80000"/>
            <a:alpha val="35000"/>
          </a:schemeClr>
        </a:solidFill>
        <a:ln w="254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82</xdr:col>
      <xdr:colOff>47625</xdr:colOff>
      <xdr:row>106</xdr:row>
      <xdr:rowOff>114300</xdr:rowOff>
    </xdr:from>
    <xdr:to>
      <xdr:col>84</xdr:col>
      <xdr:colOff>581024</xdr:colOff>
      <xdr:row>110</xdr:row>
      <xdr:rowOff>9525</xdr:rowOff>
    </xdr:to>
    <xdr:sp macro="" textlink="">
      <xdr:nvSpPr>
        <xdr:cNvPr id="12" name="TextBox 11"/>
        <xdr:cNvSpPr txBox="1"/>
      </xdr:nvSpPr>
      <xdr:spPr>
        <a:xfrm>
          <a:off x="48225075" y="18421350"/>
          <a:ext cx="1752599"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latin typeface="Arial" panose="020B0604020202020204" pitchFamily="34" charset="0"/>
              <a:cs typeface="Arial" panose="020B0604020202020204" pitchFamily="34" charset="0"/>
            </a:rPr>
            <a:t>Marine Survival</a:t>
          </a:r>
        </a:p>
        <a:p>
          <a:pPr algn="ctr"/>
          <a:r>
            <a:rPr lang="en-US" sz="1600" b="1">
              <a:latin typeface="Arial" panose="020B0604020202020204" pitchFamily="34" charset="0"/>
              <a:cs typeface="Arial" panose="020B0604020202020204" pitchFamily="34" charset="0"/>
            </a:rPr>
            <a:t>"Cliff"</a:t>
          </a:r>
        </a:p>
      </xdr:txBody>
    </xdr:sp>
    <xdr:clientData/>
  </xdr:twoCellAnchor>
  <xdr:twoCellAnchor>
    <xdr:from>
      <xdr:col>84</xdr:col>
      <xdr:colOff>47625</xdr:colOff>
      <xdr:row>109</xdr:row>
      <xdr:rowOff>9525</xdr:rowOff>
    </xdr:from>
    <xdr:to>
      <xdr:col>85</xdr:col>
      <xdr:colOff>28575</xdr:colOff>
      <xdr:row>109</xdr:row>
      <xdr:rowOff>9526</xdr:rowOff>
    </xdr:to>
    <xdr:cxnSp macro="">
      <xdr:nvCxnSpPr>
        <xdr:cNvPr id="23" name="Straight Arrow Connector 22"/>
        <xdr:cNvCxnSpPr/>
      </xdr:nvCxnSpPr>
      <xdr:spPr bwMode="auto">
        <a:xfrm flipV="1">
          <a:off x="49444275" y="18811875"/>
          <a:ext cx="590550" cy="1"/>
        </a:xfrm>
        <a:prstGeom prst="straightConnector1">
          <a:avLst/>
        </a:prstGeom>
        <a:noFill/>
        <a:ln w="19050" cap="flat" cmpd="sng" algn="ctr">
          <a:solidFill>
            <a:schemeClr val="tx1"/>
          </a:solidFill>
          <a:prstDash val="solid"/>
          <a:round/>
          <a:headEnd type="none" w="med" len="med"/>
          <a:tailEnd type="arrow"/>
        </a:ln>
        <a:effectLst/>
      </xdr:spPr>
    </xdr:cxnSp>
    <xdr:clientData/>
  </xdr:twoCellAnchor>
  <xdr:absoluteAnchor>
    <xdr:pos x="46958250" y="19964400"/>
    <xdr:ext cx="9067800" cy="5877628"/>
    <xdr:graphicFrame macro="">
      <xdr:nvGraphicFramePr>
        <xdr:cNvPr id="28" name="Chart 27"/>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absoluteAnchor>
  <xdr:twoCellAnchor>
    <xdr:from>
      <xdr:col>25</xdr:col>
      <xdr:colOff>104775</xdr:colOff>
      <xdr:row>142</xdr:row>
      <xdr:rowOff>80962</xdr:rowOff>
    </xdr:from>
    <xdr:to>
      <xdr:col>32</xdr:col>
      <xdr:colOff>295275</xdr:colOff>
      <xdr:row>160</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27</xdr:col>
      <xdr:colOff>0</xdr:colOff>
      <xdr:row>176</xdr:row>
      <xdr:rowOff>0</xdr:rowOff>
    </xdr:from>
    <xdr:to>
      <xdr:col>34</xdr:col>
      <xdr:colOff>304800</xdr:colOff>
      <xdr:row>193</xdr:row>
      <xdr:rowOff>19050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26</xdr:col>
      <xdr:colOff>609599</xdr:colOff>
      <xdr:row>194</xdr:row>
      <xdr:rowOff>0</xdr:rowOff>
    </xdr:from>
    <xdr:to>
      <xdr:col>34</xdr:col>
      <xdr:colOff>371474</xdr:colOff>
      <xdr:row>213</xdr:row>
      <xdr:rowOff>76200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247650</xdr:colOff>
      <xdr:row>67</xdr:row>
      <xdr:rowOff>104775</xdr:rowOff>
    </xdr:from>
    <xdr:to>
      <xdr:col>18</xdr:col>
      <xdr:colOff>628650</xdr:colOff>
      <xdr:row>81</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67</xdr:row>
      <xdr:rowOff>0</xdr:rowOff>
    </xdr:from>
    <xdr:to>
      <xdr:col>21</xdr:col>
      <xdr:colOff>381000</xdr:colOff>
      <xdr:row>80</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51</xdr:row>
      <xdr:rowOff>0</xdr:rowOff>
    </xdr:from>
    <xdr:to>
      <xdr:col>21</xdr:col>
      <xdr:colOff>381000</xdr:colOff>
      <xdr:row>64</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495300</xdr:colOff>
      <xdr:row>127</xdr:row>
      <xdr:rowOff>133349</xdr:rowOff>
    </xdr:from>
    <xdr:to>
      <xdr:col>15</xdr:col>
      <xdr:colOff>685800</xdr:colOff>
      <xdr:row>146</xdr:row>
      <xdr:rowOff>9524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127</xdr:row>
      <xdr:rowOff>0</xdr:rowOff>
    </xdr:from>
    <xdr:to>
      <xdr:col>21</xdr:col>
      <xdr:colOff>190500</xdr:colOff>
      <xdr:row>145</xdr:row>
      <xdr:rowOff>66675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147</xdr:row>
      <xdr:rowOff>0</xdr:rowOff>
    </xdr:from>
    <xdr:to>
      <xdr:col>16</xdr:col>
      <xdr:colOff>190500</xdr:colOff>
      <xdr:row>165</xdr:row>
      <xdr:rowOff>66675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466725</xdr:colOff>
      <xdr:row>127</xdr:row>
      <xdr:rowOff>133350</xdr:rowOff>
    </xdr:from>
    <xdr:to>
      <xdr:col>10</xdr:col>
      <xdr:colOff>390525</xdr:colOff>
      <xdr:row>146</xdr:row>
      <xdr:rowOff>9525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29</xdr:col>
      <xdr:colOff>76199</xdr:colOff>
      <xdr:row>46</xdr:row>
      <xdr:rowOff>19050</xdr:rowOff>
    </xdr:from>
    <xdr:to>
      <xdr:col>40</xdr:col>
      <xdr:colOff>28575</xdr:colOff>
      <xdr:row>65</xdr:row>
      <xdr:rowOff>180975</xdr:rowOff>
    </xdr:to>
    <xdr:graphicFrame macro="">
      <xdr:nvGraphicFramePr>
        <xdr:cNvPr id="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419100</xdr:colOff>
      <xdr:row>66</xdr:row>
      <xdr:rowOff>19050</xdr:rowOff>
    </xdr:from>
    <xdr:to>
      <xdr:col>46</xdr:col>
      <xdr:colOff>371476</xdr:colOff>
      <xdr:row>86</xdr:row>
      <xdr:rowOff>0</xdr:rowOff>
    </xdr:to>
    <xdr:graphicFrame macro="">
      <xdr:nvGraphicFramePr>
        <xdr:cNvPr id="4"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9525</xdr:colOff>
      <xdr:row>0</xdr:row>
      <xdr:rowOff>47625</xdr:rowOff>
    </xdr:from>
    <xdr:to>
      <xdr:col>10</xdr:col>
      <xdr:colOff>571500</xdr:colOff>
      <xdr:row>14</xdr:row>
      <xdr:rowOff>28575</xdr:rowOff>
    </xdr:to>
    <xdr:graphicFrame macro="">
      <xdr:nvGraphicFramePr>
        <xdr:cNvPr id="57376914"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9525</xdr:rowOff>
    </xdr:from>
    <xdr:to>
      <xdr:col>10</xdr:col>
      <xdr:colOff>571500</xdr:colOff>
      <xdr:row>27</xdr:row>
      <xdr:rowOff>114300</xdr:rowOff>
    </xdr:to>
    <xdr:graphicFrame macro="">
      <xdr:nvGraphicFramePr>
        <xdr:cNvPr id="57376915"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28</xdr:row>
      <xdr:rowOff>0</xdr:rowOff>
    </xdr:from>
    <xdr:to>
      <xdr:col>10</xdr:col>
      <xdr:colOff>590550</xdr:colOff>
      <xdr:row>47</xdr:row>
      <xdr:rowOff>38100</xdr:rowOff>
    </xdr:to>
    <xdr:graphicFrame macro="">
      <xdr:nvGraphicFramePr>
        <xdr:cNvPr id="57376916"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0</xdr:row>
      <xdr:rowOff>0</xdr:rowOff>
    </xdr:from>
    <xdr:to>
      <xdr:col>28</xdr:col>
      <xdr:colOff>581025</xdr:colOff>
      <xdr:row>39</xdr:row>
      <xdr:rowOff>28575</xdr:rowOff>
    </xdr:to>
    <xdr:graphicFrame macro="">
      <xdr:nvGraphicFramePr>
        <xdr:cNvPr id="57376917"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609599</xdr:colOff>
      <xdr:row>52</xdr:row>
      <xdr:rowOff>0</xdr:rowOff>
    </xdr:from>
    <xdr:to>
      <xdr:col>12</xdr:col>
      <xdr:colOff>9524</xdr:colOff>
      <xdr:row>79</xdr:row>
      <xdr:rowOff>123825</xdr:rowOff>
    </xdr:to>
    <xdr:graphicFrame macro="">
      <xdr:nvGraphicFramePr>
        <xdr:cNvPr id="7"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0.45595</cdr:x>
      <cdr:y>0.25284</cdr:y>
    </cdr:from>
    <cdr:to>
      <cdr:x>0.45595</cdr:x>
      <cdr:y>0.25284</cdr:y>
    </cdr:to>
    <cdr:sp macro="" textlink="">
      <cdr:nvSpPr>
        <cdr:cNvPr id="630785" name="Text Box 1"/>
        <cdr:cNvSpPr txBox="1">
          <a:spLocks xmlns:a="http://schemas.openxmlformats.org/drawingml/2006/main" noChangeArrowheads="1"/>
        </cdr:cNvSpPr>
      </cdr:nvSpPr>
      <cdr:spPr bwMode="auto">
        <a:xfrm xmlns:a="http://schemas.openxmlformats.org/drawingml/2006/main">
          <a:off x="2760960" y="68230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0.38607</cdr:x>
      <cdr:y>0.3435</cdr:y>
    </cdr:from>
    <cdr:to>
      <cdr:x>0.38607</cdr:x>
      <cdr:y>0.3435</cdr:y>
    </cdr:to>
    <cdr:sp macro="" textlink="">
      <cdr:nvSpPr>
        <cdr:cNvPr id="630786" name="Text Box 2"/>
        <cdr:cNvSpPr txBox="1">
          <a:spLocks xmlns:a="http://schemas.openxmlformats.org/drawingml/2006/main" noChangeArrowheads="1"/>
        </cdr:cNvSpPr>
      </cdr:nvSpPr>
      <cdr:spPr bwMode="auto">
        <a:xfrm xmlns:a="http://schemas.openxmlformats.org/drawingml/2006/main">
          <a:off x="2338288" y="92584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0.31545</cdr:x>
      <cdr:y>0.36231</cdr:y>
    </cdr:from>
    <cdr:to>
      <cdr:x>0.31545</cdr:x>
      <cdr:y>0.36231</cdr:y>
    </cdr:to>
    <cdr:sp macro="" textlink="">
      <cdr:nvSpPr>
        <cdr:cNvPr id="630787" name="Text Box 3"/>
        <cdr:cNvSpPr txBox="1">
          <a:spLocks xmlns:a="http://schemas.openxmlformats.org/drawingml/2006/main" noChangeArrowheads="1"/>
        </cdr:cNvSpPr>
      </cdr:nvSpPr>
      <cdr:spPr bwMode="auto">
        <a:xfrm xmlns:a="http://schemas.openxmlformats.org/drawingml/2006/main">
          <a:off x="1911152" y="97636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0.25541</cdr:x>
      <cdr:y>0.39149</cdr:y>
    </cdr:from>
    <cdr:to>
      <cdr:x>0.25541</cdr:x>
      <cdr:y>0.39149</cdr:y>
    </cdr:to>
    <cdr:sp macro="" textlink="">
      <cdr:nvSpPr>
        <cdr:cNvPr id="630788" name="Text Box 4"/>
        <cdr:cNvSpPr txBox="1">
          <a:spLocks xmlns:a="http://schemas.openxmlformats.org/drawingml/2006/main" noChangeArrowheads="1"/>
        </cdr:cNvSpPr>
      </cdr:nvSpPr>
      <cdr:spPr bwMode="auto">
        <a:xfrm xmlns:a="http://schemas.openxmlformats.org/drawingml/2006/main">
          <a:off x="1548011" y="105473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0.18159</cdr:x>
      <cdr:y>0.36955</cdr:y>
    </cdr:from>
    <cdr:to>
      <cdr:x>0.18159</cdr:x>
      <cdr:y>0.36955</cdr:y>
    </cdr:to>
    <cdr:sp macro="" textlink="">
      <cdr:nvSpPr>
        <cdr:cNvPr id="630789" name="Text Box 5"/>
        <cdr:cNvSpPr txBox="1">
          <a:spLocks xmlns:a="http://schemas.openxmlformats.org/drawingml/2006/main" noChangeArrowheads="1"/>
        </cdr:cNvSpPr>
      </cdr:nvSpPr>
      <cdr:spPr bwMode="auto">
        <a:xfrm xmlns:a="http://schemas.openxmlformats.org/drawingml/2006/main">
          <a:off x="1101527" y="99579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0.11487</cdr:x>
      <cdr:y>0.38177</cdr:y>
    </cdr:from>
    <cdr:to>
      <cdr:x>0.30043</cdr:x>
      <cdr:y>0.53814</cdr:y>
    </cdr:to>
    <cdr:sp macro="" textlink="">
      <cdr:nvSpPr>
        <cdr:cNvPr id="630790" name="Text Box 6"/>
        <cdr:cNvSpPr txBox="1">
          <a:spLocks xmlns:a="http://schemas.openxmlformats.org/drawingml/2006/main" noChangeArrowheads="1"/>
        </cdr:cNvSpPr>
      </cdr:nvSpPr>
      <cdr:spPr bwMode="auto">
        <a:xfrm xmlns:a="http://schemas.openxmlformats.org/drawingml/2006/main">
          <a:off x="764777" y="858181"/>
          <a:ext cx="1235454" cy="35150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00" b="0" i="0" strike="noStrike">
              <a:solidFill>
                <a:srgbClr val="000000"/>
              </a:solidFill>
              <a:latin typeface="Arial"/>
              <a:cs typeface="Arial"/>
            </a:rPr>
            <a:t>No</a:t>
          </a:r>
        </a:p>
        <a:p xmlns:a="http://schemas.openxmlformats.org/drawingml/2006/main">
          <a:pPr algn="ctr" rtl="0">
            <a:defRPr sz="1000"/>
          </a:pPr>
          <a:r>
            <a:rPr lang="en-US" sz="900" b="0" i="0" strike="noStrike">
              <a:solidFill>
                <a:srgbClr val="000000"/>
              </a:solidFill>
              <a:latin typeface="Arial"/>
              <a:cs typeface="Arial"/>
            </a:rPr>
            <a:t>Catch Estimates</a:t>
          </a:r>
        </a:p>
      </cdr:txBody>
    </cdr:sp>
  </cdr:relSizeAnchor>
  <cdr:relSizeAnchor xmlns:cdr="http://schemas.openxmlformats.org/drawingml/2006/chartDrawing">
    <cdr:from>
      <cdr:x>0.15096</cdr:x>
      <cdr:y>0.5339</cdr:y>
    </cdr:from>
    <cdr:to>
      <cdr:x>0.17597</cdr:x>
      <cdr:y>0.81377</cdr:y>
    </cdr:to>
    <cdr:sp macro="" textlink="">
      <cdr:nvSpPr>
        <cdr:cNvPr id="630791" name="Freeform 7"/>
        <cdr:cNvSpPr>
          <a:spLocks xmlns:a="http://schemas.openxmlformats.org/drawingml/2006/main"/>
        </cdr:cNvSpPr>
      </cdr:nvSpPr>
      <cdr:spPr bwMode="auto">
        <a:xfrm xmlns:a="http://schemas.openxmlformats.org/drawingml/2006/main">
          <a:off x="1005055" y="1200149"/>
          <a:ext cx="166520" cy="629115"/>
        </a:xfrm>
        <a:custGeom xmlns:a="http://schemas.openxmlformats.org/drawingml/2006/main">
          <a:avLst/>
          <a:gdLst/>
          <a:ahLst/>
          <a:cxnLst>
            <a:cxn ang="0">
              <a:pos x="190500" y="0"/>
            </a:cxn>
            <a:cxn ang="0">
              <a:pos x="0" y="361950"/>
            </a:cxn>
          </a:cxnLst>
          <a:rect l="0" t="0" r="r" b="b"/>
          <a:pathLst>
            <a:path w="190500" h="361950">
              <a:moveTo>
                <a:pt x="190500" y="0"/>
              </a:moveTo>
              <a:lnTo>
                <a:pt x="0" y="361950"/>
              </a:lnTo>
            </a:path>
          </a:pathLst>
        </a:custGeom>
        <a:noFill xmlns:a="http://schemas.openxmlformats.org/drawingml/2006/main"/>
        <a:ln xmlns:a="http://schemas.openxmlformats.org/drawingml/2006/main" w="0" cap="flat" cmpd="sng">
          <a:solidFill>
            <a:srgbClr val="000000"/>
          </a:solidFill>
          <a:prstDash val="solid"/>
          <a:round/>
          <a:headEnd type="none" w="med" len="me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0.23605</cdr:x>
      <cdr:y>0.52966</cdr:y>
    </cdr:from>
    <cdr:to>
      <cdr:x>0.25725</cdr:x>
      <cdr:y>0.65698</cdr:y>
    </cdr:to>
    <cdr:sp macro="" textlink="">
      <cdr:nvSpPr>
        <cdr:cNvPr id="630792" name="Freeform 8"/>
        <cdr:cNvSpPr>
          <a:spLocks xmlns:a="http://schemas.openxmlformats.org/drawingml/2006/main"/>
        </cdr:cNvSpPr>
      </cdr:nvSpPr>
      <cdr:spPr bwMode="auto">
        <a:xfrm xmlns:a="http://schemas.openxmlformats.org/drawingml/2006/main">
          <a:off x="1571625" y="1190625"/>
          <a:ext cx="141119" cy="286211"/>
        </a:xfrm>
        <a:custGeom xmlns:a="http://schemas.openxmlformats.org/drawingml/2006/main">
          <a:avLst/>
          <a:gdLst/>
          <a:ahLst/>
          <a:cxnLst>
            <a:cxn ang="0">
              <a:pos x="0" y="0"/>
            </a:cxn>
            <a:cxn ang="0">
              <a:pos x="76200" y="114300"/>
            </a:cxn>
          </a:cxnLst>
          <a:rect l="0" t="0" r="r" b="b"/>
          <a:pathLst>
            <a:path w="76200" h="114300">
              <a:moveTo>
                <a:pt x="0" y="0"/>
              </a:moveTo>
              <a:lnTo>
                <a:pt x="76200" y="114300"/>
              </a:lnTo>
            </a:path>
          </a:pathLst>
        </a:custGeom>
        <a:noFill xmlns:a="http://schemas.openxmlformats.org/drawingml/2006/main"/>
        <a:ln xmlns:a="http://schemas.openxmlformats.org/drawingml/2006/main" w="0" cap="flat" cmpd="sng">
          <a:solidFill>
            <a:srgbClr val="000000"/>
          </a:solidFill>
          <a:prstDash val="solid"/>
          <a:round/>
          <a:headEnd type="none" w="med" len="me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21.xml><?xml version="1.0" encoding="utf-8"?>
<c:userShapes xmlns:c="http://schemas.openxmlformats.org/drawingml/2006/chart">
  <cdr:relSizeAnchor xmlns:cdr="http://schemas.openxmlformats.org/drawingml/2006/chartDrawing">
    <cdr:from>
      <cdr:x>0.47687</cdr:x>
      <cdr:y>0.23567</cdr:y>
    </cdr:from>
    <cdr:to>
      <cdr:x>0.47687</cdr:x>
      <cdr:y>0.23567</cdr:y>
    </cdr:to>
    <cdr:sp macro="" textlink="">
      <cdr:nvSpPr>
        <cdr:cNvPr id="631809" name="Text Box 1025"/>
        <cdr:cNvSpPr txBox="1">
          <a:spLocks xmlns:a="http://schemas.openxmlformats.org/drawingml/2006/main" noChangeArrowheads="1"/>
        </cdr:cNvSpPr>
      </cdr:nvSpPr>
      <cdr:spPr bwMode="auto">
        <a:xfrm xmlns:a="http://schemas.openxmlformats.org/drawingml/2006/main">
          <a:off x="2892003" y="56886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0.40969</cdr:x>
      <cdr:y>0.3149</cdr:y>
    </cdr:from>
    <cdr:to>
      <cdr:x>0.40969</cdr:x>
      <cdr:y>0.3149</cdr:y>
    </cdr:to>
    <cdr:sp macro="" textlink="">
      <cdr:nvSpPr>
        <cdr:cNvPr id="631810" name="Text Box 1026"/>
        <cdr:cNvSpPr txBox="1">
          <a:spLocks xmlns:a="http://schemas.openxmlformats.org/drawingml/2006/main" noChangeArrowheads="1"/>
        </cdr:cNvSpPr>
      </cdr:nvSpPr>
      <cdr:spPr bwMode="auto">
        <a:xfrm xmlns:a="http://schemas.openxmlformats.org/drawingml/2006/main">
          <a:off x="2485052" y="759027"/>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0.34104</cdr:x>
      <cdr:y>0.33074</cdr:y>
    </cdr:from>
    <cdr:to>
      <cdr:x>0.34104</cdr:x>
      <cdr:y>0.33074</cdr:y>
    </cdr:to>
    <cdr:sp macro="" textlink="">
      <cdr:nvSpPr>
        <cdr:cNvPr id="631811" name="Text Box 1027"/>
        <cdr:cNvSpPr txBox="1">
          <a:spLocks xmlns:a="http://schemas.openxmlformats.org/drawingml/2006/main" noChangeArrowheads="1"/>
        </cdr:cNvSpPr>
      </cdr:nvSpPr>
      <cdr:spPr bwMode="auto">
        <a:xfrm xmlns:a="http://schemas.openxmlformats.org/drawingml/2006/main">
          <a:off x="2069157" y="79706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0.28198</cdr:x>
      <cdr:y>0.35691</cdr:y>
    </cdr:from>
    <cdr:to>
      <cdr:x>0.28198</cdr:x>
      <cdr:y>0.35691</cdr:y>
    </cdr:to>
    <cdr:sp macro="" textlink="">
      <cdr:nvSpPr>
        <cdr:cNvPr id="631812" name="Text Box 1028"/>
        <cdr:cNvSpPr txBox="1">
          <a:spLocks xmlns:a="http://schemas.openxmlformats.org/drawingml/2006/main" noChangeArrowheads="1"/>
        </cdr:cNvSpPr>
      </cdr:nvSpPr>
      <cdr:spPr bwMode="auto">
        <a:xfrm xmlns:a="http://schemas.openxmlformats.org/drawingml/2006/main">
          <a:off x="1711398" y="85987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0.21259</cdr:x>
      <cdr:y>0.33843</cdr:y>
    </cdr:from>
    <cdr:to>
      <cdr:x>0.21259</cdr:x>
      <cdr:y>0.33843</cdr:y>
    </cdr:to>
    <cdr:sp macro="" textlink="">
      <cdr:nvSpPr>
        <cdr:cNvPr id="631813" name="Text Box 1029"/>
        <cdr:cNvSpPr txBox="1">
          <a:spLocks xmlns:a="http://schemas.openxmlformats.org/drawingml/2006/main" noChangeArrowheads="1"/>
        </cdr:cNvSpPr>
      </cdr:nvSpPr>
      <cdr:spPr bwMode="auto">
        <a:xfrm xmlns:a="http://schemas.openxmlformats.org/drawingml/2006/main">
          <a:off x="1291031" y="81550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0.13197</cdr:x>
      <cdr:y>0.30057</cdr:y>
    </cdr:from>
    <cdr:to>
      <cdr:x>0.52986</cdr:x>
      <cdr:y>0.42349</cdr:y>
    </cdr:to>
    <cdr:sp macro="" textlink="">
      <cdr:nvSpPr>
        <cdr:cNvPr id="631814" name="Text Box 1030"/>
        <cdr:cNvSpPr txBox="1">
          <a:spLocks xmlns:a="http://schemas.openxmlformats.org/drawingml/2006/main" noChangeArrowheads="1"/>
        </cdr:cNvSpPr>
      </cdr:nvSpPr>
      <cdr:spPr bwMode="auto">
        <a:xfrm xmlns:a="http://schemas.openxmlformats.org/drawingml/2006/main">
          <a:off x="882441" y="647027"/>
          <a:ext cx="2660511" cy="26460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00" b="0" i="0" strike="noStrike">
              <a:solidFill>
                <a:srgbClr val="000000"/>
              </a:solidFill>
              <a:latin typeface="Arial"/>
              <a:cs typeface="Arial"/>
            </a:rPr>
            <a:t>No Catch Estimates</a:t>
          </a:r>
        </a:p>
      </cdr:txBody>
    </cdr:sp>
  </cdr:relSizeAnchor>
  <cdr:relSizeAnchor xmlns:cdr="http://schemas.openxmlformats.org/drawingml/2006/chartDrawing">
    <cdr:from>
      <cdr:x>0.1568</cdr:x>
      <cdr:y>0.40708</cdr:y>
    </cdr:from>
    <cdr:to>
      <cdr:x>0.25783</cdr:x>
      <cdr:y>0.84718</cdr:y>
    </cdr:to>
    <cdr:sp macro="" textlink="">
      <cdr:nvSpPr>
        <cdr:cNvPr id="631815" name="Freeform 1031"/>
        <cdr:cNvSpPr>
          <a:spLocks xmlns:a="http://schemas.openxmlformats.org/drawingml/2006/main"/>
        </cdr:cNvSpPr>
      </cdr:nvSpPr>
      <cdr:spPr bwMode="auto">
        <a:xfrm xmlns:a="http://schemas.openxmlformats.org/drawingml/2006/main">
          <a:off x="1048478" y="876297"/>
          <a:ext cx="675547" cy="947381"/>
        </a:xfrm>
        <a:custGeom xmlns:a="http://schemas.openxmlformats.org/drawingml/2006/main">
          <a:avLst/>
          <a:gdLst/>
          <a:ahLst/>
          <a:cxnLst>
            <a:cxn ang="0">
              <a:pos x="952500" y="0"/>
            </a:cxn>
            <a:cxn ang="0">
              <a:pos x="0" y="533400"/>
            </a:cxn>
          </a:cxnLst>
          <a:rect l="0" t="0" r="r" b="b"/>
          <a:pathLst>
            <a:path w="952500" h="533400">
              <a:moveTo>
                <a:pt x="952500" y="0"/>
              </a:moveTo>
              <a:lnTo>
                <a:pt x="0" y="533400"/>
              </a:lnTo>
            </a:path>
          </a:pathLst>
        </a:custGeom>
        <a:noFill xmlns:a="http://schemas.openxmlformats.org/drawingml/2006/main"/>
        <a:ln xmlns:a="http://schemas.openxmlformats.org/drawingml/2006/main" w="0">
          <a:solidFill>
            <a:srgbClr val="000000"/>
          </a:solidFill>
          <a:round/>
          <a:headEn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0.39858</cdr:x>
      <cdr:y>0.40517</cdr:y>
    </cdr:from>
    <cdr:to>
      <cdr:x>0.47429</cdr:x>
      <cdr:y>0.78448</cdr:y>
    </cdr:to>
    <cdr:sp macro="" textlink="">
      <cdr:nvSpPr>
        <cdr:cNvPr id="631816" name="Freeform 1032"/>
        <cdr:cNvSpPr>
          <a:spLocks xmlns:a="http://schemas.openxmlformats.org/drawingml/2006/main"/>
        </cdr:cNvSpPr>
      </cdr:nvSpPr>
      <cdr:spPr bwMode="auto">
        <a:xfrm xmlns:a="http://schemas.openxmlformats.org/drawingml/2006/main">
          <a:off x="2657533" y="895344"/>
          <a:ext cx="504768" cy="838205"/>
        </a:xfrm>
        <a:custGeom xmlns:a="http://schemas.openxmlformats.org/drawingml/2006/main">
          <a:avLst/>
          <a:gdLst/>
          <a:ahLst/>
          <a:cxnLst>
            <a:cxn ang="0">
              <a:pos x="0" y="0"/>
            </a:cxn>
            <a:cxn ang="0">
              <a:pos x="809625" y="533400"/>
            </a:cxn>
          </a:cxnLst>
          <a:rect l="0" t="0" r="r" b="b"/>
          <a:pathLst>
            <a:path w="809625" h="533400">
              <a:moveTo>
                <a:pt x="0" y="0"/>
              </a:moveTo>
              <a:lnTo>
                <a:pt x="809625" y="533400"/>
              </a:lnTo>
            </a:path>
          </a:pathLst>
        </a:custGeom>
        <a:noFill xmlns:a="http://schemas.openxmlformats.org/drawingml/2006/main"/>
        <a:ln xmlns:a="http://schemas.openxmlformats.org/drawingml/2006/main" w="0">
          <a:solidFill>
            <a:srgbClr val="000000"/>
          </a:solidFill>
          <a:round/>
          <a:headEn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22.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userShapes>
</file>

<file path=xl/drawings/drawing23.xml><?xml version="1.0" encoding="utf-8"?>
<c:userShapes xmlns:c="http://schemas.openxmlformats.org/drawingml/2006/chart">
  <cdr:relSizeAnchor xmlns:cdr="http://schemas.openxmlformats.org/drawingml/2006/chartDrawing">
    <cdr:from>
      <cdr:x>0.46383</cdr:x>
      <cdr:y>0.33747</cdr:y>
    </cdr:from>
    <cdr:to>
      <cdr:x>0.46383</cdr:x>
      <cdr:y>0.33747</cdr:y>
    </cdr:to>
    <cdr:sp macro="" textlink="">
      <cdr:nvSpPr>
        <cdr:cNvPr id="524289" name="Text Box 1"/>
        <cdr:cNvSpPr txBox="1">
          <a:spLocks xmlns:a="http://schemas.openxmlformats.org/drawingml/2006/main" noChangeArrowheads="1"/>
        </cdr:cNvSpPr>
      </cdr:nvSpPr>
      <cdr:spPr bwMode="auto">
        <a:xfrm xmlns:a="http://schemas.openxmlformats.org/drawingml/2006/main">
          <a:off x="2821823" y="214720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1100" b="0" i="0" strike="noStrike">
              <a:solidFill>
                <a:srgbClr val="000000"/>
              </a:solidFill>
              <a:latin typeface="Arial"/>
              <a:cs typeface="Arial"/>
            </a:rPr>
            <a:t>No Catch Estimate</a:t>
          </a:r>
        </a:p>
      </cdr:txBody>
    </cdr:sp>
  </cdr:relSizeAnchor>
  <cdr:relSizeAnchor xmlns:cdr="http://schemas.openxmlformats.org/drawingml/2006/chartDrawing">
    <cdr:from>
      <cdr:x>0.39418</cdr:x>
      <cdr:y>0.47365</cdr:y>
    </cdr:from>
    <cdr:to>
      <cdr:x>0.39418</cdr:x>
      <cdr:y>0.47365</cdr:y>
    </cdr:to>
    <cdr:sp macro="" textlink="">
      <cdr:nvSpPr>
        <cdr:cNvPr id="524290" name="Text Box 2"/>
        <cdr:cNvSpPr txBox="1">
          <a:spLocks xmlns:a="http://schemas.openxmlformats.org/drawingml/2006/main" noChangeArrowheads="1"/>
        </cdr:cNvSpPr>
      </cdr:nvSpPr>
      <cdr:spPr bwMode="auto">
        <a:xfrm xmlns:a="http://schemas.openxmlformats.org/drawingml/2006/main">
          <a:off x="2398617" y="301236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1100" b="0" i="0" strike="noStrike">
              <a:solidFill>
                <a:srgbClr val="000000"/>
              </a:solidFill>
              <a:latin typeface="Arial"/>
              <a:cs typeface="Arial"/>
            </a:rPr>
            <a:t>No Catch Estimate</a:t>
          </a:r>
        </a:p>
      </cdr:txBody>
    </cdr:sp>
  </cdr:relSizeAnchor>
  <cdr:relSizeAnchor xmlns:cdr="http://schemas.openxmlformats.org/drawingml/2006/chartDrawing">
    <cdr:from>
      <cdr:x>0.32479</cdr:x>
      <cdr:y>0.50123</cdr:y>
    </cdr:from>
    <cdr:to>
      <cdr:x>0.32479</cdr:x>
      <cdr:y>0.50123</cdr:y>
    </cdr:to>
    <cdr:sp macro="" textlink="">
      <cdr:nvSpPr>
        <cdr:cNvPr id="524291" name="Text Box 3"/>
        <cdr:cNvSpPr txBox="1">
          <a:spLocks xmlns:a="http://schemas.openxmlformats.org/drawingml/2006/main" noChangeArrowheads="1"/>
        </cdr:cNvSpPr>
      </cdr:nvSpPr>
      <cdr:spPr bwMode="auto">
        <a:xfrm xmlns:a="http://schemas.openxmlformats.org/drawingml/2006/main">
          <a:off x="1976907" y="318758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1100" b="0" i="0" strike="noStrike">
              <a:solidFill>
                <a:srgbClr val="000000"/>
              </a:solidFill>
              <a:latin typeface="Arial"/>
              <a:cs typeface="Arial"/>
            </a:rPr>
            <a:t>No Catch Estimate</a:t>
          </a:r>
        </a:p>
      </cdr:txBody>
    </cdr:sp>
  </cdr:relSizeAnchor>
  <cdr:relSizeAnchor xmlns:cdr="http://schemas.openxmlformats.org/drawingml/2006/chartDrawing">
    <cdr:from>
      <cdr:x>0.26573</cdr:x>
      <cdr:y>0.54605</cdr:y>
    </cdr:from>
    <cdr:to>
      <cdr:x>0.26573</cdr:x>
      <cdr:y>0.54605</cdr:y>
    </cdr:to>
    <cdr:sp macro="" textlink="">
      <cdr:nvSpPr>
        <cdr:cNvPr id="524292" name="Text Box 4"/>
        <cdr:cNvSpPr txBox="1">
          <a:spLocks xmlns:a="http://schemas.openxmlformats.org/drawingml/2006/main" noChangeArrowheads="1"/>
        </cdr:cNvSpPr>
      </cdr:nvSpPr>
      <cdr:spPr bwMode="auto">
        <a:xfrm xmlns:a="http://schemas.openxmlformats.org/drawingml/2006/main">
          <a:off x="1618005" y="347232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1100" b="0" i="0" strike="noStrike">
              <a:solidFill>
                <a:srgbClr val="000000"/>
              </a:solidFill>
              <a:latin typeface="Arial"/>
              <a:cs typeface="Arial"/>
            </a:rPr>
            <a:t>No Catch Estimate</a:t>
          </a:r>
        </a:p>
      </cdr:txBody>
    </cdr:sp>
  </cdr:relSizeAnchor>
  <cdr:relSizeAnchor xmlns:cdr="http://schemas.openxmlformats.org/drawingml/2006/chartDrawing">
    <cdr:from>
      <cdr:x>0.19215</cdr:x>
      <cdr:y>0.51404</cdr:y>
    </cdr:from>
    <cdr:to>
      <cdr:x>0.19215</cdr:x>
      <cdr:y>0.51404</cdr:y>
    </cdr:to>
    <cdr:sp macro="" textlink="">
      <cdr:nvSpPr>
        <cdr:cNvPr id="524293" name="Text Box 5"/>
        <cdr:cNvSpPr txBox="1">
          <a:spLocks xmlns:a="http://schemas.openxmlformats.org/drawingml/2006/main" noChangeArrowheads="1"/>
        </cdr:cNvSpPr>
      </cdr:nvSpPr>
      <cdr:spPr bwMode="auto">
        <a:xfrm xmlns:a="http://schemas.openxmlformats.org/drawingml/2006/main">
          <a:off x="1170873" y="326893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1100" b="0" i="0" strike="noStrike">
              <a:solidFill>
                <a:srgbClr val="000000"/>
              </a:solidFill>
              <a:latin typeface="Arial"/>
              <a:cs typeface="Arial"/>
            </a:rPr>
            <a:t>No Catch Estimate</a:t>
          </a:r>
        </a:p>
      </cdr:txBody>
    </cdr:sp>
  </cdr:relSizeAnchor>
  <cdr:relSizeAnchor xmlns:cdr="http://schemas.openxmlformats.org/drawingml/2006/chartDrawing">
    <cdr:from>
      <cdr:x>0.16492</cdr:x>
      <cdr:y>0.37712</cdr:y>
    </cdr:from>
    <cdr:to>
      <cdr:x>0.1979</cdr:x>
      <cdr:y>0.63051</cdr:y>
    </cdr:to>
    <cdr:sp macro="" textlink="">
      <cdr:nvSpPr>
        <cdr:cNvPr id="524294" name="Text Box 6"/>
        <cdr:cNvSpPr txBox="1">
          <a:spLocks xmlns:a="http://schemas.openxmlformats.org/drawingml/2006/main" noChangeArrowheads="1"/>
        </cdr:cNvSpPr>
      </cdr:nvSpPr>
      <cdr:spPr bwMode="auto">
        <a:xfrm xmlns:a="http://schemas.openxmlformats.org/drawingml/2006/main">
          <a:off x="1000646" y="2392317"/>
          <a:ext cx="200103" cy="160741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950" b="1" i="0" strike="noStrike">
              <a:solidFill>
                <a:srgbClr val="000000"/>
              </a:solidFill>
              <a:latin typeface="Arial"/>
              <a:cs typeface="Arial"/>
            </a:rPr>
            <a:t>No Marine Catch Estimate</a:t>
          </a:r>
        </a:p>
      </cdr:txBody>
    </cdr:sp>
  </cdr:relSizeAnchor>
  <cdr:relSizeAnchor xmlns:cdr="http://schemas.openxmlformats.org/drawingml/2006/chartDrawing">
    <cdr:from>
      <cdr:x>0.19586</cdr:x>
      <cdr:y>0.41453</cdr:y>
    </cdr:from>
    <cdr:to>
      <cdr:x>0.22883</cdr:x>
      <cdr:y>0.67851</cdr:y>
    </cdr:to>
    <cdr:sp macro="" textlink="">
      <cdr:nvSpPr>
        <cdr:cNvPr id="524295" name="Text Box 7"/>
        <cdr:cNvSpPr txBox="1">
          <a:spLocks xmlns:a="http://schemas.openxmlformats.org/drawingml/2006/main" noChangeArrowheads="1"/>
        </cdr:cNvSpPr>
      </cdr:nvSpPr>
      <cdr:spPr bwMode="auto">
        <a:xfrm xmlns:a="http://schemas.openxmlformats.org/drawingml/2006/main">
          <a:off x="1188377" y="2629624"/>
          <a:ext cx="200043" cy="1674596"/>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950" b="1" i="0" strike="noStrike">
              <a:solidFill>
                <a:srgbClr val="000000"/>
              </a:solidFill>
              <a:latin typeface="Arial"/>
              <a:cs typeface="Arial"/>
            </a:rPr>
            <a:t>No Marine Catch Estimate</a:t>
          </a:r>
        </a:p>
      </cdr:txBody>
    </cdr:sp>
  </cdr:relSizeAnchor>
  <cdr:relSizeAnchor xmlns:cdr="http://schemas.openxmlformats.org/drawingml/2006/chartDrawing">
    <cdr:from>
      <cdr:x>0.2215</cdr:x>
      <cdr:y>0.37786</cdr:y>
    </cdr:from>
    <cdr:to>
      <cdr:x>0.2653</cdr:x>
      <cdr:y>0.6448</cdr:y>
    </cdr:to>
    <cdr:sp macro="" textlink="">
      <cdr:nvSpPr>
        <cdr:cNvPr id="524296" name="Text Box 8"/>
        <cdr:cNvSpPr txBox="1">
          <a:spLocks xmlns:a="http://schemas.openxmlformats.org/drawingml/2006/main" noChangeArrowheads="1"/>
        </cdr:cNvSpPr>
      </cdr:nvSpPr>
      <cdr:spPr bwMode="auto">
        <a:xfrm xmlns:a="http://schemas.openxmlformats.org/drawingml/2006/main">
          <a:off x="1343954" y="2397012"/>
          <a:ext cx="265754" cy="169337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950" b="1" i="0" strike="noStrike">
              <a:solidFill>
                <a:srgbClr val="000000"/>
              </a:solidFill>
              <a:latin typeface="Arial"/>
              <a:cs typeface="Arial"/>
            </a:rPr>
            <a:t>No Marine Catch Estimate</a:t>
          </a:r>
        </a:p>
      </cdr:txBody>
    </cdr:sp>
  </cdr:relSizeAnchor>
  <cdr:relSizeAnchor xmlns:cdr="http://schemas.openxmlformats.org/drawingml/2006/chartDrawing">
    <cdr:from>
      <cdr:x>0.25564</cdr:x>
      <cdr:y>0.34047</cdr:y>
    </cdr:from>
    <cdr:to>
      <cdr:x>0.29329</cdr:x>
      <cdr:y>0.60889</cdr:y>
    </cdr:to>
    <cdr:sp macro="" textlink="">
      <cdr:nvSpPr>
        <cdr:cNvPr id="524297" name="Text Box 9"/>
        <cdr:cNvSpPr txBox="1">
          <a:spLocks xmlns:a="http://schemas.openxmlformats.org/drawingml/2006/main" noChangeArrowheads="1"/>
        </cdr:cNvSpPr>
      </cdr:nvSpPr>
      <cdr:spPr bwMode="auto">
        <a:xfrm xmlns:a="http://schemas.openxmlformats.org/drawingml/2006/main">
          <a:off x="1551101" y="2159842"/>
          <a:ext cx="228439" cy="1702762"/>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950" b="1" i="0" strike="noStrike">
              <a:solidFill>
                <a:srgbClr val="000000"/>
              </a:solidFill>
              <a:latin typeface="Arial"/>
              <a:cs typeface="Arial"/>
            </a:rPr>
            <a:t>No Marine Catch Estimate</a:t>
          </a:r>
        </a:p>
      </cdr:txBody>
    </cdr:sp>
  </cdr:relSizeAnchor>
  <cdr:relSizeAnchor xmlns:cdr="http://schemas.openxmlformats.org/drawingml/2006/chartDrawing">
    <cdr:from>
      <cdr:x>0.27735</cdr:x>
      <cdr:y>0.23577</cdr:y>
    </cdr:from>
    <cdr:to>
      <cdr:x>0.32435</cdr:x>
      <cdr:y>0.48621</cdr:y>
    </cdr:to>
    <cdr:sp macro="" textlink="">
      <cdr:nvSpPr>
        <cdr:cNvPr id="524298" name="Text Box 10"/>
        <cdr:cNvSpPr txBox="1">
          <a:spLocks xmlns:a="http://schemas.openxmlformats.org/drawingml/2006/main" noChangeArrowheads="1"/>
        </cdr:cNvSpPr>
      </cdr:nvSpPr>
      <cdr:spPr bwMode="auto">
        <a:xfrm xmlns:a="http://schemas.openxmlformats.org/drawingml/2006/main">
          <a:off x="1682773" y="1495642"/>
          <a:ext cx="285169" cy="158870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950" b="1" i="0" strike="noStrike">
              <a:solidFill>
                <a:srgbClr val="000000"/>
              </a:solidFill>
              <a:latin typeface="Arial"/>
              <a:cs typeface="Arial"/>
            </a:rPr>
            <a:t>No Marine Catch Estimate</a:t>
          </a:r>
        </a:p>
      </cdr:txBody>
    </cdr:sp>
  </cdr:relSizeAnchor>
</c:userShapes>
</file>

<file path=xl/drawings/drawing24.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userShapes>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457200</xdr:colOff>
      <xdr:row>21</xdr:row>
      <xdr:rowOff>57150</xdr:rowOff>
    </xdr:to>
    <xdr:graphicFrame macro="">
      <xdr:nvGraphicFramePr>
        <xdr:cNvPr id="6127540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476250</xdr:colOff>
      <xdr:row>0</xdr:row>
      <xdr:rowOff>0</xdr:rowOff>
    </xdr:from>
    <xdr:to>
      <xdr:col>9</xdr:col>
      <xdr:colOff>495300</xdr:colOff>
      <xdr:row>21</xdr:row>
      <xdr:rowOff>28575</xdr:rowOff>
    </xdr:to>
    <xdr:graphicFrame macro="">
      <xdr:nvGraphicFramePr>
        <xdr:cNvPr id="6127540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447675</xdr:colOff>
      <xdr:row>21</xdr:row>
      <xdr:rowOff>19050</xdr:rowOff>
    </xdr:from>
    <xdr:to>
      <xdr:col>9</xdr:col>
      <xdr:colOff>514350</xdr:colOff>
      <xdr:row>43</xdr:row>
      <xdr:rowOff>123825</xdr:rowOff>
    </xdr:to>
    <xdr:graphicFrame macro="">
      <xdr:nvGraphicFramePr>
        <xdr:cNvPr id="6127540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19050</xdr:colOff>
      <xdr:row>0</xdr:row>
      <xdr:rowOff>0</xdr:rowOff>
    </xdr:from>
    <xdr:to>
      <xdr:col>39</xdr:col>
      <xdr:colOff>571500</xdr:colOff>
      <xdr:row>16</xdr:row>
      <xdr:rowOff>85725</xdr:rowOff>
    </xdr:to>
    <xdr:graphicFrame macro="">
      <xdr:nvGraphicFramePr>
        <xdr:cNvPr id="61275407"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19050</xdr:colOff>
      <xdr:row>16</xdr:row>
      <xdr:rowOff>133350</xdr:rowOff>
    </xdr:from>
    <xdr:to>
      <xdr:col>39</xdr:col>
      <xdr:colOff>581025</xdr:colOff>
      <xdr:row>31</xdr:row>
      <xdr:rowOff>95250</xdr:rowOff>
    </xdr:to>
    <xdr:graphicFrame macro="">
      <xdr:nvGraphicFramePr>
        <xdr:cNvPr id="61275408"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9525</xdr:colOff>
      <xdr:row>31</xdr:row>
      <xdr:rowOff>47625</xdr:rowOff>
    </xdr:from>
    <xdr:to>
      <xdr:col>39</xdr:col>
      <xdr:colOff>542925</xdr:colOff>
      <xdr:row>47</xdr:row>
      <xdr:rowOff>38100</xdr:rowOff>
    </xdr:to>
    <xdr:graphicFrame macro="">
      <xdr:nvGraphicFramePr>
        <xdr:cNvPr id="61275409"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155</xdr:row>
      <xdr:rowOff>0</xdr:rowOff>
    </xdr:from>
    <xdr:to>
      <xdr:col>31</xdr:col>
      <xdr:colOff>542925</xdr:colOff>
      <xdr:row>182</xdr:row>
      <xdr:rowOff>85725</xdr:rowOff>
    </xdr:to>
    <xdr:graphicFrame macro="">
      <xdr:nvGraphicFramePr>
        <xdr:cNvPr id="61275410"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600075</xdr:colOff>
      <xdr:row>15</xdr:row>
      <xdr:rowOff>0</xdr:rowOff>
    </xdr:from>
    <xdr:to>
      <xdr:col>50</xdr:col>
      <xdr:colOff>533400</xdr:colOff>
      <xdr:row>32</xdr:row>
      <xdr:rowOff>133350</xdr:rowOff>
    </xdr:to>
    <xdr:graphicFrame macro="">
      <xdr:nvGraphicFramePr>
        <xdr:cNvPr id="61275411"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0</xdr:colOff>
      <xdr:row>32</xdr:row>
      <xdr:rowOff>142875</xdr:rowOff>
    </xdr:from>
    <xdr:to>
      <xdr:col>50</xdr:col>
      <xdr:colOff>561975</xdr:colOff>
      <xdr:row>48</xdr:row>
      <xdr:rowOff>171450</xdr:rowOff>
    </xdr:to>
    <xdr:graphicFrame macro="">
      <xdr:nvGraphicFramePr>
        <xdr:cNvPr id="61275412"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41</xdr:col>
      <xdr:colOff>76200</xdr:colOff>
      <xdr:row>49</xdr:row>
      <xdr:rowOff>47625</xdr:rowOff>
    </xdr:from>
    <xdr:to>
      <xdr:col>50</xdr:col>
      <xdr:colOff>552450</xdr:colOff>
      <xdr:row>70</xdr:row>
      <xdr:rowOff>95250</xdr:rowOff>
    </xdr:to>
    <xdr:graphicFrame macro="">
      <xdr:nvGraphicFramePr>
        <xdr:cNvPr id="6127541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0</xdr:colOff>
      <xdr:row>71</xdr:row>
      <xdr:rowOff>0</xdr:rowOff>
    </xdr:from>
    <xdr:to>
      <xdr:col>50</xdr:col>
      <xdr:colOff>476250</xdr:colOff>
      <xdr:row>92</xdr:row>
      <xdr:rowOff>47625</xdr:rowOff>
    </xdr:to>
    <xdr:graphicFrame macro="">
      <xdr:nvGraphicFramePr>
        <xdr:cNvPr id="61275414"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51</xdr:col>
      <xdr:colOff>600075</xdr:colOff>
      <xdr:row>71</xdr:row>
      <xdr:rowOff>0</xdr:rowOff>
    </xdr:from>
    <xdr:to>
      <xdr:col>61</xdr:col>
      <xdr:colOff>476250</xdr:colOff>
      <xdr:row>88</xdr:row>
      <xdr:rowOff>123825</xdr:rowOff>
    </xdr:to>
    <xdr:graphicFrame macro="">
      <xdr:nvGraphicFramePr>
        <xdr:cNvPr id="61275415"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52</xdr:col>
      <xdr:colOff>0</xdr:colOff>
      <xdr:row>48</xdr:row>
      <xdr:rowOff>0</xdr:rowOff>
    </xdr:from>
    <xdr:to>
      <xdr:col>61</xdr:col>
      <xdr:colOff>476250</xdr:colOff>
      <xdr:row>68</xdr:row>
      <xdr:rowOff>85725</xdr:rowOff>
    </xdr:to>
    <xdr:graphicFrame macro="">
      <xdr:nvGraphicFramePr>
        <xdr:cNvPr id="6127541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53</xdr:col>
      <xdr:colOff>28575</xdr:colOff>
      <xdr:row>16</xdr:row>
      <xdr:rowOff>19050</xdr:rowOff>
    </xdr:from>
    <xdr:to>
      <xdr:col>62</xdr:col>
      <xdr:colOff>561975</xdr:colOff>
      <xdr:row>35</xdr:row>
      <xdr:rowOff>57150</xdr:rowOff>
    </xdr:to>
    <xdr:graphicFrame macro="">
      <xdr:nvGraphicFramePr>
        <xdr:cNvPr id="61275417"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41</xdr:col>
      <xdr:colOff>0</xdr:colOff>
      <xdr:row>93</xdr:row>
      <xdr:rowOff>0</xdr:rowOff>
    </xdr:from>
    <xdr:to>
      <xdr:col>50</xdr:col>
      <xdr:colOff>495300</xdr:colOff>
      <xdr:row>121</xdr:row>
      <xdr:rowOff>133350</xdr:rowOff>
    </xdr:to>
    <xdr:graphicFrame macro="">
      <xdr:nvGraphicFramePr>
        <xdr:cNvPr id="61275418"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23</xdr:col>
      <xdr:colOff>0</xdr:colOff>
      <xdr:row>228</xdr:row>
      <xdr:rowOff>0</xdr:rowOff>
    </xdr:from>
    <xdr:to>
      <xdr:col>33</xdr:col>
      <xdr:colOff>47625</xdr:colOff>
      <xdr:row>254</xdr:row>
      <xdr:rowOff>85725</xdr:rowOff>
    </xdr:to>
    <xdr:graphicFrame macro="">
      <xdr:nvGraphicFramePr>
        <xdr:cNvPr id="61275419"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21</xdr:row>
      <xdr:rowOff>28575</xdr:rowOff>
    </xdr:from>
    <xdr:to>
      <xdr:col>4</xdr:col>
      <xdr:colOff>523875</xdr:colOff>
      <xdr:row>43</xdr:row>
      <xdr:rowOff>104775</xdr:rowOff>
    </xdr:to>
    <xdr:graphicFrame macro="">
      <xdr:nvGraphicFramePr>
        <xdr:cNvPr id="61275420"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609599</xdr:colOff>
      <xdr:row>3</xdr:row>
      <xdr:rowOff>0</xdr:rowOff>
    </xdr:from>
    <xdr:to>
      <xdr:col>23</xdr:col>
      <xdr:colOff>409574</xdr:colOff>
      <xdr:row>24</xdr:row>
      <xdr:rowOff>47624</xdr:rowOff>
    </xdr:to>
    <xdr:graphicFrame macro="">
      <xdr:nvGraphicFramePr>
        <xdr:cNvPr id="1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9525</xdr:colOff>
      <xdr:row>24</xdr:row>
      <xdr:rowOff>38100</xdr:rowOff>
    </xdr:from>
    <xdr:to>
      <xdr:col>23</xdr:col>
      <xdr:colOff>419100</xdr:colOff>
      <xdr:row>45</xdr:row>
      <xdr:rowOff>57149</xdr:rowOff>
    </xdr:to>
    <xdr:graphicFrame macro="">
      <xdr:nvGraphicFramePr>
        <xdr:cNvPr id="2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26</xdr:col>
      <xdr:colOff>400050</xdr:colOff>
      <xdr:row>75</xdr:row>
      <xdr:rowOff>47625</xdr:rowOff>
    </xdr:from>
    <xdr:to>
      <xdr:col>37</xdr:col>
      <xdr:colOff>219075</xdr:colOff>
      <xdr:row>110</xdr:row>
      <xdr:rowOff>9526</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15</xdr:col>
      <xdr:colOff>38100</xdr:colOff>
      <xdr:row>45</xdr:row>
      <xdr:rowOff>66675</xdr:rowOff>
    </xdr:from>
    <xdr:to>
      <xdr:col>23</xdr:col>
      <xdr:colOff>447675</xdr:colOff>
      <xdr:row>66</xdr:row>
      <xdr:rowOff>85724</xdr:rowOff>
    </xdr:to>
    <xdr:graphicFrame macro="">
      <xdr:nvGraphicFramePr>
        <xdr:cNvPr id="2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xdr:col>
      <xdr:colOff>0</xdr:colOff>
      <xdr:row>55</xdr:row>
      <xdr:rowOff>0</xdr:rowOff>
    </xdr:from>
    <xdr:to>
      <xdr:col>13</xdr:col>
      <xdr:colOff>466724</xdr:colOff>
      <xdr:row>76</xdr:row>
      <xdr:rowOff>104775</xdr:rowOff>
    </xdr:to>
    <xdr:graphicFrame macro="">
      <xdr:nvGraphicFramePr>
        <xdr:cNvPr id="2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9525</xdr:colOff>
      <xdr:row>67</xdr:row>
      <xdr:rowOff>28575</xdr:rowOff>
    </xdr:from>
    <xdr:to>
      <xdr:col>23</xdr:col>
      <xdr:colOff>419100</xdr:colOff>
      <xdr:row>88</xdr:row>
      <xdr:rowOff>19049</xdr:rowOff>
    </xdr:to>
    <xdr:graphicFrame macro="">
      <xdr:nvGraphicFramePr>
        <xdr:cNvPr id="2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0.33864</cdr:x>
      <cdr:y>0.25112</cdr:y>
    </cdr:from>
    <cdr:to>
      <cdr:x>0.33864</cdr:x>
      <cdr:y>0.25112</cdr:y>
    </cdr:to>
    <cdr:sp macro="" textlink="">
      <cdr:nvSpPr>
        <cdr:cNvPr id="233473" name="Text 4"/>
        <cdr:cNvSpPr txBox="1">
          <a:spLocks xmlns:a="http://schemas.openxmlformats.org/drawingml/2006/main" noChangeArrowheads="1"/>
        </cdr:cNvSpPr>
      </cdr:nvSpPr>
      <cdr:spPr bwMode="auto">
        <a:xfrm xmlns:a="http://schemas.openxmlformats.org/drawingml/2006/main">
          <a:off x="1048248" y="926452"/>
          <a:ext cx="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0.33864</cdr:x>
      <cdr:y>0.56648</cdr:y>
    </cdr:from>
    <cdr:to>
      <cdr:x>0.33864</cdr:x>
      <cdr:y>0.56648</cdr:y>
    </cdr:to>
    <cdr:sp macro="" textlink="">
      <cdr:nvSpPr>
        <cdr:cNvPr id="233474" name="Text 5"/>
        <cdr:cNvSpPr txBox="1">
          <a:spLocks xmlns:a="http://schemas.openxmlformats.org/drawingml/2006/main" noChangeArrowheads="1"/>
        </cdr:cNvSpPr>
      </cdr:nvSpPr>
      <cdr:spPr bwMode="auto">
        <a:xfrm xmlns:a="http://schemas.openxmlformats.org/drawingml/2006/main">
          <a:off x="1048248" y="2085931"/>
          <a:ext cx="0" cy="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cdr:spPr>
      <cdr:txBody>
        <a:bodyPr xmlns:a="http://schemas.openxmlformats.org/drawingml/2006/main" vertOverflow="clip" vert="vert270" wrap="square" lIns="27432" tIns="22860" rIns="0" bIns="0" anchor="t" upright="1"/>
        <a:lstStyle xmlns:a="http://schemas.openxmlformats.org/drawingml/2006/main"/>
        <a:p xmlns:a="http://schemas.openxmlformats.org/drawingml/2006/main">
          <a:pPr algn="r" rtl="0">
            <a:defRPr sz="1000"/>
          </a:pPr>
          <a:r>
            <a:rPr lang="en-US" sz="800" b="0" i="0" strike="noStrike">
              <a:solidFill>
                <a:srgbClr val="000000"/>
              </a:solidFill>
              <a:latin typeface="Arial"/>
              <a:cs typeface="Arial"/>
            </a:rPr>
            <a:t>No Catch Estimate</a:t>
          </a:r>
        </a:p>
      </cdr:txBody>
    </cdr:sp>
  </cdr:relSizeAnchor>
  <cdr:relSizeAnchor xmlns:cdr="http://schemas.openxmlformats.org/drawingml/2006/chartDrawing">
    <cdr:from>
      <cdr:x>0.18634</cdr:x>
      <cdr:y>0.475</cdr:y>
    </cdr:from>
    <cdr:to>
      <cdr:x>0.43167</cdr:x>
      <cdr:y>0.825</cdr:y>
    </cdr:to>
    <cdr:sp macro="" textlink="">
      <cdr:nvSpPr>
        <cdr:cNvPr id="233475" name="Text Box 3"/>
        <cdr:cNvSpPr txBox="1">
          <a:spLocks xmlns:a="http://schemas.openxmlformats.org/drawingml/2006/main" noChangeArrowheads="1"/>
        </cdr:cNvSpPr>
      </cdr:nvSpPr>
      <cdr:spPr bwMode="auto">
        <a:xfrm xmlns:a="http://schemas.openxmlformats.org/drawingml/2006/main">
          <a:off x="571500" y="1628775"/>
          <a:ext cx="752453" cy="120015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2860" rIns="27432" bIns="22860" anchor="ctr" upright="1"/>
        <a:lstStyle xmlns:a="http://schemas.openxmlformats.org/drawingml/2006/main"/>
        <a:p xmlns:a="http://schemas.openxmlformats.org/drawingml/2006/main">
          <a:pPr algn="ctr" rtl="0">
            <a:defRPr sz="1000"/>
          </a:pPr>
          <a:r>
            <a:rPr lang="en-US" sz="600" b="0" i="0" strike="noStrike">
              <a:solidFill>
                <a:srgbClr val="000000"/>
              </a:solidFill>
              <a:latin typeface="Arial"/>
              <a:cs typeface="Arial"/>
            </a:rPr>
            <a:t>No Catch Estimate</a:t>
          </a:r>
        </a:p>
      </cdr:txBody>
    </cdr:sp>
  </cdr:relSizeAnchor>
</c:userShapes>
</file>

<file path=xl/drawings/drawing27.xml><?xml version="1.0" encoding="utf-8"?>
<c:userShapes xmlns:c="http://schemas.openxmlformats.org/drawingml/2006/chart">
  <cdr:relSizeAnchor xmlns:cdr="http://schemas.openxmlformats.org/drawingml/2006/chartDrawing">
    <cdr:from>
      <cdr:x>0.45595</cdr:x>
      <cdr:y>0.25284</cdr:y>
    </cdr:from>
    <cdr:to>
      <cdr:x>0.45595</cdr:x>
      <cdr:y>0.25284</cdr:y>
    </cdr:to>
    <cdr:sp macro="" textlink="">
      <cdr:nvSpPr>
        <cdr:cNvPr id="630785" name="Text Box 1"/>
        <cdr:cNvSpPr txBox="1">
          <a:spLocks xmlns:a="http://schemas.openxmlformats.org/drawingml/2006/main" noChangeArrowheads="1"/>
        </cdr:cNvSpPr>
      </cdr:nvSpPr>
      <cdr:spPr bwMode="auto">
        <a:xfrm xmlns:a="http://schemas.openxmlformats.org/drawingml/2006/main">
          <a:off x="2760960" y="68230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0.38607</cdr:x>
      <cdr:y>0.3435</cdr:y>
    </cdr:from>
    <cdr:to>
      <cdr:x>0.38607</cdr:x>
      <cdr:y>0.3435</cdr:y>
    </cdr:to>
    <cdr:sp macro="" textlink="">
      <cdr:nvSpPr>
        <cdr:cNvPr id="630786" name="Text Box 2"/>
        <cdr:cNvSpPr txBox="1">
          <a:spLocks xmlns:a="http://schemas.openxmlformats.org/drawingml/2006/main" noChangeArrowheads="1"/>
        </cdr:cNvSpPr>
      </cdr:nvSpPr>
      <cdr:spPr bwMode="auto">
        <a:xfrm xmlns:a="http://schemas.openxmlformats.org/drawingml/2006/main">
          <a:off x="2338288" y="92584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0.31545</cdr:x>
      <cdr:y>0.36231</cdr:y>
    </cdr:from>
    <cdr:to>
      <cdr:x>0.31545</cdr:x>
      <cdr:y>0.36231</cdr:y>
    </cdr:to>
    <cdr:sp macro="" textlink="">
      <cdr:nvSpPr>
        <cdr:cNvPr id="630787" name="Text Box 3"/>
        <cdr:cNvSpPr txBox="1">
          <a:spLocks xmlns:a="http://schemas.openxmlformats.org/drawingml/2006/main" noChangeArrowheads="1"/>
        </cdr:cNvSpPr>
      </cdr:nvSpPr>
      <cdr:spPr bwMode="auto">
        <a:xfrm xmlns:a="http://schemas.openxmlformats.org/drawingml/2006/main">
          <a:off x="1911152" y="97636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0.25541</cdr:x>
      <cdr:y>0.39149</cdr:y>
    </cdr:from>
    <cdr:to>
      <cdr:x>0.25541</cdr:x>
      <cdr:y>0.39149</cdr:y>
    </cdr:to>
    <cdr:sp macro="" textlink="">
      <cdr:nvSpPr>
        <cdr:cNvPr id="630788" name="Text Box 4"/>
        <cdr:cNvSpPr txBox="1">
          <a:spLocks xmlns:a="http://schemas.openxmlformats.org/drawingml/2006/main" noChangeArrowheads="1"/>
        </cdr:cNvSpPr>
      </cdr:nvSpPr>
      <cdr:spPr bwMode="auto">
        <a:xfrm xmlns:a="http://schemas.openxmlformats.org/drawingml/2006/main">
          <a:off x="1548011" y="105473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0.18159</cdr:x>
      <cdr:y>0.36955</cdr:y>
    </cdr:from>
    <cdr:to>
      <cdr:x>0.18159</cdr:x>
      <cdr:y>0.36955</cdr:y>
    </cdr:to>
    <cdr:sp macro="" textlink="">
      <cdr:nvSpPr>
        <cdr:cNvPr id="630789" name="Text Box 5"/>
        <cdr:cNvSpPr txBox="1">
          <a:spLocks xmlns:a="http://schemas.openxmlformats.org/drawingml/2006/main" noChangeArrowheads="1"/>
        </cdr:cNvSpPr>
      </cdr:nvSpPr>
      <cdr:spPr bwMode="auto">
        <a:xfrm xmlns:a="http://schemas.openxmlformats.org/drawingml/2006/main">
          <a:off x="1101527" y="99579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0.14491</cdr:x>
      <cdr:y>0.2377</cdr:y>
    </cdr:from>
    <cdr:to>
      <cdr:x>0.31814</cdr:x>
      <cdr:y>0.35465</cdr:y>
    </cdr:to>
    <cdr:sp macro="" textlink="">
      <cdr:nvSpPr>
        <cdr:cNvPr id="630790" name="Text Box 6"/>
        <cdr:cNvSpPr txBox="1">
          <a:spLocks xmlns:a="http://schemas.openxmlformats.org/drawingml/2006/main" noChangeArrowheads="1"/>
        </cdr:cNvSpPr>
      </cdr:nvSpPr>
      <cdr:spPr bwMode="auto">
        <a:xfrm xmlns:a="http://schemas.openxmlformats.org/drawingml/2006/main">
          <a:off x="875072" y="636213"/>
          <a:ext cx="1046110" cy="3130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strike="noStrike">
              <a:solidFill>
                <a:srgbClr val="000000"/>
              </a:solidFill>
              <a:latin typeface="Arial"/>
              <a:cs typeface="Arial"/>
            </a:rPr>
            <a:t>No Marine</a:t>
          </a:r>
        </a:p>
        <a:p xmlns:a="http://schemas.openxmlformats.org/drawingml/2006/main">
          <a:pPr algn="ctr" rtl="0">
            <a:defRPr sz="1000"/>
          </a:pPr>
          <a:r>
            <a:rPr lang="en-US" sz="800" b="1" i="0" strike="noStrike">
              <a:solidFill>
                <a:srgbClr val="000000"/>
              </a:solidFill>
              <a:latin typeface="Arial"/>
              <a:cs typeface="Arial"/>
            </a:rPr>
            <a:t>Catch Estimates</a:t>
          </a:r>
        </a:p>
      </cdr:txBody>
    </cdr:sp>
  </cdr:relSizeAnchor>
  <cdr:relSizeAnchor xmlns:cdr="http://schemas.openxmlformats.org/drawingml/2006/chartDrawing">
    <cdr:from>
      <cdr:x>0.1624</cdr:x>
      <cdr:y>0.34875</cdr:y>
    </cdr:from>
    <cdr:to>
      <cdr:x>0.18612</cdr:x>
      <cdr:y>0.47902</cdr:y>
    </cdr:to>
    <cdr:sp macro="" textlink="">
      <cdr:nvSpPr>
        <cdr:cNvPr id="630791" name="Freeform 7"/>
        <cdr:cNvSpPr>
          <a:spLocks xmlns:a="http://schemas.openxmlformats.org/drawingml/2006/main"/>
        </cdr:cNvSpPr>
      </cdr:nvSpPr>
      <cdr:spPr bwMode="auto">
        <a:xfrm xmlns:a="http://schemas.openxmlformats.org/drawingml/2006/main">
          <a:off x="980709" y="933450"/>
          <a:ext cx="143241" cy="348659"/>
        </a:xfrm>
        <a:custGeom xmlns:a="http://schemas.openxmlformats.org/drawingml/2006/main">
          <a:avLst/>
          <a:gdLst/>
          <a:ahLst/>
          <a:cxnLst>
            <a:cxn ang="0">
              <a:pos x="190500" y="0"/>
            </a:cxn>
            <a:cxn ang="0">
              <a:pos x="0" y="361950"/>
            </a:cxn>
          </a:cxnLst>
          <a:rect l="0" t="0" r="r" b="b"/>
          <a:pathLst>
            <a:path w="190500" h="361950">
              <a:moveTo>
                <a:pt x="190500" y="0"/>
              </a:moveTo>
              <a:lnTo>
                <a:pt x="0" y="361950"/>
              </a:lnTo>
            </a:path>
          </a:pathLst>
        </a:custGeom>
        <a:noFill xmlns:a="http://schemas.openxmlformats.org/drawingml/2006/main"/>
        <a:ln xmlns:a="http://schemas.openxmlformats.org/drawingml/2006/main" w="0" cap="flat" cmpd="sng">
          <a:solidFill>
            <a:srgbClr val="000000"/>
          </a:solidFill>
          <a:prstDash val="solid"/>
          <a:round/>
          <a:headEnd type="none" w="med" len="me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0.2819</cdr:x>
      <cdr:y>0.35026</cdr:y>
    </cdr:from>
    <cdr:to>
      <cdr:x>0.29444</cdr:x>
      <cdr:y>0.39004</cdr:y>
    </cdr:to>
    <cdr:sp macro="" textlink="">
      <cdr:nvSpPr>
        <cdr:cNvPr id="630792" name="Freeform 8"/>
        <cdr:cNvSpPr>
          <a:spLocks xmlns:a="http://schemas.openxmlformats.org/drawingml/2006/main"/>
        </cdr:cNvSpPr>
      </cdr:nvSpPr>
      <cdr:spPr bwMode="auto">
        <a:xfrm xmlns:a="http://schemas.openxmlformats.org/drawingml/2006/main">
          <a:off x="1702345" y="937480"/>
          <a:ext cx="75727" cy="106472"/>
        </a:xfrm>
        <a:custGeom xmlns:a="http://schemas.openxmlformats.org/drawingml/2006/main">
          <a:avLst/>
          <a:gdLst/>
          <a:ahLst/>
          <a:cxnLst>
            <a:cxn ang="0">
              <a:pos x="0" y="0"/>
            </a:cxn>
            <a:cxn ang="0">
              <a:pos x="76200" y="114300"/>
            </a:cxn>
          </a:cxnLst>
          <a:rect l="0" t="0" r="r" b="b"/>
          <a:pathLst>
            <a:path w="76200" h="114300">
              <a:moveTo>
                <a:pt x="0" y="0"/>
              </a:moveTo>
              <a:lnTo>
                <a:pt x="76200" y="114300"/>
              </a:lnTo>
            </a:path>
          </a:pathLst>
        </a:custGeom>
        <a:noFill xmlns:a="http://schemas.openxmlformats.org/drawingml/2006/main"/>
        <a:ln xmlns:a="http://schemas.openxmlformats.org/drawingml/2006/main" w="0" cap="flat" cmpd="sng">
          <a:solidFill>
            <a:srgbClr val="000000"/>
          </a:solidFill>
          <a:prstDash val="solid"/>
          <a:round/>
          <a:headEnd type="none" w="med" len="me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28.xml><?xml version="1.0" encoding="utf-8"?>
<c:userShapes xmlns:c="http://schemas.openxmlformats.org/drawingml/2006/chart">
  <cdr:relSizeAnchor xmlns:cdr="http://schemas.openxmlformats.org/drawingml/2006/chartDrawing">
    <cdr:from>
      <cdr:x>0.47687</cdr:x>
      <cdr:y>0.23567</cdr:y>
    </cdr:from>
    <cdr:to>
      <cdr:x>0.47687</cdr:x>
      <cdr:y>0.23567</cdr:y>
    </cdr:to>
    <cdr:sp macro="" textlink="">
      <cdr:nvSpPr>
        <cdr:cNvPr id="631809" name="Text Box 1025"/>
        <cdr:cNvSpPr txBox="1">
          <a:spLocks xmlns:a="http://schemas.openxmlformats.org/drawingml/2006/main" noChangeArrowheads="1"/>
        </cdr:cNvSpPr>
      </cdr:nvSpPr>
      <cdr:spPr bwMode="auto">
        <a:xfrm xmlns:a="http://schemas.openxmlformats.org/drawingml/2006/main">
          <a:off x="2892003" y="56886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0.40969</cdr:x>
      <cdr:y>0.3149</cdr:y>
    </cdr:from>
    <cdr:to>
      <cdr:x>0.40969</cdr:x>
      <cdr:y>0.3149</cdr:y>
    </cdr:to>
    <cdr:sp macro="" textlink="">
      <cdr:nvSpPr>
        <cdr:cNvPr id="631810" name="Text Box 1026"/>
        <cdr:cNvSpPr txBox="1">
          <a:spLocks xmlns:a="http://schemas.openxmlformats.org/drawingml/2006/main" noChangeArrowheads="1"/>
        </cdr:cNvSpPr>
      </cdr:nvSpPr>
      <cdr:spPr bwMode="auto">
        <a:xfrm xmlns:a="http://schemas.openxmlformats.org/drawingml/2006/main">
          <a:off x="2485052" y="759027"/>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0.34104</cdr:x>
      <cdr:y>0.33074</cdr:y>
    </cdr:from>
    <cdr:to>
      <cdr:x>0.34104</cdr:x>
      <cdr:y>0.33074</cdr:y>
    </cdr:to>
    <cdr:sp macro="" textlink="">
      <cdr:nvSpPr>
        <cdr:cNvPr id="631811" name="Text Box 1027"/>
        <cdr:cNvSpPr txBox="1">
          <a:spLocks xmlns:a="http://schemas.openxmlformats.org/drawingml/2006/main" noChangeArrowheads="1"/>
        </cdr:cNvSpPr>
      </cdr:nvSpPr>
      <cdr:spPr bwMode="auto">
        <a:xfrm xmlns:a="http://schemas.openxmlformats.org/drawingml/2006/main">
          <a:off x="2069157" y="79706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0.28198</cdr:x>
      <cdr:y>0.35691</cdr:y>
    </cdr:from>
    <cdr:to>
      <cdr:x>0.28198</cdr:x>
      <cdr:y>0.35691</cdr:y>
    </cdr:to>
    <cdr:sp macro="" textlink="">
      <cdr:nvSpPr>
        <cdr:cNvPr id="631812" name="Text Box 1028"/>
        <cdr:cNvSpPr txBox="1">
          <a:spLocks xmlns:a="http://schemas.openxmlformats.org/drawingml/2006/main" noChangeArrowheads="1"/>
        </cdr:cNvSpPr>
      </cdr:nvSpPr>
      <cdr:spPr bwMode="auto">
        <a:xfrm xmlns:a="http://schemas.openxmlformats.org/drawingml/2006/main">
          <a:off x="1711398" y="85987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0.21259</cdr:x>
      <cdr:y>0.33843</cdr:y>
    </cdr:from>
    <cdr:to>
      <cdr:x>0.21259</cdr:x>
      <cdr:y>0.33843</cdr:y>
    </cdr:to>
    <cdr:sp macro="" textlink="">
      <cdr:nvSpPr>
        <cdr:cNvPr id="631813" name="Text Box 1029"/>
        <cdr:cNvSpPr txBox="1">
          <a:spLocks xmlns:a="http://schemas.openxmlformats.org/drawingml/2006/main" noChangeArrowheads="1"/>
        </cdr:cNvSpPr>
      </cdr:nvSpPr>
      <cdr:spPr bwMode="auto">
        <a:xfrm xmlns:a="http://schemas.openxmlformats.org/drawingml/2006/main">
          <a:off x="1291031" y="81550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0.15334</cdr:x>
      <cdr:y>0.2519</cdr:y>
    </cdr:from>
    <cdr:to>
      <cdr:x>0.55123</cdr:x>
      <cdr:y>0.37482</cdr:y>
    </cdr:to>
    <cdr:sp macro="" textlink="">
      <cdr:nvSpPr>
        <cdr:cNvPr id="631814" name="Text Box 1030"/>
        <cdr:cNvSpPr txBox="1">
          <a:spLocks xmlns:a="http://schemas.openxmlformats.org/drawingml/2006/main" noChangeArrowheads="1"/>
        </cdr:cNvSpPr>
      </cdr:nvSpPr>
      <cdr:spPr bwMode="auto">
        <a:xfrm xmlns:a="http://schemas.openxmlformats.org/drawingml/2006/main">
          <a:off x="927482" y="602236"/>
          <a:ext cx="2406588" cy="29387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strike="noStrike">
              <a:solidFill>
                <a:srgbClr val="000000"/>
              </a:solidFill>
              <a:latin typeface="Arial"/>
              <a:cs typeface="Arial"/>
            </a:rPr>
            <a:t>No Catch Estimates</a:t>
          </a:r>
        </a:p>
      </cdr:txBody>
    </cdr:sp>
  </cdr:relSizeAnchor>
  <cdr:relSizeAnchor xmlns:cdr="http://schemas.openxmlformats.org/drawingml/2006/chartDrawing">
    <cdr:from>
      <cdr:x>0.1682</cdr:x>
      <cdr:y>0.35458</cdr:y>
    </cdr:from>
    <cdr:to>
      <cdr:x>0.24724</cdr:x>
      <cdr:y>0.51532</cdr:y>
    </cdr:to>
    <cdr:sp macro="" textlink="">
      <cdr:nvSpPr>
        <cdr:cNvPr id="631815" name="Freeform 1031"/>
        <cdr:cNvSpPr>
          <a:spLocks xmlns:a="http://schemas.openxmlformats.org/drawingml/2006/main"/>
        </cdr:cNvSpPr>
      </cdr:nvSpPr>
      <cdr:spPr bwMode="auto">
        <a:xfrm xmlns:a="http://schemas.openxmlformats.org/drawingml/2006/main">
          <a:off x="1017334" y="847725"/>
          <a:ext cx="478092" cy="384293"/>
        </a:xfrm>
        <a:custGeom xmlns:a="http://schemas.openxmlformats.org/drawingml/2006/main">
          <a:avLst/>
          <a:gdLst/>
          <a:ahLst/>
          <a:cxnLst>
            <a:cxn ang="0">
              <a:pos x="952500" y="0"/>
            </a:cxn>
            <a:cxn ang="0">
              <a:pos x="0" y="533400"/>
            </a:cxn>
          </a:cxnLst>
          <a:rect l="0" t="0" r="r" b="b"/>
          <a:pathLst>
            <a:path w="952500" h="533400">
              <a:moveTo>
                <a:pt x="952500" y="0"/>
              </a:moveTo>
              <a:lnTo>
                <a:pt x="0" y="533400"/>
              </a:lnTo>
            </a:path>
          </a:pathLst>
        </a:custGeom>
        <a:noFill xmlns:a="http://schemas.openxmlformats.org/drawingml/2006/main"/>
        <a:ln xmlns:a="http://schemas.openxmlformats.org/drawingml/2006/main" w="0">
          <a:solidFill>
            <a:srgbClr val="000000"/>
          </a:solidFill>
          <a:round/>
          <a:headEn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0.45354</cdr:x>
      <cdr:y>0.34661</cdr:y>
    </cdr:from>
    <cdr:to>
      <cdr:x>0.53228</cdr:x>
      <cdr:y>0.52191</cdr:y>
    </cdr:to>
    <cdr:sp macro="" textlink="">
      <cdr:nvSpPr>
        <cdr:cNvPr id="631816" name="Freeform 1032"/>
        <cdr:cNvSpPr>
          <a:spLocks xmlns:a="http://schemas.openxmlformats.org/drawingml/2006/main"/>
        </cdr:cNvSpPr>
      </cdr:nvSpPr>
      <cdr:spPr bwMode="auto">
        <a:xfrm xmlns:a="http://schemas.openxmlformats.org/drawingml/2006/main">
          <a:off x="2743201" y="828674"/>
          <a:ext cx="476250" cy="419101"/>
        </a:xfrm>
        <a:custGeom xmlns:a="http://schemas.openxmlformats.org/drawingml/2006/main">
          <a:avLst/>
          <a:gdLst/>
          <a:ahLst/>
          <a:cxnLst>
            <a:cxn ang="0">
              <a:pos x="0" y="0"/>
            </a:cxn>
            <a:cxn ang="0">
              <a:pos x="809625" y="533400"/>
            </a:cxn>
          </a:cxnLst>
          <a:rect l="0" t="0" r="r" b="b"/>
          <a:pathLst>
            <a:path w="809625" h="533400">
              <a:moveTo>
                <a:pt x="0" y="0"/>
              </a:moveTo>
              <a:lnTo>
                <a:pt x="809625" y="533400"/>
              </a:lnTo>
            </a:path>
          </a:pathLst>
        </a:custGeom>
        <a:noFill xmlns:a="http://schemas.openxmlformats.org/drawingml/2006/main"/>
        <a:ln xmlns:a="http://schemas.openxmlformats.org/drawingml/2006/main" w="0">
          <a:solidFill>
            <a:srgbClr val="000000"/>
          </a:solidFill>
          <a:round/>
          <a:headEn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29.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userShapes>
</file>

<file path=xl/drawings/drawing30.xml><?xml version="1.0" encoding="utf-8"?>
<c:userShapes xmlns:c="http://schemas.openxmlformats.org/drawingml/2006/chart">
  <cdr:relSizeAnchor xmlns:cdr="http://schemas.openxmlformats.org/drawingml/2006/chartDrawing">
    <cdr:from>
      <cdr:x>0.20225</cdr:x>
      <cdr:y>0.22175</cdr:y>
    </cdr:from>
    <cdr:to>
      <cdr:x>0.20225</cdr:x>
      <cdr:y>0.22175</cdr:y>
    </cdr:to>
    <cdr:sp macro="" textlink="">
      <cdr:nvSpPr>
        <cdr:cNvPr id="657409" name="Text 4"/>
        <cdr:cNvSpPr txBox="1">
          <a:spLocks xmlns:a="http://schemas.openxmlformats.org/drawingml/2006/main" noChangeArrowheads="1"/>
        </cdr:cNvSpPr>
      </cdr:nvSpPr>
      <cdr:spPr bwMode="auto">
        <a:xfrm xmlns:a="http://schemas.openxmlformats.org/drawingml/2006/main">
          <a:off x="1230305" y="894525"/>
          <a:ext cx="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0.20225</cdr:x>
      <cdr:y>0.51172</cdr:y>
    </cdr:from>
    <cdr:to>
      <cdr:x>0.20225</cdr:x>
      <cdr:y>0.51172</cdr:y>
    </cdr:to>
    <cdr:sp macro="" textlink="">
      <cdr:nvSpPr>
        <cdr:cNvPr id="657410" name="Text 5"/>
        <cdr:cNvSpPr txBox="1">
          <a:spLocks xmlns:a="http://schemas.openxmlformats.org/drawingml/2006/main" noChangeArrowheads="1"/>
        </cdr:cNvSpPr>
      </cdr:nvSpPr>
      <cdr:spPr bwMode="auto">
        <a:xfrm xmlns:a="http://schemas.openxmlformats.org/drawingml/2006/main">
          <a:off x="1230305" y="2060042"/>
          <a:ext cx="0" cy="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cdr:spPr>
      <cdr:txBody>
        <a:bodyPr xmlns:a="http://schemas.openxmlformats.org/drawingml/2006/main" vertOverflow="clip" vert="vert270" wrap="square" lIns="27432" tIns="22860" rIns="0" bIns="0" anchor="t" upright="1"/>
        <a:lstStyle xmlns:a="http://schemas.openxmlformats.org/drawingml/2006/main"/>
        <a:p xmlns:a="http://schemas.openxmlformats.org/drawingml/2006/main">
          <a:pPr algn="r" rtl="0">
            <a:defRPr sz="1000"/>
          </a:pPr>
          <a:r>
            <a:rPr lang="en-US" sz="800" b="0" i="0" strike="noStrike">
              <a:solidFill>
                <a:srgbClr val="000000"/>
              </a:solidFill>
              <a:latin typeface="Arial"/>
              <a:cs typeface="Arial"/>
            </a:rPr>
            <a:t>No Catch Estimate</a:t>
          </a:r>
        </a:p>
      </cdr:txBody>
    </cdr:sp>
  </cdr:relSizeAnchor>
</c:userShapes>
</file>

<file path=xl/drawings/drawing31.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0.15482</cdr:x>
      <cdr:y>0.42904</cdr:y>
    </cdr:from>
    <cdr:to>
      <cdr:x>0.27646</cdr:x>
      <cdr:y>0.84488</cdr:y>
    </cdr:to>
    <cdr:sp macro="" textlink="">
      <cdr:nvSpPr>
        <cdr:cNvPr id="7" name="Text Box 3"/>
        <cdr:cNvSpPr txBox="1">
          <a:spLocks xmlns:a="http://schemas.openxmlformats.org/drawingml/2006/main" noChangeArrowheads="1"/>
        </cdr:cNvSpPr>
      </cdr:nvSpPr>
      <cdr:spPr bwMode="auto">
        <a:xfrm xmlns:a="http://schemas.openxmlformats.org/drawingml/2006/main">
          <a:off x="933450" y="1238250"/>
          <a:ext cx="733423" cy="120015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vert270" wrap="square" lIns="27432" tIns="22860" rIns="27432" bIns="22860" anchor="ctr"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rtl="0">
            <a:defRPr sz="1000"/>
          </a:pPr>
          <a:r>
            <a:rPr lang="en-US" sz="900" b="0" i="0" strike="noStrike">
              <a:solidFill>
                <a:srgbClr val="000000"/>
              </a:solidFill>
              <a:latin typeface="Arial"/>
              <a:cs typeface="Arial"/>
            </a:rPr>
            <a:t>No Catch Estimate</a:t>
          </a:r>
        </a:p>
      </cdr:txBody>
    </cdr:sp>
  </cdr:relSizeAnchor>
</c:userShapes>
</file>

<file path=xl/drawings/drawing32.xml><?xml version="1.0" encoding="utf-8"?>
<c:userShapes xmlns:c="http://schemas.openxmlformats.org/drawingml/2006/chart">
  <cdr:relSizeAnchor xmlns:cdr="http://schemas.openxmlformats.org/drawingml/2006/chartDrawing">
    <cdr:from>
      <cdr:x>0.47687</cdr:x>
      <cdr:y>0.23567</cdr:y>
    </cdr:from>
    <cdr:to>
      <cdr:x>0.47687</cdr:x>
      <cdr:y>0.23567</cdr:y>
    </cdr:to>
    <cdr:sp macro="" textlink="">
      <cdr:nvSpPr>
        <cdr:cNvPr id="631809" name="Text Box 1025"/>
        <cdr:cNvSpPr txBox="1">
          <a:spLocks xmlns:a="http://schemas.openxmlformats.org/drawingml/2006/main" noChangeArrowheads="1"/>
        </cdr:cNvSpPr>
      </cdr:nvSpPr>
      <cdr:spPr bwMode="auto">
        <a:xfrm xmlns:a="http://schemas.openxmlformats.org/drawingml/2006/main">
          <a:off x="2892003" y="56886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0.40969</cdr:x>
      <cdr:y>0.3149</cdr:y>
    </cdr:from>
    <cdr:to>
      <cdr:x>0.40969</cdr:x>
      <cdr:y>0.3149</cdr:y>
    </cdr:to>
    <cdr:sp macro="" textlink="">
      <cdr:nvSpPr>
        <cdr:cNvPr id="631810" name="Text Box 1026"/>
        <cdr:cNvSpPr txBox="1">
          <a:spLocks xmlns:a="http://schemas.openxmlformats.org/drawingml/2006/main" noChangeArrowheads="1"/>
        </cdr:cNvSpPr>
      </cdr:nvSpPr>
      <cdr:spPr bwMode="auto">
        <a:xfrm xmlns:a="http://schemas.openxmlformats.org/drawingml/2006/main">
          <a:off x="2485052" y="759027"/>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0.34104</cdr:x>
      <cdr:y>0.33074</cdr:y>
    </cdr:from>
    <cdr:to>
      <cdr:x>0.34104</cdr:x>
      <cdr:y>0.33074</cdr:y>
    </cdr:to>
    <cdr:sp macro="" textlink="">
      <cdr:nvSpPr>
        <cdr:cNvPr id="631811" name="Text Box 1027"/>
        <cdr:cNvSpPr txBox="1">
          <a:spLocks xmlns:a="http://schemas.openxmlformats.org/drawingml/2006/main" noChangeArrowheads="1"/>
        </cdr:cNvSpPr>
      </cdr:nvSpPr>
      <cdr:spPr bwMode="auto">
        <a:xfrm xmlns:a="http://schemas.openxmlformats.org/drawingml/2006/main">
          <a:off x="2069157" y="79706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0.28198</cdr:x>
      <cdr:y>0.35691</cdr:y>
    </cdr:from>
    <cdr:to>
      <cdr:x>0.28198</cdr:x>
      <cdr:y>0.35691</cdr:y>
    </cdr:to>
    <cdr:sp macro="" textlink="">
      <cdr:nvSpPr>
        <cdr:cNvPr id="631812" name="Text Box 1028"/>
        <cdr:cNvSpPr txBox="1">
          <a:spLocks xmlns:a="http://schemas.openxmlformats.org/drawingml/2006/main" noChangeArrowheads="1"/>
        </cdr:cNvSpPr>
      </cdr:nvSpPr>
      <cdr:spPr bwMode="auto">
        <a:xfrm xmlns:a="http://schemas.openxmlformats.org/drawingml/2006/main">
          <a:off x="1711398" y="859873"/>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0.21259</cdr:x>
      <cdr:y>0.33843</cdr:y>
    </cdr:from>
    <cdr:to>
      <cdr:x>0.21259</cdr:x>
      <cdr:y>0.33843</cdr:y>
    </cdr:to>
    <cdr:sp macro="" textlink="">
      <cdr:nvSpPr>
        <cdr:cNvPr id="631813" name="Text Box 1029"/>
        <cdr:cNvSpPr txBox="1">
          <a:spLocks xmlns:a="http://schemas.openxmlformats.org/drawingml/2006/main" noChangeArrowheads="1"/>
        </cdr:cNvSpPr>
      </cdr:nvSpPr>
      <cdr:spPr bwMode="auto">
        <a:xfrm xmlns:a="http://schemas.openxmlformats.org/drawingml/2006/main">
          <a:off x="1291031" y="81550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525" b="0" i="0" strike="noStrike">
              <a:solidFill>
                <a:srgbClr val="000000"/>
              </a:solidFill>
              <a:latin typeface="Arial"/>
              <a:cs typeface="Arial"/>
            </a:rPr>
            <a:t>No Catch Estimate</a:t>
          </a:r>
        </a:p>
      </cdr:txBody>
    </cdr:sp>
  </cdr:relSizeAnchor>
  <cdr:relSizeAnchor xmlns:cdr="http://schemas.openxmlformats.org/drawingml/2006/chartDrawing">
    <cdr:from>
      <cdr:x>0.2431</cdr:x>
      <cdr:y>0.24772</cdr:y>
    </cdr:from>
    <cdr:to>
      <cdr:x>0.64099</cdr:x>
      <cdr:y>0.36992</cdr:y>
    </cdr:to>
    <cdr:sp macro="" textlink="">
      <cdr:nvSpPr>
        <cdr:cNvPr id="631814" name="Text Box 1030"/>
        <cdr:cNvSpPr txBox="1">
          <a:spLocks xmlns:a="http://schemas.openxmlformats.org/drawingml/2006/main" noChangeArrowheads="1"/>
        </cdr:cNvSpPr>
      </cdr:nvSpPr>
      <cdr:spPr bwMode="auto">
        <a:xfrm xmlns:a="http://schemas.openxmlformats.org/drawingml/2006/main">
          <a:off x="1470383" y="638299"/>
          <a:ext cx="2406588" cy="31611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0" i="0" strike="noStrike">
              <a:solidFill>
                <a:srgbClr val="000000"/>
              </a:solidFill>
              <a:latin typeface="Arial"/>
              <a:cs typeface="Arial"/>
            </a:rPr>
            <a:t>No Catch </a:t>
          </a:r>
          <a:r>
            <a:rPr lang="en-US" sz="1200" b="0" i="0" strike="noStrike">
              <a:solidFill>
                <a:srgbClr val="000000"/>
              </a:solidFill>
              <a:latin typeface="Arial"/>
              <a:cs typeface="Arial"/>
            </a:rPr>
            <a:t>Estimates</a:t>
          </a:r>
        </a:p>
      </cdr:txBody>
    </cdr:sp>
  </cdr:relSizeAnchor>
  <cdr:relSizeAnchor xmlns:cdr="http://schemas.openxmlformats.org/drawingml/2006/chartDrawing">
    <cdr:from>
      <cdr:x>0.29449</cdr:x>
      <cdr:y>0.362</cdr:y>
    </cdr:from>
    <cdr:to>
      <cdr:x>0.34331</cdr:x>
      <cdr:y>0.60959</cdr:y>
    </cdr:to>
    <cdr:sp macro="" textlink="">
      <cdr:nvSpPr>
        <cdr:cNvPr id="631815" name="Freeform 1031"/>
        <cdr:cNvSpPr>
          <a:spLocks xmlns:a="http://schemas.openxmlformats.org/drawingml/2006/main"/>
        </cdr:cNvSpPr>
      </cdr:nvSpPr>
      <cdr:spPr bwMode="auto">
        <a:xfrm xmlns:a="http://schemas.openxmlformats.org/drawingml/2006/main">
          <a:off x="1781174" y="961106"/>
          <a:ext cx="295275" cy="658143"/>
        </a:xfrm>
        <a:custGeom xmlns:a="http://schemas.openxmlformats.org/drawingml/2006/main">
          <a:avLst/>
          <a:gdLst/>
          <a:ahLst/>
          <a:cxnLst>
            <a:cxn ang="0">
              <a:pos x="952500" y="0"/>
            </a:cxn>
            <a:cxn ang="0">
              <a:pos x="0" y="533400"/>
            </a:cxn>
          </a:cxnLst>
          <a:rect l="0" t="0" r="r" b="b"/>
          <a:pathLst>
            <a:path w="952500" h="533400">
              <a:moveTo>
                <a:pt x="952500" y="0"/>
              </a:moveTo>
              <a:lnTo>
                <a:pt x="0" y="533400"/>
              </a:lnTo>
            </a:path>
          </a:pathLst>
        </a:custGeom>
        <a:noFill xmlns:a="http://schemas.openxmlformats.org/drawingml/2006/main"/>
        <a:ln xmlns:a="http://schemas.openxmlformats.org/drawingml/2006/main" w="0">
          <a:solidFill>
            <a:srgbClr val="000000"/>
          </a:solidFill>
          <a:round/>
          <a:headEn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0.53228</cdr:x>
      <cdr:y>0.36571</cdr:y>
    </cdr:from>
    <cdr:to>
      <cdr:x>0.6063</cdr:x>
      <cdr:y>0.60959</cdr:y>
    </cdr:to>
    <cdr:sp macro="" textlink="">
      <cdr:nvSpPr>
        <cdr:cNvPr id="631816" name="Freeform 1032"/>
        <cdr:cNvSpPr>
          <a:spLocks xmlns:a="http://schemas.openxmlformats.org/drawingml/2006/main"/>
        </cdr:cNvSpPr>
      </cdr:nvSpPr>
      <cdr:spPr bwMode="auto">
        <a:xfrm xmlns:a="http://schemas.openxmlformats.org/drawingml/2006/main">
          <a:off x="3219450" y="970915"/>
          <a:ext cx="447675" cy="648335"/>
        </a:xfrm>
        <a:custGeom xmlns:a="http://schemas.openxmlformats.org/drawingml/2006/main">
          <a:avLst/>
          <a:gdLst/>
          <a:ahLst/>
          <a:cxnLst>
            <a:cxn ang="0">
              <a:pos x="0" y="0"/>
            </a:cxn>
            <a:cxn ang="0">
              <a:pos x="809625" y="533400"/>
            </a:cxn>
          </a:cxnLst>
          <a:rect l="0" t="0" r="r" b="b"/>
          <a:pathLst>
            <a:path w="809625" h="533400">
              <a:moveTo>
                <a:pt x="0" y="0"/>
              </a:moveTo>
              <a:lnTo>
                <a:pt x="809625" y="533400"/>
              </a:lnTo>
            </a:path>
          </a:pathLst>
        </a:custGeom>
        <a:noFill xmlns:a="http://schemas.openxmlformats.org/drawingml/2006/main"/>
        <a:ln xmlns:a="http://schemas.openxmlformats.org/drawingml/2006/main" w="0">
          <a:solidFill>
            <a:srgbClr val="000000"/>
          </a:solidFill>
          <a:round/>
          <a:headEn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33.xml><?xml version="1.0" encoding="utf-8"?>
<c:userShapes xmlns:c="http://schemas.openxmlformats.org/drawingml/2006/chart">
  <cdr:relSizeAnchor xmlns:cdr="http://schemas.openxmlformats.org/drawingml/2006/chartDrawing">
    <cdr:from>
      <cdr:x>0.46407</cdr:x>
      <cdr:y>0.27109</cdr:y>
    </cdr:from>
    <cdr:to>
      <cdr:x>0.46407</cdr:x>
      <cdr:y>0.27109</cdr:y>
    </cdr:to>
    <cdr:sp macro="" textlink="">
      <cdr:nvSpPr>
        <cdr:cNvPr id="527361" name="Text Box 1"/>
        <cdr:cNvSpPr txBox="1">
          <a:spLocks xmlns:a="http://schemas.openxmlformats.org/drawingml/2006/main" noChangeArrowheads="1"/>
        </cdr:cNvSpPr>
      </cdr:nvSpPr>
      <cdr:spPr bwMode="auto">
        <a:xfrm xmlns:a="http://schemas.openxmlformats.org/drawingml/2006/main">
          <a:off x="2814488" y="99987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0.39468</cdr:x>
      <cdr:y>0.37385</cdr:y>
    </cdr:from>
    <cdr:to>
      <cdr:x>0.39468</cdr:x>
      <cdr:y>0.37385</cdr:y>
    </cdr:to>
    <cdr:sp macro="" textlink="">
      <cdr:nvSpPr>
        <cdr:cNvPr id="527362" name="Text Box 2"/>
        <cdr:cNvSpPr txBox="1">
          <a:spLocks xmlns:a="http://schemas.openxmlformats.org/drawingml/2006/main" noChangeArrowheads="1"/>
        </cdr:cNvSpPr>
      </cdr:nvSpPr>
      <cdr:spPr bwMode="auto">
        <a:xfrm xmlns:a="http://schemas.openxmlformats.org/drawingml/2006/main">
          <a:off x="2394121" y="1377709"/>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0.32504</cdr:x>
      <cdr:y>0.39528</cdr:y>
    </cdr:from>
    <cdr:to>
      <cdr:x>0.32504</cdr:x>
      <cdr:y>0.39528</cdr:y>
    </cdr:to>
    <cdr:sp macro="" textlink="">
      <cdr:nvSpPr>
        <cdr:cNvPr id="527363" name="Text Box 3"/>
        <cdr:cNvSpPr txBox="1">
          <a:spLocks xmlns:a="http://schemas.openxmlformats.org/drawingml/2006/main" noChangeArrowheads="1"/>
        </cdr:cNvSpPr>
      </cdr:nvSpPr>
      <cdr:spPr bwMode="auto">
        <a:xfrm xmlns:a="http://schemas.openxmlformats.org/drawingml/2006/main">
          <a:off x="1972264" y="1456500"/>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0.26599</cdr:x>
      <cdr:y>0.42816</cdr:y>
    </cdr:from>
    <cdr:to>
      <cdr:x>0.26599</cdr:x>
      <cdr:y>0.42816</cdr:y>
    </cdr:to>
    <cdr:sp macro="" textlink="">
      <cdr:nvSpPr>
        <cdr:cNvPr id="527364" name="Text Box 4"/>
        <cdr:cNvSpPr txBox="1">
          <a:spLocks xmlns:a="http://schemas.openxmlformats.org/drawingml/2006/main" noChangeArrowheads="1"/>
        </cdr:cNvSpPr>
      </cdr:nvSpPr>
      <cdr:spPr bwMode="auto">
        <a:xfrm xmlns:a="http://schemas.openxmlformats.org/drawingml/2006/main">
          <a:off x="1614505" y="1577372"/>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0.19266</cdr:x>
      <cdr:y>0.40356</cdr:y>
    </cdr:from>
    <cdr:to>
      <cdr:x>0.19266</cdr:x>
      <cdr:y>0.40356</cdr:y>
    </cdr:to>
    <cdr:sp macro="" textlink="">
      <cdr:nvSpPr>
        <cdr:cNvPr id="527365" name="Text Box 5"/>
        <cdr:cNvSpPr txBox="1">
          <a:spLocks xmlns:a="http://schemas.openxmlformats.org/drawingml/2006/main" noChangeArrowheads="1"/>
        </cdr:cNvSpPr>
      </cdr:nvSpPr>
      <cdr:spPr bwMode="auto">
        <a:xfrm xmlns:a="http://schemas.openxmlformats.org/drawingml/2006/main">
          <a:off x="1170288" y="148694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27432" rIns="27432" bIns="27432" anchor="ctr" upright="1"/>
        <a:lstStyle xmlns:a="http://schemas.openxmlformats.org/drawingml/2006/main"/>
        <a:p xmlns:a="http://schemas.openxmlformats.org/drawingml/2006/main">
          <a:pPr algn="ctr" rtl="0">
            <a:defRPr sz="1000"/>
          </a:pPr>
          <a:r>
            <a:rPr lang="en-US" sz="1100" b="0" i="0" strike="noStrike">
              <a:solidFill>
                <a:srgbClr val="000000"/>
              </a:solidFill>
              <a:latin typeface="Times New Roman"/>
              <a:cs typeface="Times New Roman"/>
            </a:rPr>
            <a:t>No Catch Estimate</a:t>
          </a:r>
        </a:p>
      </cdr:txBody>
    </cdr:sp>
  </cdr:relSizeAnchor>
  <cdr:relSizeAnchor xmlns:cdr="http://schemas.openxmlformats.org/drawingml/2006/chartDrawing">
    <cdr:from>
      <cdr:x>0.15846</cdr:x>
      <cdr:y>0.32618</cdr:y>
    </cdr:from>
    <cdr:to>
      <cdr:x>0.32283</cdr:x>
      <cdr:y>0.49761</cdr:y>
    </cdr:to>
    <cdr:sp macro="" textlink="">
      <cdr:nvSpPr>
        <cdr:cNvPr id="527370" name="Text Box 10"/>
        <cdr:cNvSpPr txBox="1">
          <a:spLocks xmlns:a="http://schemas.openxmlformats.org/drawingml/2006/main" noChangeArrowheads="1"/>
        </cdr:cNvSpPr>
      </cdr:nvSpPr>
      <cdr:spPr bwMode="auto">
        <a:xfrm xmlns:a="http://schemas.openxmlformats.org/drawingml/2006/main">
          <a:off x="953878" y="1015959"/>
          <a:ext cx="989523" cy="53394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0" i="0" strike="noStrike">
              <a:solidFill>
                <a:srgbClr val="000000"/>
              </a:solidFill>
              <a:latin typeface="Arial"/>
              <a:cs typeface="Arial"/>
            </a:rPr>
            <a:t>No Marine</a:t>
          </a:r>
        </a:p>
        <a:p xmlns:a="http://schemas.openxmlformats.org/drawingml/2006/main">
          <a:pPr algn="ctr" rtl="0">
            <a:defRPr sz="1000"/>
          </a:pPr>
          <a:r>
            <a:rPr lang="en-US" sz="1100" b="0" i="0" strike="noStrike">
              <a:solidFill>
                <a:srgbClr val="000000"/>
              </a:solidFill>
              <a:latin typeface="Arial"/>
              <a:cs typeface="Arial"/>
            </a:rPr>
            <a:t>Catch Estimates</a:t>
          </a:r>
        </a:p>
      </cdr:txBody>
    </cdr:sp>
  </cdr:relSizeAnchor>
  <cdr:relSizeAnchor xmlns:cdr="http://schemas.openxmlformats.org/drawingml/2006/chartDrawing">
    <cdr:from>
      <cdr:x>0.17722</cdr:x>
      <cdr:y>0.49541</cdr:y>
    </cdr:from>
    <cdr:to>
      <cdr:x>0.2057</cdr:x>
      <cdr:y>0.65749</cdr:y>
    </cdr:to>
    <cdr:sp macro="" textlink="">
      <cdr:nvSpPr>
        <cdr:cNvPr id="527372" name="Freeform 12"/>
        <cdr:cNvSpPr>
          <a:spLocks xmlns:a="http://schemas.openxmlformats.org/drawingml/2006/main"/>
        </cdr:cNvSpPr>
      </cdr:nvSpPr>
      <cdr:spPr bwMode="auto">
        <a:xfrm xmlns:a="http://schemas.openxmlformats.org/drawingml/2006/main">
          <a:off x="1066800" y="1543050"/>
          <a:ext cx="171450" cy="504825"/>
        </a:xfrm>
        <a:custGeom xmlns:a="http://schemas.openxmlformats.org/drawingml/2006/main">
          <a:avLst/>
          <a:gdLst/>
          <a:ahLst/>
          <a:cxnLst>
            <a:cxn ang="0">
              <a:pos x="200025" y="0"/>
            </a:cxn>
            <a:cxn ang="0">
              <a:pos x="0" y="619125"/>
            </a:cxn>
          </a:cxnLst>
          <a:rect l="0" t="0" r="r" b="b"/>
          <a:pathLst>
            <a:path w="200025" h="619125">
              <a:moveTo>
                <a:pt x="200025" y="0"/>
              </a:moveTo>
              <a:lnTo>
                <a:pt x="0" y="619125"/>
              </a:lnTo>
            </a:path>
          </a:pathLst>
        </a:custGeom>
        <a:noFill xmlns:a="http://schemas.openxmlformats.org/drawingml/2006/main"/>
        <a:ln xmlns:a="http://schemas.openxmlformats.org/drawingml/2006/main" w="0" cap="flat" cmpd="sng">
          <a:solidFill>
            <a:srgbClr val="000000"/>
          </a:solidFill>
          <a:prstDash val="solid"/>
          <a:round/>
          <a:headEnd type="none" w="med" len="me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0.27402</cdr:x>
      <cdr:y>0.49686</cdr:y>
    </cdr:from>
    <cdr:to>
      <cdr:x>0.29905</cdr:x>
      <cdr:y>0.55046</cdr:y>
    </cdr:to>
    <cdr:sp macro="" textlink="">
      <cdr:nvSpPr>
        <cdr:cNvPr id="527373" name="Freeform 13"/>
        <cdr:cNvSpPr>
          <a:spLocks xmlns:a="http://schemas.openxmlformats.org/drawingml/2006/main"/>
        </cdr:cNvSpPr>
      </cdr:nvSpPr>
      <cdr:spPr bwMode="auto">
        <a:xfrm xmlns:a="http://schemas.openxmlformats.org/drawingml/2006/main">
          <a:off x="1649519" y="1547553"/>
          <a:ext cx="150705" cy="166947"/>
        </a:xfrm>
        <a:custGeom xmlns:a="http://schemas.openxmlformats.org/drawingml/2006/main">
          <a:avLst/>
          <a:gdLst/>
          <a:ahLst/>
          <a:cxnLst>
            <a:cxn ang="0">
              <a:pos x="0" y="0"/>
            </a:cxn>
            <a:cxn ang="0">
              <a:pos x="133350" y="276225"/>
            </a:cxn>
          </a:cxnLst>
          <a:rect l="0" t="0" r="r" b="b"/>
          <a:pathLst>
            <a:path w="133350" h="276225">
              <a:moveTo>
                <a:pt x="0" y="0"/>
              </a:moveTo>
              <a:lnTo>
                <a:pt x="133350" y="276225"/>
              </a:lnTo>
            </a:path>
          </a:pathLst>
        </a:custGeom>
        <a:noFill xmlns:a="http://schemas.openxmlformats.org/drawingml/2006/main"/>
        <a:ln xmlns:a="http://schemas.openxmlformats.org/drawingml/2006/main" w="0" cap="flat" cmpd="sng">
          <a:solidFill>
            <a:srgbClr val="000000"/>
          </a:solidFill>
          <a:prstDash val="solid"/>
          <a:round/>
          <a:headEnd type="none" w="med" len="med"/>
          <a:tailEnd type="triangle" w="sm" len="sm"/>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34.xml><?xml version="1.0" encoding="utf-8"?>
<c:userShapes xmlns:c="http://schemas.openxmlformats.org/drawingml/2006/chart">
  <cdr:relSizeAnchor xmlns:cdr="http://schemas.openxmlformats.org/drawingml/2006/chartDrawing">
    <cdr:from>
      <cdr:x>0.91318</cdr:x>
      <cdr:y>0.62391</cdr:y>
    </cdr:from>
    <cdr:to>
      <cdr:x>0.9807</cdr:x>
      <cdr:y>0.95811</cdr:y>
    </cdr:to>
    <cdr:sp macro="" textlink="">
      <cdr:nvSpPr>
        <cdr:cNvPr id="2" name="Text Box 3"/>
        <cdr:cNvSpPr txBox="1">
          <a:spLocks xmlns:a="http://schemas.openxmlformats.org/drawingml/2006/main" noChangeArrowheads="1"/>
        </cdr:cNvSpPr>
      </cdr:nvSpPr>
      <cdr:spPr bwMode="auto">
        <a:xfrm xmlns:a="http://schemas.openxmlformats.org/drawingml/2006/main">
          <a:off x="2705101" y="2270136"/>
          <a:ext cx="200013" cy="121600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vert270"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700" b="0" i="0" strike="noStrike">
              <a:solidFill>
                <a:srgbClr val="000000"/>
              </a:solidFill>
              <a:latin typeface="Arial"/>
              <a:cs typeface="Arial"/>
            </a:rPr>
            <a:t>No Data</a:t>
          </a:r>
        </a:p>
      </cdr:txBody>
    </cdr:sp>
  </cdr:relSizeAnchor>
</c:userShapes>
</file>

<file path=xl/drawings/drawing35.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userShapes>
</file>

<file path=xl/drawings/drawing36.xml><?xml version="1.0" encoding="utf-8"?>
<c:userShapes xmlns:c="http://schemas.openxmlformats.org/drawingml/2006/chart">
  <cdr:relSizeAnchor xmlns:cdr="http://schemas.openxmlformats.org/drawingml/2006/chartDrawing">
    <cdr:from>
      <cdr:x>0.91171</cdr:x>
      <cdr:y>0.73481</cdr:y>
    </cdr:from>
    <cdr:to>
      <cdr:x>1</cdr:x>
      <cdr:y>0.84807</cdr:y>
    </cdr:to>
    <cdr:sp macro="" textlink="">
      <cdr:nvSpPr>
        <cdr:cNvPr id="2" name="TextBox 1"/>
        <cdr:cNvSpPr txBox="1"/>
      </cdr:nvSpPr>
      <cdr:spPr>
        <a:xfrm xmlns:a="http://schemas.openxmlformats.org/drawingml/2006/main">
          <a:off x="4819650" y="2533650"/>
          <a:ext cx="466725" cy="3905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900">
              <a:latin typeface="Arial" panose="020B0604020202020204" pitchFamily="34" charset="0"/>
              <a:cs typeface="Arial" panose="020B0604020202020204" pitchFamily="34" charset="0"/>
            </a:rPr>
            <a:t>No</a:t>
          </a:r>
        </a:p>
        <a:p xmlns:a="http://schemas.openxmlformats.org/drawingml/2006/main">
          <a:pPr algn="ctr"/>
          <a:r>
            <a:rPr lang="en-US" sz="900">
              <a:latin typeface="Arial" panose="020B0604020202020204" pitchFamily="34" charset="0"/>
              <a:cs typeface="Arial" panose="020B0604020202020204" pitchFamily="34" charset="0"/>
            </a:rPr>
            <a:t> Data</a:t>
          </a:r>
        </a:p>
      </cdr:txBody>
    </cdr:sp>
  </cdr:relSizeAnchor>
</c:userShapes>
</file>

<file path=xl/drawings/drawing37.xml><?xml version="1.0" encoding="utf-8"?>
<xdr:wsDr xmlns:xdr="http://schemas.openxmlformats.org/drawingml/2006/spreadsheetDrawing" xmlns:a="http://schemas.openxmlformats.org/drawingml/2006/main">
  <xdr:twoCellAnchor>
    <xdr:from>
      <xdr:col>13</xdr:col>
      <xdr:colOff>0</xdr:colOff>
      <xdr:row>0</xdr:row>
      <xdr:rowOff>28575</xdr:rowOff>
    </xdr:from>
    <xdr:to>
      <xdr:col>13</xdr:col>
      <xdr:colOff>0</xdr:colOff>
      <xdr:row>58</xdr:row>
      <xdr:rowOff>19050</xdr:rowOff>
    </xdr:to>
    <xdr:graphicFrame macro="">
      <xdr:nvGraphicFramePr>
        <xdr:cNvPr id="59516109" name="Chart 12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45</xdr:row>
      <xdr:rowOff>0</xdr:rowOff>
    </xdr:from>
    <xdr:to>
      <xdr:col>28</xdr:col>
      <xdr:colOff>428625</xdr:colOff>
      <xdr:row>80</xdr:row>
      <xdr:rowOff>19051</xdr:rowOff>
    </xdr:to>
    <xdr:graphicFrame macro="">
      <xdr:nvGraphicFramePr>
        <xdr:cNvPr id="3"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45</xdr:row>
      <xdr:rowOff>0</xdr:rowOff>
    </xdr:from>
    <xdr:to>
      <xdr:col>39</xdr:col>
      <xdr:colOff>428625</xdr:colOff>
      <xdr:row>80</xdr:row>
      <xdr:rowOff>19051</xdr:rowOff>
    </xdr:to>
    <xdr:graphicFrame macro="">
      <xdr:nvGraphicFramePr>
        <xdr:cNvPr id="4"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0.30949</cdr:x>
      <cdr:y>0.49079</cdr:y>
    </cdr:from>
    <cdr:to>
      <cdr:x>0.36204</cdr:x>
      <cdr:y>0.82747</cdr:y>
    </cdr:to>
    <cdr:sp macro="" textlink="">
      <cdr:nvSpPr>
        <cdr:cNvPr id="2" name="TextBox 1"/>
        <cdr:cNvSpPr txBox="1"/>
      </cdr:nvSpPr>
      <cdr:spPr>
        <a:xfrm xmlns:a="http://schemas.openxmlformats.org/drawingml/2006/main" rot="16200000">
          <a:off x="1233488" y="3576635"/>
          <a:ext cx="1914525" cy="3429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aseline="0"/>
            <a:t>No Catch Estimate</a:t>
          </a:r>
          <a:endParaRPr lang="en-US" sz="1000"/>
        </a:p>
        <a:p xmlns:a="http://schemas.openxmlformats.org/drawingml/2006/main">
          <a:endParaRPr lang="en-US" sz="1000"/>
        </a:p>
      </cdr:txBody>
    </cdr:sp>
  </cdr:relSizeAnchor>
</c:userShapes>
</file>

<file path=xl/drawings/drawing39.xml><?xml version="1.0" encoding="utf-8"?>
<c:userShapes xmlns:c="http://schemas.openxmlformats.org/drawingml/2006/chart">
  <cdr:relSizeAnchor xmlns:cdr="http://schemas.openxmlformats.org/drawingml/2006/chartDrawing">
    <cdr:from>
      <cdr:x>0.46998</cdr:x>
      <cdr:y>0.24057</cdr:y>
    </cdr:from>
    <cdr:to>
      <cdr:x>0.46998</cdr:x>
      <cdr:y>0.24057</cdr:y>
    </cdr:to>
    <cdr:sp macro="" textlink="">
      <cdr:nvSpPr>
        <cdr:cNvPr id="637953" name="Text Box 1"/>
        <cdr:cNvSpPr txBox="1">
          <a:spLocks xmlns:a="http://schemas.openxmlformats.org/drawingml/2006/main" noChangeArrowheads="1"/>
        </cdr:cNvSpPr>
      </cdr:nvSpPr>
      <cdr:spPr bwMode="auto">
        <a:xfrm xmlns:a="http://schemas.openxmlformats.org/drawingml/2006/main">
          <a:off x="2836848" y="64707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0.40306</cdr:x>
      <cdr:y>0.3252</cdr:y>
    </cdr:from>
    <cdr:to>
      <cdr:x>0.40306</cdr:x>
      <cdr:y>0.3252</cdr:y>
    </cdr:to>
    <cdr:sp macro="" textlink="">
      <cdr:nvSpPr>
        <cdr:cNvPr id="637954" name="Text Box 2"/>
        <cdr:cNvSpPr txBox="1">
          <a:spLocks xmlns:a="http://schemas.openxmlformats.org/drawingml/2006/main" noChangeArrowheads="1"/>
        </cdr:cNvSpPr>
      </cdr:nvSpPr>
      <cdr:spPr bwMode="auto">
        <a:xfrm xmlns:a="http://schemas.openxmlformats.org/drawingml/2006/main">
          <a:off x="2433331" y="87358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0.33293</cdr:x>
      <cdr:y>0.34208</cdr:y>
    </cdr:from>
    <cdr:to>
      <cdr:x>0.33293</cdr:x>
      <cdr:y>0.34208</cdr:y>
    </cdr:to>
    <cdr:sp macro="" textlink="">
      <cdr:nvSpPr>
        <cdr:cNvPr id="637955" name="Text Box 3"/>
        <cdr:cNvSpPr txBox="1">
          <a:spLocks xmlns:a="http://schemas.openxmlformats.org/drawingml/2006/main" noChangeArrowheads="1"/>
        </cdr:cNvSpPr>
      </cdr:nvSpPr>
      <cdr:spPr bwMode="auto">
        <a:xfrm xmlns:a="http://schemas.openxmlformats.org/drawingml/2006/main">
          <a:off x="2010528" y="91875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0.27363</cdr:x>
      <cdr:y>0.37005</cdr:y>
    </cdr:from>
    <cdr:to>
      <cdr:x>0.27363</cdr:x>
      <cdr:y>0.37005</cdr:y>
    </cdr:to>
    <cdr:sp macro="" textlink="">
      <cdr:nvSpPr>
        <cdr:cNvPr id="637956" name="Text Box 4"/>
        <cdr:cNvSpPr txBox="1">
          <a:spLocks xmlns:a="http://schemas.openxmlformats.org/drawingml/2006/main" noChangeArrowheads="1"/>
        </cdr:cNvSpPr>
      </cdr:nvSpPr>
      <cdr:spPr bwMode="auto">
        <a:xfrm xmlns:a="http://schemas.openxmlformats.org/drawingml/2006/main">
          <a:off x="1653000" y="993611"/>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0.20277</cdr:x>
      <cdr:y>0.35027</cdr:y>
    </cdr:from>
    <cdr:to>
      <cdr:x>0.20277</cdr:x>
      <cdr:y>0.35027</cdr:y>
    </cdr:to>
    <cdr:sp macro="" textlink="">
      <cdr:nvSpPr>
        <cdr:cNvPr id="637957" name="Text Box 5"/>
        <cdr:cNvSpPr txBox="1">
          <a:spLocks xmlns:a="http://schemas.openxmlformats.org/drawingml/2006/main" noChangeArrowheads="1"/>
        </cdr:cNvSpPr>
      </cdr:nvSpPr>
      <cdr:spPr bwMode="auto">
        <a:xfrm xmlns:a="http://schemas.openxmlformats.org/drawingml/2006/main">
          <a:off x="1225747" y="940695"/>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27432" tIns="18288" rIns="27432" bIns="18288" anchor="ctr" upright="1"/>
        <a:lstStyle xmlns:a="http://schemas.openxmlformats.org/drawingml/2006/main"/>
        <a:p xmlns:a="http://schemas.openxmlformats.org/drawingml/2006/main">
          <a:pPr algn="ctr" rtl="0">
            <a:defRPr sz="1000"/>
          </a:pPr>
          <a:r>
            <a:rPr lang="en-US" sz="575" b="0" i="0" strike="noStrike">
              <a:solidFill>
                <a:srgbClr val="000000"/>
              </a:solidFill>
              <a:latin typeface="Arial"/>
              <a:cs typeface="Arial"/>
            </a:rPr>
            <a:t>No Catch Estimate</a:t>
          </a:r>
        </a:p>
      </cdr:txBody>
    </cdr:sp>
  </cdr:relSizeAnchor>
  <cdr:relSizeAnchor xmlns:cdr="http://schemas.openxmlformats.org/drawingml/2006/chartDrawing">
    <cdr:from>
      <cdr:x>0.30949</cdr:x>
      <cdr:y>0.49079</cdr:y>
    </cdr:from>
    <cdr:to>
      <cdr:x>0.36204</cdr:x>
      <cdr:y>0.82747</cdr:y>
    </cdr:to>
    <cdr:sp macro="" textlink="">
      <cdr:nvSpPr>
        <cdr:cNvPr id="2" name="TextBox 1"/>
        <cdr:cNvSpPr txBox="1"/>
      </cdr:nvSpPr>
      <cdr:spPr>
        <a:xfrm xmlns:a="http://schemas.openxmlformats.org/drawingml/2006/main" rot="16200000">
          <a:off x="1233488" y="3576635"/>
          <a:ext cx="1914525" cy="3429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aseline="0"/>
            <a:t>No Catch Estimate</a:t>
          </a:r>
          <a:endParaRPr lang="en-US" sz="1000"/>
        </a:p>
        <a:p xmlns:a="http://schemas.openxmlformats.org/drawingml/2006/main">
          <a:endParaRPr lang="en-US" sz="1000"/>
        </a:p>
      </cdr:txBody>
    </cdr:sp>
  </cdr:relSizeAnchor>
</c:userShapes>
</file>

<file path=xl/drawings/drawing40.xml><?xml version="1.0" encoding="utf-8"?>
<xdr:wsDr xmlns:xdr="http://schemas.openxmlformats.org/drawingml/2006/spreadsheetDrawing" xmlns:a="http://schemas.openxmlformats.org/drawingml/2006/main">
  <xdr:twoCellAnchor>
    <xdr:from>
      <xdr:col>44</xdr:col>
      <xdr:colOff>247650</xdr:colOff>
      <xdr:row>2</xdr:row>
      <xdr:rowOff>9525</xdr:rowOff>
    </xdr:from>
    <xdr:to>
      <xdr:col>51</xdr:col>
      <xdr:colOff>38100</xdr:colOff>
      <xdr:row>25</xdr:row>
      <xdr:rowOff>66675</xdr:rowOff>
    </xdr:to>
    <xdr:graphicFrame macro="">
      <xdr:nvGraphicFramePr>
        <xdr:cNvPr id="6131927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19050</xdr:colOff>
      <xdr:row>5</xdr:row>
      <xdr:rowOff>171450</xdr:rowOff>
    </xdr:from>
    <xdr:to>
      <xdr:col>62</xdr:col>
      <xdr:colOff>523875</xdr:colOff>
      <xdr:row>37</xdr:row>
      <xdr:rowOff>0</xdr:rowOff>
    </xdr:to>
    <xdr:graphicFrame macro="">
      <xdr:nvGraphicFramePr>
        <xdr:cNvPr id="6131927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63</xdr:col>
      <xdr:colOff>0</xdr:colOff>
      <xdr:row>6</xdr:row>
      <xdr:rowOff>0</xdr:rowOff>
    </xdr:from>
    <xdr:to>
      <xdr:col>71</xdr:col>
      <xdr:colOff>514350</xdr:colOff>
      <xdr:row>37</xdr:row>
      <xdr:rowOff>0</xdr:rowOff>
    </xdr:to>
    <xdr:graphicFrame macro="">
      <xdr:nvGraphicFramePr>
        <xdr:cNvPr id="6131928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72</xdr:col>
      <xdr:colOff>0</xdr:colOff>
      <xdr:row>6</xdr:row>
      <xdr:rowOff>0</xdr:rowOff>
    </xdr:from>
    <xdr:to>
      <xdr:col>80</xdr:col>
      <xdr:colOff>514350</xdr:colOff>
      <xdr:row>37</xdr:row>
      <xdr:rowOff>0</xdr:rowOff>
    </xdr:to>
    <xdr:graphicFrame macro="">
      <xdr:nvGraphicFramePr>
        <xdr:cNvPr id="6131928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88</xdr:col>
      <xdr:colOff>28575</xdr:colOff>
      <xdr:row>9</xdr:row>
      <xdr:rowOff>47625</xdr:rowOff>
    </xdr:from>
    <xdr:to>
      <xdr:col>95</xdr:col>
      <xdr:colOff>561975</xdr:colOff>
      <xdr:row>23</xdr:row>
      <xdr:rowOff>142875</xdr:rowOff>
    </xdr:to>
    <xdr:graphicFrame macro="">
      <xdr:nvGraphicFramePr>
        <xdr:cNvPr id="6131928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88</xdr:col>
      <xdr:colOff>28575</xdr:colOff>
      <xdr:row>23</xdr:row>
      <xdr:rowOff>180975</xdr:rowOff>
    </xdr:from>
    <xdr:to>
      <xdr:col>95</xdr:col>
      <xdr:colOff>561975</xdr:colOff>
      <xdr:row>37</xdr:row>
      <xdr:rowOff>0</xdr:rowOff>
    </xdr:to>
    <xdr:graphicFrame macro="">
      <xdr:nvGraphicFramePr>
        <xdr:cNvPr id="6131928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44</xdr:col>
      <xdr:colOff>114300</xdr:colOff>
      <xdr:row>23</xdr:row>
      <xdr:rowOff>104775</xdr:rowOff>
    </xdr:from>
    <xdr:to>
      <xdr:col>53</xdr:col>
      <xdr:colOff>114300</xdr:colOff>
      <xdr:row>36</xdr:row>
      <xdr:rowOff>104775</xdr:rowOff>
    </xdr:to>
    <xdr:graphicFrame macro="">
      <xdr:nvGraphicFramePr>
        <xdr:cNvPr id="6131928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107</xdr:col>
      <xdr:colOff>0</xdr:colOff>
      <xdr:row>27</xdr:row>
      <xdr:rowOff>133350</xdr:rowOff>
    </xdr:from>
    <xdr:to>
      <xdr:col>114</xdr:col>
      <xdr:colOff>304800</xdr:colOff>
      <xdr:row>37</xdr:row>
      <xdr:rowOff>0</xdr:rowOff>
    </xdr:to>
    <xdr:graphicFrame macro="">
      <xdr:nvGraphicFramePr>
        <xdr:cNvPr id="6131928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112</xdr:col>
      <xdr:colOff>0</xdr:colOff>
      <xdr:row>6</xdr:row>
      <xdr:rowOff>0</xdr:rowOff>
    </xdr:from>
    <xdr:to>
      <xdr:col>119</xdr:col>
      <xdr:colOff>304800</xdr:colOff>
      <xdr:row>20</xdr:row>
      <xdr:rowOff>76200</xdr:rowOff>
    </xdr:to>
    <xdr:graphicFrame macro="">
      <xdr:nvGraphicFramePr>
        <xdr:cNvPr id="61319286"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129</xdr:col>
      <xdr:colOff>533400</xdr:colOff>
      <xdr:row>9</xdr:row>
      <xdr:rowOff>133350</xdr:rowOff>
    </xdr:from>
    <xdr:to>
      <xdr:col>137</xdr:col>
      <xdr:colOff>228600</xdr:colOff>
      <xdr:row>24</xdr:row>
      <xdr:rowOff>19050</xdr:rowOff>
    </xdr:to>
    <xdr:graphicFrame macro="">
      <xdr:nvGraphicFramePr>
        <xdr:cNvPr id="61319287"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37</xdr:col>
      <xdr:colOff>200025</xdr:colOff>
      <xdr:row>42</xdr:row>
      <xdr:rowOff>76200</xdr:rowOff>
    </xdr:from>
    <xdr:to>
      <xdr:col>46</xdr:col>
      <xdr:colOff>361951</xdr:colOff>
      <xdr:row>68</xdr:row>
      <xdr:rowOff>142876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45</xdr:row>
      <xdr:rowOff>0</xdr:rowOff>
    </xdr:from>
    <xdr:to>
      <xdr:col>20</xdr:col>
      <xdr:colOff>247650</xdr:colOff>
      <xdr:row>72</xdr:row>
      <xdr:rowOff>152400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74</xdr:row>
      <xdr:rowOff>0</xdr:rowOff>
    </xdr:from>
    <xdr:to>
      <xdr:col>20</xdr:col>
      <xdr:colOff>247650</xdr:colOff>
      <xdr:row>102</xdr:row>
      <xdr:rowOff>47625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37</xdr:col>
      <xdr:colOff>123825</xdr:colOff>
      <xdr:row>68</xdr:row>
      <xdr:rowOff>57150</xdr:rowOff>
    </xdr:from>
    <xdr:to>
      <xdr:col>46</xdr:col>
      <xdr:colOff>285751</xdr:colOff>
      <xdr:row>95</xdr:row>
      <xdr:rowOff>19051</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25</xdr:col>
      <xdr:colOff>466725</xdr:colOff>
      <xdr:row>46</xdr:row>
      <xdr:rowOff>152400</xdr:rowOff>
    </xdr:from>
    <xdr:to>
      <xdr:col>35</xdr:col>
      <xdr:colOff>19051</xdr:colOff>
      <xdr:row>73</xdr:row>
      <xdr:rowOff>114301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200025</xdr:colOff>
      <xdr:row>74</xdr:row>
      <xdr:rowOff>38099</xdr:rowOff>
    </xdr:from>
    <xdr:to>
      <xdr:col>29</xdr:col>
      <xdr:colOff>76200</xdr:colOff>
      <xdr:row>91</xdr:row>
      <xdr:rowOff>133349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123825</xdr:colOff>
      <xdr:row>74</xdr:row>
      <xdr:rowOff>66675</xdr:rowOff>
    </xdr:from>
    <xdr:to>
      <xdr:col>34</xdr:col>
      <xdr:colOff>0</xdr:colOff>
      <xdr:row>92</xdr:row>
      <xdr:rowOff>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200025</xdr:colOff>
      <xdr:row>92</xdr:row>
      <xdr:rowOff>19050</xdr:rowOff>
    </xdr:from>
    <xdr:to>
      <xdr:col>29</xdr:col>
      <xdr:colOff>76200</xdr:colOff>
      <xdr:row>109</xdr:row>
      <xdr:rowOff>114300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29</xdr:col>
      <xdr:colOff>0</xdr:colOff>
      <xdr:row>92</xdr:row>
      <xdr:rowOff>0</xdr:rowOff>
    </xdr:from>
    <xdr:to>
      <xdr:col>33</xdr:col>
      <xdr:colOff>485775</xdr:colOff>
      <xdr:row>109</xdr:row>
      <xdr:rowOff>95250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37</xdr:col>
      <xdr:colOff>0</xdr:colOff>
      <xdr:row>96</xdr:row>
      <xdr:rowOff>0</xdr:rowOff>
    </xdr:from>
    <xdr:to>
      <xdr:col>46</xdr:col>
      <xdr:colOff>161926</xdr:colOff>
      <xdr:row>122</xdr:row>
      <xdr:rowOff>152401</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24</xdr:col>
      <xdr:colOff>0</xdr:colOff>
      <xdr:row>111</xdr:row>
      <xdr:rowOff>0</xdr:rowOff>
    </xdr:from>
    <xdr:to>
      <xdr:col>28</xdr:col>
      <xdr:colOff>485775</xdr:colOff>
      <xdr:row>128</xdr:row>
      <xdr:rowOff>95250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37</xdr:col>
      <xdr:colOff>0</xdr:colOff>
      <xdr:row>124</xdr:row>
      <xdr:rowOff>0</xdr:rowOff>
    </xdr:from>
    <xdr:to>
      <xdr:col>46</xdr:col>
      <xdr:colOff>161926</xdr:colOff>
      <xdr:row>150</xdr:row>
      <xdr:rowOff>152401</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47</xdr:col>
      <xdr:colOff>0</xdr:colOff>
      <xdr:row>42</xdr:row>
      <xdr:rowOff>0</xdr:rowOff>
    </xdr:from>
    <xdr:to>
      <xdr:col>56</xdr:col>
      <xdr:colOff>161926</xdr:colOff>
      <xdr:row>68</xdr:row>
      <xdr:rowOff>66676</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47</xdr:col>
      <xdr:colOff>190500</xdr:colOff>
      <xdr:row>69</xdr:row>
      <xdr:rowOff>114300</xdr:rowOff>
    </xdr:from>
    <xdr:to>
      <xdr:col>56</xdr:col>
      <xdr:colOff>352426</xdr:colOff>
      <xdr:row>96</xdr:row>
      <xdr:rowOff>76201</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47</xdr:col>
      <xdr:colOff>200025</xdr:colOff>
      <xdr:row>96</xdr:row>
      <xdr:rowOff>114300</xdr:rowOff>
    </xdr:from>
    <xdr:to>
      <xdr:col>56</xdr:col>
      <xdr:colOff>361951</xdr:colOff>
      <xdr:row>123</xdr:row>
      <xdr:rowOff>104776</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57</xdr:col>
      <xdr:colOff>28576</xdr:colOff>
      <xdr:row>93</xdr:row>
      <xdr:rowOff>57150</xdr:rowOff>
    </xdr:from>
    <xdr:to>
      <xdr:col>65</xdr:col>
      <xdr:colOff>600076</xdr:colOff>
      <xdr:row>121</xdr:row>
      <xdr:rowOff>114302</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57</xdr:col>
      <xdr:colOff>0</xdr:colOff>
      <xdr:row>123</xdr:row>
      <xdr:rowOff>0</xdr:rowOff>
    </xdr:from>
    <xdr:to>
      <xdr:col>66</xdr:col>
      <xdr:colOff>161926</xdr:colOff>
      <xdr:row>149</xdr:row>
      <xdr:rowOff>152401</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66</xdr:col>
      <xdr:colOff>590549</xdr:colOff>
      <xdr:row>94</xdr:row>
      <xdr:rowOff>19051</xdr:rowOff>
    </xdr:from>
    <xdr:to>
      <xdr:col>77</xdr:col>
      <xdr:colOff>238124</xdr:colOff>
      <xdr:row>122</xdr:row>
      <xdr:rowOff>38101</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67</xdr:col>
      <xdr:colOff>0</xdr:colOff>
      <xdr:row>123</xdr:row>
      <xdr:rowOff>0</xdr:rowOff>
    </xdr:from>
    <xdr:to>
      <xdr:col>77</xdr:col>
      <xdr:colOff>257175</xdr:colOff>
      <xdr:row>151</xdr:row>
      <xdr:rowOff>19050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16</xdr:col>
      <xdr:colOff>38101</xdr:colOff>
      <xdr:row>39</xdr:row>
      <xdr:rowOff>123824</xdr:rowOff>
    </xdr:from>
    <xdr:to>
      <xdr:col>23</xdr:col>
      <xdr:colOff>190501</xdr:colOff>
      <xdr:row>64</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65</xdr:row>
      <xdr:rowOff>0</xdr:rowOff>
    </xdr:from>
    <xdr:to>
      <xdr:col>23</xdr:col>
      <xdr:colOff>152400</xdr:colOff>
      <xdr:row>89</xdr:row>
      <xdr:rowOff>114301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65</xdr:row>
      <xdr:rowOff>0</xdr:rowOff>
    </xdr:from>
    <xdr:to>
      <xdr:col>31</xdr:col>
      <xdr:colOff>152400</xdr:colOff>
      <xdr:row>89</xdr:row>
      <xdr:rowOff>114301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17</xdr:row>
      <xdr:rowOff>0</xdr:rowOff>
    </xdr:from>
    <xdr:to>
      <xdr:col>32</xdr:col>
      <xdr:colOff>152400</xdr:colOff>
      <xdr:row>41</xdr:row>
      <xdr:rowOff>142876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2.xml><?xml version="1.0" encoding="utf-8"?>
<c:userShapes xmlns:c="http://schemas.openxmlformats.org/drawingml/2006/chart">
  <cdr:relSizeAnchor xmlns:cdr="http://schemas.openxmlformats.org/drawingml/2006/chartDrawing">
    <cdr:from>
      <cdr:x>0.35776</cdr:x>
      <cdr:y>0.72143</cdr:y>
    </cdr:from>
    <cdr:to>
      <cdr:x>0.48276</cdr:x>
      <cdr:y>0.79524</cdr:y>
    </cdr:to>
    <cdr:sp macro="" textlink="">
      <cdr:nvSpPr>
        <cdr:cNvPr id="2" name="TextBox 1"/>
        <cdr:cNvSpPr txBox="1"/>
      </cdr:nvSpPr>
      <cdr:spPr>
        <a:xfrm xmlns:a="http://schemas.openxmlformats.org/drawingml/2006/main">
          <a:off x="1581149" y="2886076"/>
          <a:ext cx="552450"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2017</a:t>
          </a:r>
        </a:p>
      </cdr:txBody>
    </cdr:sp>
  </cdr:relSizeAnchor>
  <cdr:relSizeAnchor xmlns:cdr="http://schemas.openxmlformats.org/drawingml/2006/chartDrawing">
    <cdr:from>
      <cdr:x>0.25718</cdr:x>
      <cdr:y>0.57672</cdr:y>
    </cdr:from>
    <cdr:to>
      <cdr:x>0.38218</cdr:x>
      <cdr:y>0.65053</cdr:y>
    </cdr:to>
    <cdr:sp macro="" textlink="">
      <cdr:nvSpPr>
        <cdr:cNvPr id="3" name="TextBox 1"/>
        <cdr:cNvSpPr txBox="1"/>
      </cdr:nvSpPr>
      <cdr:spPr>
        <a:xfrm xmlns:a="http://schemas.openxmlformats.org/drawingml/2006/main">
          <a:off x="1136650" y="2422525"/>
          <a:ext cx="552450" cy="31004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2018</a:t>
          </a:r>
        </a:p>
      </cdr:txBody>
    </cdr:sp>
  </cdr:relSizeAnchor>
</c:userShapes>
</file>

<file path=xl/drawings/drawing43.xml><?xml version="1.0" encoding="utf-8"?>
<c:userShapes xmlns:c="http://schemas.openxmlformats.org/drawingml/2006/chart">
  <cdr:relSizeAnchor xmlns:cdr="http://schemas.openxmlformats.org/drawingml/2006/chartDrawing">
    <cdr:from>
      <cdr:x>0.35776</cdr:x>
      <cdr:y>0.74705</cdr:y>
    </cdr:from>
    <cdr:to>
      <cdr:x>0.48276</cdr:x>
      <cdr:y>0.82086</cdr:y>
    </cdr:to>
    <cdr:sp macro="" textlink="">
      <cdr:nvSpPr>
        <cdr:cNvPr id="2" name="TextBox 1"/>
        <cdr:cNvSpPr txBox="1"/>
      </cdr:nvSpPr>
      <cdr:spPr>
        <a:xfrm xmlns:a="http://schemas.openxmlformats.org/drawingml/2006/main">
          <a:off x="1581158" y="3465325"/>
          <a:ext cx="552450" cy="3423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2017</a:t>
          </a:r>
        </a:p>
      </cdr:txBody>
    </cdr:sp>
  </cdr:relSizeAnchor>
  <cdr:relSizeAnchor xmlns:cdr="http://schemas.openxmlformats.org/drawingml/2006/chartDrawing">
    <cdr:from>
      <cdr:x>0.20977</cdr:x>
      <cdr:y>0.62697</cdr:y>
    </cdr:from>
    <cdr:to>
      <cdr:x>0.33477</cdr:x>
      <cdr:y>0.70078</cdr:y>
    </cdr:to>
    <cdr:sp macro="" textlink="">
      <cdr:nvSpPr>
        <cdr:cNvPr id="3" name="TextBox 1"/>
        <cdr:cNvSpPr txBox="1"/>
      </cdr:nvSpPr>
      <cdr:spPr>
        <a:xfrm xmlns:a="http://schemas.openxmlformats.org/drawingml/2006/main">
          <a:off x="927100" y="2908300"/>
          <a:ext cx="552450" cy="3423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2018</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H:\users\TROLLMGT\explrat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_BACKUPFROMLAPTOP\TROLLMGT\explrat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_BACKUPFROMLAPTOP\TROLLMGT\FPDWIL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users\HATCONTR\111GILLH.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Documents%20and%20Settings\ldshaul\My%20Documents\AUKE\AUKERU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_BACKUPFROMLAPTOP\SURVIVAL\CohoSize@timeLW97-curren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_BACKUPFROMLAPTOP\SURVIVAL\AukeDataSaraMiller2016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_BACKUPFROMLAPTOP\SURVIVAL\CohoSurvivalSheetbyReturnYear_2011d.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_BACKUPFROMLAPTOP\BernersGoalReport\SmoltTables&amp;Figs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H:\_BACKUPFROMLAPTOP\ESCAPE\roadindex.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ch_Escapement Graph"/>
      <sheetName val="Totlrate Graph"/>
      <sheetName val="Average"/>
      <sheetName val="Trollrate Graph (2)"/>
      <sheetName val="Trollrate Graph"/>
      <sheetName val="EXPLRATE"/>
      <sheetName val="Catch_Escapement Data"/>
    </sheetNames>
    <sheetDataSet>
      <sheetData sheetId="0" refreshError="1"/>
      <sheetData sheetId="1" refreshError="1"/>
      <sheetData sheetId="2" refreshError="1"/>
      <sheetData sheetId="3" refreshError="1"/>
      <sheetData sheetId="4" refreshError="1"/>
      <sheetData sheetId="5" refreshError="1">
        <row r="12">
          <cell r="A12" t="str">
            <v>1982</v>
          </cell>
          <cell r="E12">
            <v>45.6</v>
          </cell>
          <cell r="G12">
            <v>82</v>
          </cell>
          <cell r="I12">
            <v>1.8420560747663552</v>
          </cell>
          <cell r="J12">
            <v>6.2336040243624913</v>
          </cell>
        </row>
        <row r="13">
          <cell r="E13">
            <v>35.4</v>
          </cell>
          <cell r="G13">
            <v>83</v>
          </cell>
          <cell r="I13">
            <v>1.6721311475409837</v>
          </cell>
          <cell r="J13">
            <v>6.1126409524951537</v>
          </cell>
        </row>
        <row r="14">
          <cell r="E14">
            <v>31.4</v>
          </cell>
          <cell r="G14">
            <v>84</v>
          </cell>
          <cell r="I14">
            <v>40.199350499262749</v>
          </cell>
          <cell r="J14">
            <v>7.1687867036550896</v>
          </cell>
        </row>
        <row r="15">
          <cell r="B15">
            <v>35.200000000000003</v>
          </cell>
          <cell r="D15">
            <v>51.2</v>
          </cell>
          <cell r="E15">
            <v>36</v>
          </cell>
          <cell r="G15">
            <v>85</v>
          </cell>
          <cell r="I15">
            <v>1.7450980392156861</v>
          </cell>
          <cell r="J15">
            <v>6.4732420012758194</v>
          </cell>
        </row>
        <row r="16">
          <cell r="B16">
            <v>43</v>
          </cell>
          <cell r="D16">
            <v>60.9</v>
          </cell>
          <cell r="E16">
            <v>35.4</v>
          </cell>
          <cell r="G16">
            <v>86</v>
          </cell>
          <cell r="I16">
            <v>1.6884422110552764</v>
          </cell>
          <cell r="J16">
            <v>6.5269420158285971</v>
          </cell>
        </row>
        <row r="17">
          <cell r="B17">
            <v>37.200000000000003</v>
          </cell>
          <cell r="D17">
            <v>45.1</v>
          </cell>
          <cell r="E17">
            <v>28</v>
          </cell>
          <cell r="G17">
            <v>87</v>
          </cell>
          <cell r="I17">
            <v>1.7733454215775157</v>
          </cell>
          <cell r="J17">
            <v>5.5982485399698412</v>
          </cell>
        </row>
        <row r="18">
          <cell r="B18">
            <v>25.4</v>
          </cell>
          <cell r="D18">
            <v>47.9</v>
          </cell>
          <cell r="E18">
            <v>26.7</v>
          </cell>
          <cell r="G18">
            <v>88</v>
          </cell>
          <cell r="I18">
            <v>1.5629999999999997</v>
          </cell>
          <cell r="J18">
            <v>5.8247294714498343</v>
          </cell>
        </row>
        <row r="19">
          <cell r="B19">
            <v>49.6</v>
          </cell>
          <cell r="D19">
            <v>61.5</v>
          </cell>
          <cell r="E19">
            <v>50</v>
          </cell>
          <cell r="G19">
            <v>89</v>
          </cell>
          <cell r="I19">
            <v>1.8547486033519553</v>
          </cell>
          <cell r="J19">
            <v>5.5823826844640045</v>
          </cell>
        </row>
        <row r="20">
          <cell r="B20">
            <v>43.1</v>
          </cell>
          <cell r="D20">
            <v>56.5</v>
          </cell>
          <cell r="E20">
            <v>39.4</v>
          </cell>
          <cell r="G20">
            <v>90</v>
          </cell>
          <cell r="I20">
            <v>1.7805755395683451</v>
          </cell>
          <cell r="J20">
            <v>5.8895347624018219</v>
          </cell>
        </row>
        <row r="21">
          <cell r="B21">
            <v>15</v>
          </cell>
          <cell r="D21">
            <v>53.3</v>
          </cell>
          <cell r="E21">
            <v>36.700000000000003</v>
          </cell>
          <cell r="G21">
            <v>91</v>
          </cell>
          <cell r="I21">
            <v>1.4771428571428573</v>
          </cell>
          <cell r="J21">
            <v>5.6050048929818654</v>
          </cell>
        </row>
        <row r="22">
          <cell r="B22">
            <v>31.7</v>
          </cell>
          <cell r="D22">
            <v>56.4</v>
          </cell>
          <cell r="E22">
            <v>37.9</v>
          </cell>
          <cell r="G22">
            <v>92</v>
          </cell>
          <cell r="I22">
            <v>1.657142857142857</v>
          </cell>
          <cell r="J22">
            <v>5.796000997901567</v>
          </cell>
        </row>
        <row r="23">
          <cell r="B23">
            <v>38.4</v>
          </cell>
          <cell r="D23">
            <v>61.8</v>
          </cell>
          <cell r="E23">
            <v>52.9</v>
          </cell>
          <cell r="G23">
            <v>93</v>
          </cell>
          <cell r="I23">
            <v>1.7890267798824298</v>
          </cell>
        </row>
        <row r="24">
          <cell r="B24">
            <v>36.9</v>
          </cell>
          <cell r="D24">
            <v>60.2</v>
          </cell>
          <cell r="E24">
            <v>45.9</v>
          </cell>
          <cell r="G24">
            <v>94</v>
          </cell>
          <cell r="I24">
            <v>1.7370629370629371</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RATE table"/>
      <sheetName val="EXPLRATE"/>
      <sheetName val="Average"/>
      <sheetName val="Catch_Escapement Graph"/>
      <sheetName val="Totlrate Graph"/>
      <sheetName val="Trollrate Graph (2)"/>
      <sheetName val="Trollrate Graph"/>
      <sheetName val="PeriodAvg"/>
      <sheetName val="Catch_Escapement Data"/>
    </sheetNames>
    <sheetDataSet>
      <sheetData sheetId="0"/>
      <sheetData sheetId="1">
        <row r="12">
          <cell r="G12">
            <v>80</v>
          </cell>
        </row>
        <row r="13">
          <cell r="G13">
            <v>81</v>
          </cell>
        </row>
        <row r="14">
          <cell r="E14">
            <v>44.971358149051653</v>
          </cell>
          <cell r="G14">
            <v>82</v>
          </cell>
          <cell r="I14">
            <v>37.806466069376746</v>
          </cell>
          <cell r="J14" t="e">
            <v>#REF!</v>
          </cell>
        </row>
        <row r="15">
          <cell r="B15">
            <v>31.073446327683619</v>
          </cell>
          <cell r="D15">
            <v>54.042684174207679</v>
          </cell>
          <cell r="E15">
            <v>35.451558288791006</v>
          </cell>
          <cell r="G15">
            <v>83</v>
          </cell>
          <cell r="I15">
            <v>38.564022698964642</v>
          </cell>
          <cell r="J15" t="e">
            <v>#REF!</v>
          </cell>
        </row>
        <row r="16">
          <cell r="B16">
            <v>33.972602739726028</v>
          </cell>
          <cell r="E16">
            <v>31.463933220894884</v>
          </cell>
          <cell r="G16">
            <v>84</v>
          </cell>
          <cell r="I16">
            <v>40.212374928232954</v>
          </cell>
          <cell r="J16" t="e">
            <v>#REF!</v>
          </cell>
        </row>
        <row r="17">
          <cell r="B17">
            <v>35.294117647058826</v>
          </cell>
          <cell r="D17">
            <v>51.645207018302052</v>
          </cell>
          <cell r="E17">
            <v>35.570753097824088</v>
          </cell>
          <cell r="G17">
            <v>85</v>
          </cell>
          <cell r="I17">
            <v>40.566619836525689</v>
          </cell>
          <cell r="J17" t="e">
            <v>#REF!</v>
          </cell>
        </row>
        <row r="18">
          <cell r="B18">
            <v>43.223819301848046</v>
          </cell>
          <cell r="D18">
            <v>60.594083325663718</v>
          </cell>
          <cell r="E18">
            <v>36.59944890840687</v>
          </cell>
          <cell r="G18">
            <v>86</v>
          </cell>
          <cell r="I18">
            <v>39.187343994632286</v>
          </cell>
          <cell r="J18" t="e">
            <v>#REF!</v>
          </cell>
        </row>
        <row r="19">
          <cell r="B19">
            <v>37.150127226463106</v>
          </cell>
          <cell r="D19">
            <v>45.104082596228871</v>
          </cell>
          <cell r="E19">
            <v>29.293044956349775</v>
          </cell>
          <cell r="G19">
            <v>87</v>
          </cell>
          <cell r="I19">
            <v>42.322320553596668</v>
          </cell>
          <cell r="J19" t="e">
            <v>#REF!</v>
          </cell>
        </row>
        <row r="20">
          <cell r="B20">
            <v>25.478767693588679</v>
          </cell>
          <cell r="D20">
            <v>46.839412947535976</v>
          </cell>
          <cell r="E20">
            <v>27.560370521156575</v>
          </cell>
          <cell r="G20">
            <v>88</v>
          </cell>
          <cell r="I20">
            <v>43.288428944293265</v>
          </cell>
          <cell r="J20" t="e">
            <v>#REF!</v>
          </cell>
        </row>
        <row r="21">
          <cell r="B21">
            <v>48.191681735985533</v>
          </cell>
          <cell r="D21">
            <v>61.679803661349872</v>
          </cell>
          <cell r="E21">
            <v>50.610087666188022</v>
          </cell>
          <cell r="G21">
            <v>89</v>
          </cell>
          <cell r="I21">
            <v>41.038169858479932</v>
          </cell>
          <cell r="J21" t="e">
            <v>#REF!</v>
          </cell>
        </row>
        <row r="22">
          <cell r="B22">
            <v>42.847503373819166</v>
          </cell>
          <cell r="D22">
            <v>56.536328671322956</v>
          </cell>
          <cell r="E22">
            <v>37.617871578491787</v>
          </cell>
          <cell r="G22">
            <v>90</v>
          </cell>
          <cell r="I22">
            <v>42.015775992071646</v>
          </cell>
          <cell r="J22" t="e">
            <v>#REF!</v>
          </cell>
        </row>
        <row r="23">
          <cell r="B23">
            <v>16.963528413910094</v>
          </cell>
          <cell r="D23">
            <v>53.226519111364311</v>
          </cell>
          <cell r="E23">
            <v>36.473417723444321</v>
          </cell>
          <cell r="G23">
            <v>91</v>
          </cell>
          <cell r="I23">
            <v>45.533736791373478</v>
          </cell>
        </row>
        <row r="24">
          <cell r="B24">
            <v>32.159999999999997</v>
          </cell>
          <cell r="D24">
            <v>56.163860061317827</v>
          </cell>
          <cell r="E24">
            <v>37.887486721599522</v>
          </cell>
          <cell r="G24">
            <v>92</v>
          </cell>
          <cell r="I24">
            <v>44.188407017127737</v>
          </cell>
        </row>
      </sheetData>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ianPred"/>
      <sheetName val="Power Troll"/>
      <sheetName val="colorgraphs"/>
      <sheetName val="Wild Pred Graph"/>
      <sheetName val="Prediction Table"/>
      <sheetName val="FPDWILD"/>
    </sheetNames>
    <sheetDataSet>
      <sheetData sheetId="0"/>
      <sheetData sheetId="1" refreshError="1"/>
      <sheetData sheetId="2"/>
      <sheetData sheetId="3"/>
      <sheetData sheetId="4"/>
      <sheetData sheetId="5">
        <row r="129">
          <cell r="B129">
            <v>681604</v>
          </cell>
          <cell r="AX129" t="str">
            <v>Predicted</v>
          </cell>
        </row>
        <row r="130">
          <cell r="B130">
            <v>833609</v>
          </cell>
          <cell r="AB130">
            <v>28.484682265737739</v>
          </cell>
          <cell r="AC130">
            <v>1334221</v>
          </cell>
          <cell r="AD130">
            <v>1390216.7713997704</v>
          </cell>
          <cell r="AJ130">
            <v>4.2315050000000003</v>
          </cell>
          <cell r="AK130">
            <v>972668</v>
          </cell>
          <cell r="AL130">
            <v>994127.72488500003</v>
          </cell>
          <cell r="AU130">
            <v>88</v>
          </cell>
          <cell r="AV130">
            <v>4.45</v>
          </cell>
          <cell r="AW130">
            <v>1025668</v>
          </cell>
          <cell r="AX130">
            <v>989292.05</v>
          </cell>
          <cell r="AY130">
            <v>60</v>
          </cell>
        </row>
        <row r="131">
          <cell r="B131">
            <v>1156277</v>
          </cell>
          <cell r="AB131">
            <v>50.89293</v>
          </cell>
          <cell r="AC131">
            <v>2041584</v>
          </cell>
          <cell r="AD131">
            <v>1830615.5624104408</v>
          </cell>
          <cell r="AJ131">
            <v>13.698205000000002</v>
          </cell>
          <cell r="AK131">
            <v>1363942</v>
          </cell>
          <cell r="AL131">
            <v>1371631.320785</v>
          </cell>
          <cell r="AU131">
            <v>81</v>
          </cell>
          <cell r="AV131">
            <v>14.33799029988849</v>
          </cell>
          <cell r="AW131">
            <v>1353221</v>
          </cell>
          <cell r="AX131">
            <v>1432758.5269596989</v>
          </cell>
          <cell r="BA131" t="str">
            <v>Regression Output:</v>
          </cell>
        </row>
        <row r="132">
          <cell r="B132">
            <v>1265328</v>
          </cell>
          <cell r="AB132">
            <v>70.347880000000004</v>
          </cell>
          <cell r="AC132">
            <v>1868680</v>
          </cell>
          <cell r="AD132">
            <v>2212971.9412214737</v>
          </cell>
          <cell r="AJ132">
            <v>14.242341132868869</v>
          </cell>
          <cell r="AK132">
            <v>1334221</v>
          </cell>
          <cell r="AL132">
            <v>1393329.8373554121</v>
          </cell>
          <cell r="AU132">
            <v>87</v>
          </cell>
          <cell r="AV132">
            <v>14.6</v>
          </cell>
          <cell r="AW132">
            <v>1486942</v>
          </cell>
          <cell r="AX132">
            <v>1444509.4</v>
          </cell>
          <cell r="AY132">
            <v>62</v>
          </cell>
          <cell r="AZ132" t="str">
            <v>Constant</v>
          </cell>
        </row>
        <row r="133">
          <cell r="B133">
            <v>1586258</v>
          </cell>
          <cell r="AB133">
            <v>48.810870000000001</v>
          </cell>
          <cell r="AC133">
            <v>1763024</v>
          </cell>
          <cell r="AD133">
            <v>1789695.9546978897</v>
          </cell>
          <cell r="AJ133">
            <v>24.405434999999997</v>
          </cell>
          <cell r="AK133">
            <v>1763024</v>
          </cell>
          <cell r="AL133">
            <v>1798603.5314949998</v>
          </cell>
          <cell r="AU133">
            <v>84</v>
          </cell>
          <cell r="AV133">
            <v>25.4</v>
          </cell>
          <cell r="AW133">
            <v>1881024</v>
          </cell>
          <cell r="AX133">
            <v>1928878.5999999999</v>
          </cell>
          <cell r="AZ133" t="str">
            <v>Std Err of Y Est</v>
          </cell>
        </row>
        <row r="134">
          <cell r="B134">
            <v>1543807</v>
          </cell>
          <cell r="AB134">
            <v>80.978760000000008</v>
          </cell>
          <cell r="AC134">
            <v>2385247</v>
          </cell>
          <cell r="AD134">
            <v>2421905.1320225103</v>
          </cell>
          <cell r="AJ134">
            <v>25.446464999999996</v>
          </cell>
          <cell r="AK134">
            <v>2041584</v>
          </cell>
          <cell r="AL134">
            <v>1840116.6848049997</v>
          </cell>
          <cell r="AU134">
            <v>82</v>
          </cell>
          <cell r="AV134">
            <v>25.95</v>
          </cell>
          <cell r="AW134">
            <v>2102584</v>
          </cell>
          <cell r="AX134">
            <v>1953545.55</v>
          </cell>
          <cell r="AY134">
            <v>64</v>
          </cell>
          <cell r="AZ134" t="str">
            <v>R Squared</v>
          </cell>
        </row>
        <row r="135">
          <cell r="B135">
            <v>1218827</v>
          </cell>
          <cell r="AB135">
            <v>105.97778000000001</v>
          </cell>
          <cell r="AC135">
            <v>2832830</v>
          </cell>
          <cell r="AD135">
            <v>2913221.4685345339</v>
          </cell>
          <cell r="AJ135">
            <v>30.359834999999997</v>
          </cell>
          <cell r="AK135">
            <v>2032393</v>
          </cell>
          <cell r="AL135">
            <v>2036047.1402949998</v>
          </cell>
          <cell r="AU135">
            <v>89</v>
          </cell>
          <cell r="AV135">
            <v>32.6</v>
          </cell>
          <cell r="AW135">
            <v>2181393</v>
          </cell>
          <cell r="AX135">
            <v>2251791.4000000004</v>
          </cell>
          <cell r="AZ135" t="str">
            <v>No. of Observations</v>
          </cell>
        </row>
        <row r="136">
          <cell r="B136">
            <v>864250</v>
          </cell>
          <cell r="AB136">
            <v>27.396410000000003</v>
          </cell>
          <cell r="AC136">
            <v>1363942</v>
          </cell>
          <cell r="AD136">
            <v>1368828.4952701498</v>
          </cell>
          <cell r="AJ136">
            <v>31.922789999999999</v>
          </cell>
          <cell r="AK136">
            <v>2317446</v>
          </cell>
          <cell r="AL136">
            <v>2098373.0968300002</v>
          </cell>
          <cell r="AU136">
            <v>90</v>
          </cell>
          <cell r="AV136">
            <v>35.799999999999997</v>
          </cell>
          <cell r="AW136">
            <v>2738446</v>
          </cell>
          <cell r="AX136">
            <v>2395308.2000000002</v>
          </cell>
          <cell r="AY136">
            <v>66</v>
          </cell>
          <cell r="AZ136" t="str">
            <v>Degrees of Freedom</v>
          </cell>
        </row>
        <row r="137">
          <cell r="B137">
            <v>1539686</v>
          </cell>
          <cell r="AB137">
            <v>8.4630100000000006</v>
          </cell>
          <cell r="AC137">
            <v>972668</v>
          </cell>
          <cell r="AD137">
            <v>996722.35968096519</v>
          </cell>
          <cell r="AJ137">
            <v>35.173940000000002</v>
          </cell>
          <cell r="AK137">
            <v>1868680</v>
          </cell>
          <cell r="AL137">
            <v>2228019.2053800002</v>
          </cell>
          <cell r="AU137">
            <v>83</v>
          </cell>
          <cell r="AV137">
            <v>36.049999999999997</v>
          </cell>
          <cell r="AW137">
            <v>1942680</v>
          </cell>
          <cell r="AX137">
            <v>2406520.4500000002</v>
          </cell>
        </row>
        <row r="138">
          <cell r="B138">
            <v>596407</v>
          </cell>
          <cell r="AB138">
            <v>60.719670000000001</v>
          </cell>
          <cell r="AC138">
            <v>2032393</v>
          </cell>
          <cell r="AD138">
            <v>2023744.6489368791</v>
          </cell>
          <cell r="AJ138">
            <v>38.858469999999997</v>
          </cell>
          <cell r="AK138">
            <v>2275666</v>
          </cell>
          <cell r="AL138">
            <v>2374947.2081899997</v>
          </cell>
          <cell r="AU138">
            <v>85</v>
          </cell>
          <cell r="AV138">
            <v>43.65</v>
          </cell>
          <cell r="AW138">
            <v>2562247</v>
          </cell>
          <cell r="AX138">
            <v>2747372.8499999996</v>
          </cell>
          <cell r="AY138">
            <v>68</v>
          </cell>
          <cell r="AZ138" t="str">
            <v>X Coefficient(s)</v>
          </cell>
          <cell r="BB138">
            <v>39877.097163585808</v>
          </cell>
        </row>
        <row r="139">
          <cell r="B139">
            <v>758900</v>
          </cell>
          <cell r="AB139">
            <v>63.845580000000005</v>
          </cell>
          <cell r="AC139">
            <v>2317446</v>
          </cell>
          <cell r="AD139">
            <v>2085179.4831610327</v>
          </cell>
          <cell r="AJ139">
            <v>39.717144783689719</v>
          </cell>
          <cell r="AK139">
            <v>2566614</v>
          </cell>
          <cell r="AL139">
            <v>2409188.5825391952</v>
          </cell>
          <cell r="AU139">
            <v>91</v>
          </cell>
          <cell r="AV139">
            <v>47.65</v>
          </cell>
          <cell r="AW139">
            <v>2897666</v>
          </cell>
          <cell r="AX139">
            <v>2926768.85</v>
          </cell>
          <cell r="AZ139" t="str">
            <v>Std Err of Coef.</v>
          </cell>
          <cell r="BB139">
            <v>2947.8508567404274</v>
          </cell>
        </row>
        <row r="140">
          <cell r="B140">
            <v>914382</v>
          </cell>
          <cell r="AB140">
            <v>77.716939999999994</v>
          </cell>
          <cell r="AC140">
            <v>2275666</v>
          </cell>
          <cell r="AD140">
            <v>2357799.200959547</v>
          </cell>
          <cell r="AJ140">
            <v>40.489379999999997</v>
          </cell>
          <cell r="AK140">
            <v>2385247</v>
          </cell>
          <cell r="AL140">
            <v>2439983.0062600002</v>
          </cell>
          <cell r="AU140">
            <v>95</v>
          </cell>
          <cell r="AV140">
            <v>48.05</v>
          </cell>
          <cell r="AW140">
            <v>3129533</v>
          </cell>
          <cell r="AX140">
            <v>2944708.4499999997</v>
          </cell>
          <cell r="AY140">
            <v>70</v>
          </cell>
        </row>
        <row r="141">
          <cell r="B141">
            <v>1508654</v>
          </cell>
          <cell r="AB141">
            <v>86.959620000000001</v>
          </cell>
          <cell r="AC141">
            <v>2674337</v>
          </cell>
          <cell r="AD141">
            <v>2555796.6084783217</v>
          </cell>
          <cell r="AJ141">
            <v>43.895694271484075</v>
          </cell>
          <cell r="AK141">
            <v>2685900</v>
          </cell>
          <cell r="AL141">
            <v>2575816.6004639706</v>
          </cell>
          <cell r="AU141">
            <v>92</v>
          </cell>
          <cell r="AV141">
            <v>52.1</v>
          </cell>
          <cell r="AW141">
            <v>3424171</v>
          </cell>
          <cell r="AX141">
            <v>3126346.9</v>
          </cell>
        </row>
        <row r="142">
          <cell r="B142">
            <v>836167</v>
          </cell>
          <cell r="AJ142">
            <v>52.988889999999998</v>
          </cell>
          <cell r="AK142">
            <v>2832830</v>
          </cell>
          <cell r="AL142">
            <v>2938425.9665299999</v>
          </cell>
          <cell r="AU142">
            <v>86</v>
          </cell>
          <cell r="AV142">
            <v>58.4</v>
          </cell>
          <cell r="AW142">
            <v>3258830</v>
          </cell>
          <cell r="AX142">
            <v>3408895.6</v>
          </cell>
          <cell r="AY142">
            <v>72</v>
          </cell>
        </row>
        <row r="143">
          <cell r="B143">
            <v>1276941</v>
          </cell>
          <cell r="AJ143">
            <v>53.44501674937095</v>
          </cell>
          <cell r="AK143">
            <v>3015048</v>
          </cell>
          <cell r="AL143">
            <v>2956614.9329146654</v>
          </cell>
          <cell r="AU143">
            <v>93</v>
          </cell>
          <cell r="AV143">
            <v>62.3</v>
          </cell>
          <cell r="AW143">
            <v>3556051</v>
          </cell>
          <cell r="AX143">
            <v>3583806.6999999997</v>
          </cell>
        </row>
        <row r="144">
          <cell r="B144">
            <v>424657</v>
          </cell>
          <cell r="AJ144">
            <v>57.747965253772371</v>
          </cell>
          <cell r="AK144">
            <v>4794431</v>
          </cell>
          <cell r="AL144">
            <v>3128203.6104246806</v>
          </cell>
          <cell r="AU144">
            <v>94</v>
          </cell>
          <cell r="AV144">
            <v>63.95</v>
          </cell>
          <cell r="AW144">
            <v>5520299</v>
          </cell>
          <cell r="AX144">
            <v>3657807.5500000003</v>
          </cell>
          <cell r="AY144">
            <v>74</v>
          </cell>
        </row>
        <row r="145">
          <cell r="B145">
            <v>821801</v>
          </cell>
        </row>
        <row r="146">
          <cell r="B146">
            <v>944654</v>
          </cell>
          <cell r="AY146">
            <v>76</v>
          </cell>
        </row>
        <row r="147">
          <cell r="B147">
            <v>1713168</v>
          </cell>
        </row>
        <row r="148">
          <cell r="B148">
            <v>1278045</v>
          </cell>
          <cell r="AY148">
            <v>78</v>
          </cell>
        </row>
        <row r="149">
          <cell r="B149">
            <v>1110424</v>
          </cell>
        </row>
        <row r="150">
          <cell r="B150">
            <v>1334221</v>
          </cell>
          <cell r="AY150">
            <v>80</v>
          </cell>
          <cell r="AZ150">
            <v>9.4539249146757687</v>
          </cell>
          <cell r="BA150">
            <v>11.815410680349556</v>
          </cell>
        </row>
        <row r="151">
          <cell r="B151">
            <v>2041584</v>
          </cell>
          <cell r="AZ151">
            <v>8.8634308109737709</v>
          </cell>
          <cell r="BA151">
            <v>11.077417687753073</v>
          </cell>
        </row>
        <row r="152">
          <cell r="B152">
            <v>1868680</v>
          </cell>
          <cell r="AY152">
            <v>82</v>
          </cell>
          <cell r="AZ152">
            <v>11.626898047722342</v>
          </cell>
          <cell r="BA152">
            <v>14.531168441917483</v>
          </cell>
        </row>
        <row r="153">
          <cell r="B153">
            <v>1763024</v>
          </cell>
          <cell r="AZ153">
            <v>16.815498713485695</v>
          </cell>
          <cell r="BA153">
            <v>21.015824103521251</v>
          </cell>
        </row>
        <row r="154">
          <cell r="B154">
            <v>2385247</v>
          </cell>
          <cell r="AY154">
            <v>84</v>
          </cell>
          <cell r="AZ154">
            <v>14.923374497842582</v>
          </cell>
          <cell r="BA154">
            <v>11.333156039819848</v>
          </cell>
          <cell r="BB154">
            <v>7.7429375817971113</v>
          </cell>
        </row>
        <row r="155">
          <cell r="B155">
            <v>2832830</v>
          </cell>
          <cell r="AZ155">
            <v>20.409323479249572</v>
          </cell>
          <cell r="BA155">
            <v>13.961161958140158</v>
          </cell>
          <cell r="BB155">
            <v>7.5130004370307439</v>
          </cell>
        </row>
        <row r="156">
          <cell r="B156">
            <v>1363942</v>
          </cell>
          <cell r="AY156">
            <v>86</v>
          </cell>
          <cell r="AZ156">
            <v>16.425638278878772</v>
          </cell>
          <cell r="BA156">
            <v>17.732426245988314</v>
          </cell>
          <cell r="BB156">
            <v>19.039214213097857</v>
          </cell>
        </row>
        <row r="157">
          <cell r="B157">
            <v>972668</v>
          </cell>
          <cell r="AZ157">
            <v>19.696434874691139</v>
          </cell>
          <cell r="BA157">
            <v>15.205112365554188</v>
          </cell>
          <cell r="BB157">
            <v>10.713789856417236</v>
          </cell>
        </row>
        <row r="158">
          <cell r="B158">
            <v>2032393</v>
          </cell>
          <cell r="AY158">
            <v>88</v>
          </cell>
          <cell r="AZ158">
            <v>17.341292952824695</v>
          </cell>
          <cell r="BA158">
            <v>10.78286420641925</v>
          </cell>
          <cell r="BB158">
            <v>4.2244354600138054</v>
          </cell>
        </row>
        <row r="159">
          <cell r="B159">
            <v>2317446</v>
          </cell>
          <cell r="AZ159">
            <v>14.167583306036114</v>
          </cell>
          <cell r="BA159">
            <v>12.277412988470601</v>
          </cell>
          <cell r="BB159">
            <v>10.387242670905087</v>
          </cell>
        </row>
        <row r="160">
          <cell r="B160">
            <v>2275666</v>
          </cell>
          <cell r="AY160">
            <v>90</v>
          </cell>
          <cell r="AZ160">
            <v>20.857390923683059</v>
          </cell>
          <cell r="BA160">
            <v>19.05570511967656</v>
          </cell>
          <cell r="BB160">
            <v>17.25401931567006</v>
          </cell>
        </row>
        <row r="161">
          <cell r="B161">
            <v>2685900</v>
          </cell>
          <cell r="AZ161">
            <v>22.808764940239044</v>
          </cell>
          <cell r="BA161">
            <v>20.107546591613698</v>
          </cell>
          <cell r="BB161">
            <v>17.406328242988348</v>
          </cell>
        </row>
        <row r="162">
          <cell r="B162">
            <v>3015048</v>
          </cell>
          <cell r="AY162">
            <v>92</v>
          </cell>
          <cell r="AZ162">
            <v>31.687599883340411</v>
          </cell>
          <cell r="BA162">
            <v>26.323507983923939</v>
          </cell>
          <cell r="BB162">
            <v>20.95941608450747</v>
          </cell>
        </row>
        <row r="163">
          <cell r="B163">
            <v>4794431</v>
          </cell>
          <cell r="AZ163">
            <v>23.160137682347155</v>
          </cell>
          <cell r="BA163">
            <v>18.07574107454467</v>
          </cell>
          <cell r="BB163">
            <v>12.991344466742182</v>
          </cell>
        </row>
        <row r="164">
          <cell r="AY164">
            <v>94</v>
          </cell>
          <cell r="AZ164">
            <v>31.631530000000001</v>
          </cell>
          <cell r="BA164">
            <v>24.883011561888232</v>
          </cell>
          <cell r="BB164">
            <v>18.134493123776465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5 comb chart"/>
      <sheetName val="115FILLIN"/>
      <sheetName val="111cpue escape"/>
      <sheetName val="111FILLIN"/>
      <sheetName val="111 comb chart"/>
      <sheetName val="Sheet1"/>
      <sheetName val="115W Interp."/>
      <sheetName val="115gillh"/>
      <sheetName val="Fall Effort Chart"/>
      <sheetName val="111W Interp."/>
      <sheetName val="111GILL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KERUN (97)"/>
      <sheetName val="AukeJpred (2)"/>
      <sheetName val="AukeJpred"/>
      <sheetName val="97Pred"/>
      <sheetName val="AUKERUN"/>
    </sheetNames>
    <sheetDataSet>
      <sheetData sheetId="0"/>
      <sheetData sheetId="1"/>
      <sheetData sheetId="2"/>
      <sheetData sheetId="3"/>
      <sheetData sheetId="4">
        <row r="96">
          <cell r="C96">
            <v>877</v>
          </cell>
        </row>
        <row r="103">
          <cell r="C103">
            <v>1151</v>
          </cell>
        </row>
        <row r="104">
          <cell r="C104">
            <v>1689</v>
          </cell>
        </row>
        <row r="105">
          <cell r="C105">
            <v>966</v>
          </cell>
        </row>
        <row r="106">
          <cell r="C106">
            <v>877</v>
          </cell>
        </row>
        <row r="107">
          <cell r="C107">
            <v>991</v>
          </cell>
        </row>
        <row r="108">
          <cell r="C108">
            <v>756</v>
          </cell>
        </row>
        <row r="109">
          <cell r="C109">
            <v>1234</v>
          </cell>
        </row>
        <row r="110">
          <cell r="C110">
            <v>1151</v>
          </cell>
        </row>
        <row r="111">
          <cell r="C111">
            <v>1689</v>
          </cell>
        </row>
        <row r="112">
          <cell r="C112">
            <v>966</v>
          </cell>
        </row>
        <row r="113">
          <cell r="C113">
            <v>1177</v>
          </cell>
        </row>
        <row r="114">
          <cell r="C114">
            <v>1191</v>
          </cell>
        </row>
        <row r="115">
          <cell r="C115">
            <v>1139</v>
          </cell>
        </row>
        <row r="116">
          <cell r="C116">
            <v>1469</v>
          </cell>
        </row>
        <row r="117">
          <cell r="C117">
            <v>1145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e-Coho-Systematic-JJ"/>
      <sheetName val="SystemStraitCohoDataAllYears"/>
      <sheetName val="NSE1997"/>
      <sheetName val="NSE1998"/>
      <sheetName val="NSE1999"/>
      <sheetName val="NSE2000"/>
      <sheetName val="NSE2001"/>
      <sheetName val="NSE2002"/>
      <sheetName val="NSE2003"/>
      <sheetName val="NSE2004"/>
      <sheetName val="NSE2005"/>
      <sheetName val="NSE2006"/>
      <sheetName val="NSE2007"/>
      <sheetName val="NSE2008"/>
      <sheetName val="NSE2009"/>
      <sheetName val="NSE2010"/>
      <sheetName val="NSE2011"/>
      <sheetName val="NSE2012"/>
      <sheetName val="NSE2013"/>
      <sheetName val="NSE2014"/>
      <sheetName val="NSE2015"/>
      <sheetName val="NSE2016"/>
      <sheetName val="SUMMARY"/>
      <sheetName val="SSE2005"/>
      <sheetName val="SSE2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
          <cell r="A2">
            <v>1997</v>
          </cell>
        </row>
        <row r="3">
          <cell r="A3">
            <v>1998</v>
          </cell>
        </row>
        <row r="4">
          <cell r="A4">
            <v>1999</v>
          </cell>
        </row>
        <row r="5">
          <cell r="A5">
            <v>2000</v>
          </cell>
        </row>
        <row r="6">
          <cell r="A6">
            <v>2001</v>
          </cell>
        </row>
        <row r="7">
          <cell r="A7">
            <v>2002</v>
          </cell>
        </row>
        <row r="8">
          <cell r="A8">
            <v>2003</v>
          </cell>
        </row>
        <row r="9">
          <cell r="A9">
            <v>2004</v>
          </cell>
        </row>
        <row r="10">
          <cell r="A10">
            <v>2005</v>
          </cell>
        </row>
        <row r="11">
          <cell r="A11">
            <v>2006</v>
          </cell>
        </row>
        <row r="12">
          <cell r="A12">
            <v>2007</v>
          </cell>
        </row>
        <row r="13">
          <cell r="A13">
            <v>2008</v>
          </cell>
        </row>
        <row r="14">
          <cell r="A14">
            <v>2009</v>
          </cell>
        </row>
        <row r="15">
          <cell r="A15">
            <v>2010</v>
          </cell>
        </row>
        <row r="16">
          <cell r="A16">
            <v>2011</v>
          </cell>
        </row>
        <row r="17">
          <cell r="A17">
            <v>2012</v>
          </cell>
        </row>
        <row r="18">
          <cell r="A18">
            <v>2013</v>
          </cell>
        </row>
        <row r="19">
          <cell r="A19">
            <v>2014</v>
          </cell>
        </row>
        <row r="20">
          <cell r="A20">
            <v>2015</v>
          </cell>
        </row>
      </sheetData>
      <sheetData sheetId="23"/>
      <sheetData sheetId="2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Regression"/>
    </sheetNames>
    <sheetDataSet>
      <sheetData sheetId="0">
        <row r="5">
          <cell r="J5">
            <v>-2.2096086365359411</v>
          </cell>
          <cell r="M5">
            <v>5.65</v>
          </cell>
          <cell r="N5">
            <v>-2.7221419999999998</v>
          </cell>
          <cell r="O5">
            <v>-1.9844869999999999</v>
          </cell>
        </row>
        <row r="6">
          <cell r="J6">
            <v>-1.4631924121139552</v>
          </cell>
          <cell r="K6">
            <v>5.7901640237162244</v>
          </cell>
          <cell r="M6">
            <v>5.7</v>
          </cell>
          <cell r="N6">
            <v>-2.2739120000000002</v>
          </cell>
          <cell r="O6">
            <v>-1.828292</v>
          </cell>
        </row>
        <row r="7">
          <cell r="J7">
            <v>-1.434878360975635</v>
          </cell>
          <cell r="M7">
            <v>5.75</v>
          </cell>
          <cell r="N7">
            <v>-1.8745069999999999</v>
          </cell>
          <cell r="O7">
            <v>-1.623273</v>
          </cell>
        </row>
        <row r="8">
          <cell r="J8">
            <v>-1.5402336914800197</v>
          </cell>
          <cell r="K8">
            <v>5.7676958003998537</v>
          </cell>
          <cell r="M8">
            <v>5.8</v>
          </cell>
          <cell r="N8">
            <v>-1.6322559999999999</v>
          </cell>
          <cell r="O8">
            <v>-1.2611000000000001</v>
          </cell>
        </row>
        <row r="9">
          <cell r="J9">
            <v>-1.6477740611776477</v>
          </cell>
          <cell r="K9">
            <v>5.762519625873785</v>
          </cell>
          <cell r="M9">
            <v>5.85</v>
          </cell>
          <cell r="N9">
            <v>-1.469463</v>
          </cell>
          <cell r="O9">
            <v>-0.81946799999999997</v>
          </cell>
        </row>
        <row r="10">
          <cell r="J10">
            <v>-1.8473293203828658</v>
          </cell>
          <cell r="K10">
            <v>5.8135333386153203</v>
          </cell>
          <cell r="M10">
            <v>5.9</v>
          </cell>
          <cell r="N10">
            <v>-1.32114</v>
          </cell>
          <cell r="O10">
            <v>-0.363367</v>
          </cell>
        </row>
        <row r="11">
          <cell r="J11">
            <v>-2.1954014227747041</v>
          </cell>
          <cell r="M11">
            <v>5.95</v>
          </cell>
          <cell r="N11">
            <v>-1.1768810000000001</v>
          </cell>
          <cell r="O11">
            <v>9.6798999999999996E-2</v>
          </cell>
        </row>
        <row r="12">
          <cell r="J12">
            <v>-1.723742683714159</v>
          </cell>
          <cell r="K12">
            <v>5.7487041620477131</v>
          </cell>
        </row>
        <row r="13">
          <cell r="J13">
            <v>-1.9213388883248079</v>
          </cell>
        </row>
        <row r="14">
          <cell r="J14">
            <v>-1.2631933107742406</v>
          </cell>
          <cell r="K14">
            <v>5.7802428899996459</v>
          </cell>
        </row>
        <row r="15">
          <cell r="J15">
            <v>-1.5788448092539384</v>
          </cell>
          <cell r="K15">
            <v>5.8038939440253587</v>
          </cell>
        </row>
        <row r="16">
          <cell r="J16">
            <v>-2.0974600471825142</v>
          </cell>
          <cell r="K16">
            <v>5.7093226550318166</v>
          </cell>
        </row>
        <row r="17">
          <cell r="J17">
            <v>-1.9336678741906257</v>
          </cell>
          <cell r="K17">
            <v>5.7181235919268589</v>
          </cell>
        </row>
        <row r="18">
          <cell r="J18">
            <v>-1.9262129458275461</v>
          </cell>
          <cell r="K18">
            <v>5.7842921062708186</v>
          </cell>
        </row>
        <row r="19">
          <cell r="J19">
            <v>-1.4718165345580527</v>
          </cell>
          <cell r="K19">
            <v>5.8065508177463192</v>
          </cell>
        </row>
        <row r="20">
          <cell r="J20">
            <v>-1.5218706048420576</v>
          </cell>
          <cell r="K20">
            <v>5.7259976483577644</v>
          </cell>
        </row>
        <row r="21">
          <cell r="J21">
            <v>-1.6157781943286835</v>
          </cell>
          <cell r="K21">
            <v>5.7356589163835716</v>
          </cell>
        </row>
        <row r="22">
          <cell r="J22">
            <v>-1.7058297581091661</v>
          </cell>
          <cell r="K22">
            <v>5.7129193499533519</v>
          </cell>
        </row>
        <row r="23">
          <cell r="J23">
            <v>-1.5494036674920404</v>
          </cell>
          <cell r="K23">
            <v>5.7821314410671771</v>
          </cell>
        </row>
        <row r="24">
          <cell r="J24">
            <v>-1.4341295673940542</v>
          </cell>
          <cell r="K24">
            <v>5.7613940749016823</v>
          </cell>
        </row>
        <row r="25">
          <cell r="J25">
            <v>-2.0153503477695853</v>
          </cell>
          <cell r="K25">
            <v>5.7040925041114825</v>
          </cell>
        </row>
        <row r="26">
          <cell r="J26">
            <v>-2.0573547542769925</v>
          </cell>
          <cell r="K26">
            <v>5.7404357923042362</v>
          </cell>
        </row>
        <row r="27">
          <cell r="J27">
            <v>-2.5069620998111874</v>
          </cell>
          <cell r="K27">
            <v>5.7153031575908715</v>
          </cell>
        </row>
        <row r="28">
          <cell r="J28">
            <v>-2.2713325494899412</v>
          </cell>
          <cell r="K28">
            <v>5.7000500275375154</v>
          </cell>
        </row>
        <row r="29">
          <cell r="J29">
            <v>-1.4025548819916709</v>
          </cell>
          <cell r="K29">
            <v>5.846484649773882</v>
          </cell>
        </row>
        <row r="30">
          <cell r="J30">
            <v>-1.4390799043819162</v>
          </cell>
          <cell r="K30">
            <v>5.7852984555040123</v>
          </cell>
        </row>
        <row r="31">
          <cell r="J31">
            <v>-1.4900911548015341</v>
          </cell>
          <cell r="K31">
            <v>5.7794079563283649</v>
          </cell>
        </row>
        <row r="32">
          <cell r="J32">
            <v>-1.2154115564143606</v>
          </cell>
          <cell r="K32">
            <v>5.7650029973198258</v>
          </cell>
        </row>
        <row r="33">
          <cell r="J33">
            <v>-2.3240511528889232</v>
          </cell>
          <cell r="K33">
            <v>5.7406499938687272</v>
          </cell>
        </row>
        <row r="34">
          <cell r="J34">
            <v>-1.8548765260182485</v>
          </cell>
          <cell r="K34">
            <v>5.7409053280902533</v>
          </cell>
        </row>
        <row r="35">
          <cell r="J35">
            <v>-1.804917553805566</v>
          </cell>
          <cell r="K35">
            <v>5.7138506674931229</v>
          </cell>
        </row>
        <row r="36">
          <cell r="J36">
            <v>-1.0629809890219122</v>
          </cell>
          <cell r="K36">
            <v>5.7944300202889716</v>
          </cell>
        </row>
        <row r="37">
          <cell r="J37">
            <v>-1.3517965201803883</v>
          </cell>
          <cell r="K37">
            <v>5.7582836766211472</v>
          </cell>
        </row>
        <row r="38">
          <cell r="J38">
            <v>-2.0739318858688662</v>
          </cell>
          <cell r="K38">
            <v>5.7358436241528263</v>
          </cell>
        </row>
        <row r="39">
          <cell r="J39">
            <v>-2.3025850929940455</v>
          </cell>
          <cell r="K39">
            <v>5.6845212392425237</v>
          </cell>
        </row>
        <row r="40">
          <cell r="J40">
            <v>-1.2201049544180782</v>
          </cell>
          <cell r="K40">
            <v>5.7759874289750677</v>
          </cell>
        </row>
        <row r="41">
          <cell r="J41">
            <v>-1.5559793339093331</v>
          </cell>
          <cell r="K41">
            <v>5.8051349689164882</v>
          </cell>
        </row>
        <row r="42">
          <cell r="J42">
            <v>-1.1068860383144496</v>
          </cell>
          <cell r="K42">
            <v>5.8562173976999565</v>
          </cell>
        </row>
      </sheetData>
      <sheetData sheetId="1">
        <row r="2">
          <cell r="B2" t="str">
            <v>Log (Prop. Jacks)</v>
          </cell>
        </row>
        <row r="3">
          <cell r="A3">
            <v>5.7901640237162244</v>
          </cell>
          <cell r="B3">
            <v>-1.4631924121139552</v>
          </cell>
          <cell r="C3">
            <v>-1.5061287822918885</v>
          </cell>
        </row>
        <row r="4">
          <cell r="A4">
            <v>5.7676958003998537</v>
          </cell>
          <cell r="B4">
            <v>-1.5402336914800197</v>
          </cell>
          <cell r="C4">
            <v>-1.6419322180306111</v>
          </cell>
        </row>
        <row r="5">
          <cell r="A5">
            <v>5.762519625873785</v>
          </cell>
          <cell r="B5">
            <v>-1.6477740611776477</v>
          </cell>
          <cell r="C5">
            <v>-1.6732182825638588</v>
          </cell>
        </row>
        <row r="6">
          <cell r="A6">
            <v>5.8135333386153203</v>
          </cell>
          <cell r="B6">
            <v>-1.8473293203828658</v>
          </cell>
          <cell r="C6">
            <v>-1.3648789286888672</v>
          </cell>
        </row>
        <row r="7">
          <cell r="A7">
            <v>5.7487041620477131</v>
          </cell>
          <cell r="B7">
            <v>-1.723742683714159</v>
          </cell>
          <cell r="C7">
            <v>-1.7567223241378827</v>
          </cell>
        </row>
        <row r="8">
          <cell r="A8">
            <v>5.7802428899996459</v>
          </cell>
          <cell r="B8">
            <v>-1.2631933107742406</v>
          </cell>
          <cell r="C8">
            <v>-1.5660945404278692</v>
          </cell>
        </row>
        <row r="9">
          <cell r="A9">
            <v>5.8038939440253587</v>
          </cell>
          <cell r="B9">
            <v>-1.5788448092539384</v>
          </cell>
          <cell r="C9">
            <v>-1.4231417866516622</v>
          </cell>
        </row>
        <row r="10">
          <cell r="A10">
            <v>5.7093226550318166</v>
          </cell>
          <cell r="B10">
            <v>-2.0974600471825142</v>
          </cell>
          <cell r="C10">
            <v>-1.9947537822563675</v>
          </cell>
        </row>
        <row r="11">
          <cell r="A11">
            <v>5.7181235919268589</v>
          </cell>
          <cell r="B11">
            <v>-1.9336678741906257</v>
          </cell>
          <cell r="C11">
            <v>-1.9415587676244996</v>
          </cell>
        </row>
        <row r="12">
          <cell r="A12">
            <v>5.7842921062708186</v>
          </cell>
          <cell r="B12">
            <v>-1.9262129458275461</v>
          </cell>
          <cell r="C12">
            <v>-1.5416200871552874</v>
          </cell>
        </row>
        <row r="13">
          <cell r="A13">
            <v>5.8065508177463192</v>
          </cell>
          <cell r="B13">
            <v>-1.4718165345580527</v>
          </cell>
          <cell r="C13">
            <v>-1.4070829922134038</v>
          </cell>
        </row>
        <row r="14">
          <cell r="A14">
            <v>5.7259976483577644</v>
          </cell>
          <cell r="B14">
            <v>-1.5218706048420576</v>
          </cell>
          <cell r="C14">
            <v>-1.8939660451621734</v>
          </cell>
        </row>
        <row r="15">
          <cell r="A15">
            <v>5.7356589163835716</v>
          </cell>
          <cell r="B15">
            <v>-1.6157781943286835</v>
          </cell>
          <cell r="C15">
            <v>-1.8355709788045544</v>
          </cell>
        </row>
        <row r="16">
          <cell r="A16">
            <v>5.7129193499533519</v>
          </cell>
          <cell r="B16">
            <v>-1.7058297581091661</v>
          </cell>
          <cell r="C16">
            <v>-1.9730144786732211</v>
          </cell>
        </row>
        <row r="17">
          <cell r="A17">
            <v>5.7821314410671771</v>
          </cell>
          <cell r="B17">
            <v>-1.5494036674920404</v>
          </cell>
          <cell r="C17">
            <v>-1.5546796759800898</v>
          </cell>
        </row>
        <row r="18">
          <cell r="A18">
            <v>5.7613940749016823</v>
          </cell>
          <cell r="B18">
            <v>-1.4341295673940542</v>
          </cell>
          <cell r="C18">
            <v>-1.6800213878632135</v>
          </cell>
        </row>
        <row r="19">
          <cell r="A19">
            <v>5.7040925041114825</v>
          </cell>
          <cell r="B19">
            <v>-2.0153503477695853</v>
          </cell>
          <cell r="C19">
            <v>-2.0263660933150689</v>
          </cell>
        </row>
        <row r="20">
          <cell r="A20">
            <v>5.7404357923042362</v>
          </cell>
          <cell r="B20">
            <v>-2.0573547542769925</v>
          </cell>
          <cell r="C20">
            <v>-1.8066983726803656</v>
          </cell>
        </row>
        <row r="21">
          <cell r="A21">
            <v>5.7153031575908715</v>
          </cell>
          <cell r="B21">
            <v>-2.5069620998111874</v>
          </cell>
          <cell r="C21">
            <v>-1.9586061624144335</v>
          </cell>
        </row>
        <row r="22">
          <cell r="A22">
            <v>5.7000500275375154</v>
          </cell>
          <cell r="B22">
            <v>-2.2713325494899412</v>
          </cell>
          <cell r="C22">
            <v>-2.0507998102097176</v>
          </cell>
        </row>
        <row r="23">
          <cell r="A23">
            <v>5.846484649773882</v>
          </cell>
          <cell r="B23">
            <v>-1.4025548819916709</v>
          </cell>
          <cell r="C23">
            <v>-1.1657131466678194</v>
          </cell>
        </row>
        <row r="24">
          <cell r="A24">
            <v>5.7852984555040123</v>
          </cell>
          <cell r="B24">
            <v>-1.4390799043819162</v>
          </cell>
          <cell r="C24">
            <v>-1.5355374663135635</v>
          </cell>
        </row>
        <row r="25">
          <cell r="A25">
            <v>5.7794079563283649</v>
          </cell>
          <cell r="B25">
            <v>-1.4900911548015341</v>
          </cell>
          <cell r="C25">
            <v>-1.5711410836982154</v>
          </cell>
        </row>
        <row r="26">
          <cell r="A26">
            <v>5.7650029973198258</v>
          </cell>
          <cell r="B26">
            <v>-1.2154115564143606</v>
          </cell>
          <cell r="C26">
            <v>-1.6582081783006544</v>
          </cell>
        </row>
        <row r="27">
          <cell r="A27">
            <v>5.7406499938687272</v>
          </cell>
          <cell r="B27">
            <v>-2.3240511528889232</v>
          </cell>
          <cell r="C27">
            <v>-1.8054036860472067</v>
          </cell>
        </row>
        <row r="28">
          <cell r="A28">
            <v>5.7409053280902533</v>
          </cell>
          <cell r="B28">
            <v>-1.8548765260182485</v>
          </cell>
          <cell r="C28">
            <v>-1.8038603835770175</v>
          </cell>
        </row>
        <row r="29">
          <cell r="A29">
            <v>5.7138506674931229</v>
          </cell>
          <cell r="B29">
            <v>-1.804917553805566</v>
          </cell>
          <cell r="C29">
            <v>-1.96738536773357</v>
          </cell>
        </row>
        <row r="30">
          <cell r="A30">
            <v>5.7944300202889716</v>
          </cell>
          <cell r="B30">
            <v>-1.0629809890219122</v>
          </cell>
          <cell r="C30">
            <v>-1.480344055868656</v>
          </cell>
        </row>
        <row r="31">
          <cell r="A31">
            <v>5.7582836766211472</v>
          </cell>
          <cell r="B31">
            <v>-1.3517965201803883</v>
          </cell>
          <cell r="C31">
            <v>-1.6988213956370686</v>
          </cell>
        </row>
        <row r="32">
          <cell r="A32">
            <v>5.7358436241528263</v>
          </cell>
          <cell r="B32">
            <v>-2.0739318858688662</v>
          </cell>
          <cell r="C32">
            <v>-1.8344545598817348</v>
          </cell>
        </row>
        <row r="33">
          <cell r="A33">
            <v>5.6845212392425237</v>
          </cell>
          <cell r="B33">
            <v>-2.3025850929940455</v>
          </cell>
          <cell r="C33">
            <v>-2.144659603822447</v>
          </cell>
        </row>
        <row r="34">
          <cell r="A34">
            <v>5.7759874289750677</v>
          </cell>
          <cell r="B34">
            <v>-1.2201049544180782</v>
          </cell>
          <cell r="C34">
            <v>-1.5918155874217774</v>
          </cell>
        </row>
        <row r="35">
          <cell r="A35">
            <v>5.8051349689164882</v>
          </cell>
          <cell r="B35">
            <v>-1.5559793339093331</v>
          </cell>
          <cell r="C35">
            <v>-1.4156407287495938</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rth-South (newexpBern)"/>
      <sheetName val="SmoltTableBOF"/>
      <sheetName val="Survival Table"/>
      <sheetName val="North-South"/>
      <sheetName val="BOFTableUpdate"/>
      <sheetName val="BOFTable(incl Hatchery)"/>
      <sheetName val="smolttable"/>
      <sheetName val="Wildsurvivaltable"/>
      <sheetName val="AukeRun"/>
      <sheetName val="Survival Model"/>
      <sheetName val="Auke Creek"/>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6"/>
      <sheetName val="AgingComparison (2)"/>
      <sheetName val="AgingComparison"/>
      <sheetName val="AgeComp (3)"/>
      <sheetName val="11391_CFrwthr"/>
      <sheetName val="Cross-Icy-Yak34on"/>
      <sheetName val="PTFPDsNSE"/>
      <sheetName val="Snowfall"/>
      <sheetName val="Precip"/>
      <sheetName val="Temp"/>
      <sheetName val="Snow"/>
      <sheetName val="Precipitation"/>
      <sheetName val="Figures"/>
      <sheetName val="TaggingTable (2)"/>
      <sheetName val="Number Tagged"/>
      <sheetName val="SmoltCatch"/>
      <sheetName val="SmoltSurvFigure"/>
      <sheetName val="MarkingTable"/>
      <sheetName val="Presmolts"/>
      <sheetName val="InseasonSmoltTable"/>
      <sheetName val="SmoltTable"/>
      <sheetName val="SmoltTablePub"/>
      <sheetName val="AgeComp (2)"/>
      <sheetName val="AgeComparisonClarketal"/>
      <sheetName val="BernersRunCause"/>
      <sheetName val="BYreturnsUnadjAdults"/>
      <sheetName val="ReturnYear"/>
      <sheetName val="AgeComp"/>
      <sheetName val="BYreturnsAdjAdults"/>
      <sheetName val="Sheet3"/>
      <sheetName val="Sheet1"/>
      <sheetName val="Table1"/>
      <sheetName val="Sheet2"/>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1">
          <cell r="A11">
            <v>1989</v>
          </cell>
        </row>
        <row r="12">
          <cell r="A12">
            <v>1990</v>
          </cell>
        </row>
        <row r="13">
          <cell r="A13">
            <v>1991</v>
          </cell>
        </row>
        <row r="14">
          <cell r="A14">
            <v>1992</v>
          </cell>
        </row>
        <row r="15">
          <cell r="A15">
            <v>1993</v>
          </cell>
        </row>
        <row r="16">
          <cell r="A16">
            <v>1994</v>
          </cell>
        </row>
        <row r="17">
          <cell r="A17">
            <v>1995</v>
          </cell>
        </row>
        <row r="18">
          <cell r="A18">
            <v>1996</v>
          </cell>
        </row>
        <row r="19">
          <cell r="A19">
            <v>1997</v>
          </cell>
        </row>
        <row r="20">
          <cell r="A20">
            <v>1998</v>
          </cell>
        </row>
        <row r="21">
          <cell r="A21">
            <v>1999</v>
          </cell>
        </row>
        <row r="22">
          <cell r="A22">
            <v>2000</v>
          </cell>
        </row>
        <row r="23">
          <cell r="A23">
            <v>2001</v>
          </cell>
        </row>
        <row r="24">
          <cell r="A24">
            <v>2002</v>
          </cell>
        </row>
        <row r="25">
          <cell r="A25">
            <v>2003</v>
          </cell>
        </row>
        <row r="26">
          <cell r="A26">
            <v>2004</v>
          </cell>
        </row>
        <row r="27">
          <cell r="A27">
            <v>2005</v>
          </cell>
        </row>
        <row r="28">
          <cell r="A28">
            <v>2006</v>
          </cell>
        </row>
        <row r="29">
          <cell r="A29">
            <v>2007</v>
          </cell>
        </row>
        <row r="30">
          <cell r="A30">
            <v>2008</v>
          </cell>
        </row>
        <row r="31">
          <cell r="A31">
            <v>2009</v>
          </cell>
        </row>
        <row r="32">
          <cell r="A32">
            <v>2010</v>
          </cell>
        </row>
        <row r="33">
          <cell r="A33">
            <v>2011</v>
          </cell>
        </row>
        <row r="34">
          <cell r="A34">
            <v>2012</v>
          </cell>
        </row>
        <row r="35">
          <cell r="A35">
            <v>2013</v>
          </cell>
        </row>
        <row r="36">
          <cell r="A36">
            <v>2014</v>
          </cell>
        </row>
        <row r="37">
          <cell r="A37">
            <v>2015</v>
          </cell>
        </row>
        <row r="38">
          <cell r="A38">
            <v>2016</v>
          </cell>
        </row>
        <row r="39">
          <cell r="A39">
            <v>2017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Graph (B&amp;W)"/>
      <sheetName val="PrintTable"/>
      <sheetName val="Rawcounts"/>
      <sheetName val="Table 19 (4)"/>
      <sheetName val="ReportGraph (3)"/>
      <sheetName val="ReportGraph (2)"/>
      <sheetName val="Sheet1"/>
      <sheetName val="Figs"/>
      <sheetName val="RawcountswEdsUpdate9_12_05"/>
      <sheetName val="Table 19 (3)"/>
      <sheetName val="Table 19 (2)"/>
      <sheetName val="North Esc. Graph"/>
      <sheetName val="Table 19"/>
      <sheetName val="Table"/>
      <sheetName val="PowerPointFigs"/>
      <sheetName val="ReportGraph"/>
    </sheetNames>
    <sheetDataSet>
      <sheetData sheetId="0" refreshError="1"/>
      <sheetData sheetId="1" refreshError="1"/>
      <sheetData sheetId="2">
        <row r="50">
          <cell r="Y50">
            <v>1980</v>
          </cell>
        </row>
        <row r="51">
          <cell r="Y51">
            <v>1981</v>
          </cell>
        </row>
        <row r="52">
          <cell r="Y52">
            <v>1982</v>
          </cell>
        </row>
        <row r="53">
          <cell r="Y53">
            <v>1983</v>
          </cell>
        </row>
        <row r="54">
          <cell r="Y54">
            <v>1984</v>
          </cell>
        </row>
        <row r="55">
          <cell r="Y55">
            <v>1985</v>
          </cell>
        </row>
        <row r="56">
          <cell r="Y56">
            <v>1986</v>
          </cell>
        </row>
        <row r="57">
          <cell r="Y57">
            <v>1987</v>
          </cell>
        </row>
        <row r="58">
          <cell r="Y58">
            <v>1988</v>
          </cell>
        </row>
        <row r="59">
          <cell r="Y59">
            <v>1989</v>
          </cell>
        </row>
        <row r="60">
          <cell r="Y60">
            <v>1990</v>
          </cell>
        </row>
        <row r="61">
          <cell r="Y61">
            <v>1991</v>
          </cell>
        </row>
        <row r="62">
          <cell r="Y62">
            <v>1992</v>
          </cell>
        </row>
        <row r="63">
          <cell r="Y63">
            <v>1993</v>
          </cell>
        </row>
        <row r="64">
          <cell r="Y64">
            <v>1994</v>
          </cell>
        </row>
        <row r="65">
          <cell r="Y65">
            <v>1995</v>
          </cell>
        </row>
        <row r="66">
          <cell r="Y66">
            <v>1996</v>
          </cell>
        </row>
        <row r="67">
          <cell r="Y67">
            <v>1997</v>
          </cell>
        </row>
        <row r="68">
          <cell r="Y68">
            <v>1998</v>
          </cell>
        </row>
        <row r="69">
          <cell r="Y69">
            <v>1999</v>
          </cell>
        </row>
        <row r="70">
          <cell r="Y70">
            <v>2000</v>
          </cell>
        </row>
        <row r="71">
          <cell r="Y71">
            <v>2001</v>
          </cell>
        </row>
        <row r="72">
          <cell r="Y72">
            <v>2002</v>
          </cell>
        </row>
        <row r="73">
          <cell r="Y73">
            <v>2003</v>
          </cell>
        </row>
        <row r="74">
          <cell r="Y74">
            <v>2004</v>
          </cell>
        </row>
        <row r="75">
          <cell r="Y75">
            <v>2005</v>
          </cell>
        </row>
        <row r="76">
          <cell r="Y76">
            <v>2006</v>
          </cell>
        </row>
        <row r="77">
          <cell r="Y77">
            <v>2007</v>
          </cell>
        </row>
        <row r="78">
          <cell r="Y78">
            <v>2008</v>
          </cell>
        </row>
        <row r="79">
          <cell r="Y79">
            <v>2009</v>
          </cell>
        </row>
        <row r="80">
          <cell r="Y80">
            <v>2010</v>
          </cell>
        </row>
        <row r="81">
          <cell r="Y81">
            <v>2011</v>
          </cell>
        </row>
        <row r="82">
          <cell r="Y82">
            <v>2012</v>
          </cell>
        </row>
        <row r="83">
          <cell r="Y83">
            <v>2013</v>
          </cell>
        </row>
        <row r="84">
          <cell r="Y84">
            <v>2014</v>
          </cell>
        </row>
        <row r="85">
          <cell r="Y85">
            <v>2015</v>
          </cell>
        </row>
        <row r="86">
          <cell r="Y86">
            <v>2016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1" cap="flat" cmpd="sng" algn="ctr">
          <a:noFill/>
          <a:prstDash val="solid"/>
          <a:round/>
          <a:headEnd type="none" w="med" len="med"/>
          <a:tailEnd type="none" w="med" len="med"/>
        </a:ln>
        <a:effectLst/>
      </a:spPr>
      <a:bodyPr wrap="none" lIns="18288" tIns="0" rIns="0" bIns="0" upright="1">
        <a:spAutoFit/>
      </a:bodyPr>
      <a:lstStyle/>
    </a:spDef>
    <a:lnDef>
      <a:spPr bwMode="auto">
        <a:xfrm>
          <a:off x="0" y="0"/>
          <a:ext cx="1" cy="1"/>
        </a:xfrm>
        <a:custGeom>
          <a:avLst/>
          <a:gdLst/>
          <a:ahLst/>
          <a:cxnLst/>
          <a:rect l="0" t="0" r="0" b="0"/>
          <a:pathLst/>
        </a:custGeom>
        <a:noFill/>
        <a:ln w="1" cap="flat" cmpd="sng" algn="ctr">
          <a:noFill/>
          <a:prstDash val="solid"/>
          <a:round/>
          <a:headEnd type="none" w="med" len="med"/>
          <a:tailEnd type="none" w="med" len="med"/>
        </a:ln>
        <a:effectLst/>
      </a:spPr>
      <a:bodyPr wrap="none" lIns="18288" tIns="0" rIns="0" bIns="0" upright="1">
        <a:spAutoFit/>
      </a:bodyPr>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129"/>
  <sheetViews>
    <sheetView showGridLines="0" topLeftCell="A6" workbookViewId="0">
      <selection activeCell="C42" sqref="C42"/>
    </sheetView>
  </sheetViews>
  <sheetFormatPr defaultRowHeight="15" x14ac:dyDescent="0.25"/>
  <cols>
    <col min="1" max="16384" width="9.140625" style="322"/>
  </cols>
  <sheetData>
    <row r="2" spans="1:25" x14ac:dyDescent="0.25">
      <c r="A2" s="321" t="s">
        <v>284</v>
      </c>
      <c r="B2" s="324"/>
      <c r="D2" s="324"/>
      <c r="E2" s="324"/>
      <c r="F2" s="324"/>
      <c r="G2" s="324"/>
      <c r="H2" s="324"/>
      <c r="J2" s="324"/>
      <c r="K2" s="324"/>
      <c r="L2" s="177" t="s">
        <v>76</v>
      </c>
      <c r="M2" s="324"/>
      <c r="N2" s="321" t="s">
        <v>285</v>
      </c>
      <c r="O2" s="324"/>
      <c r="P2" s="324"/>
      <c r="Q2" s="324"/>
      <c r="R2" s="324"/>
      <c r="S2" s="324"/>
      <c r="T2" s="324"/>
      <c r="U2" s="324"/>
      <c r="V2" s="324"/>
      <c r="W2" s="324"/>
      <c r="X2" s="324"/>
      <c r="Y2" s="324"/>
    </row>
    <row r="3" spans="1:25" x14ac:dyDescent="0.25">
      <c r="L3" s="177" t="s">
        <v>4</v>
      </c>
    </row>
    <row r="4" spans="1:25" x14ac:dyDescent="0.25">
      <c r="A4" s="201" t="s">
        <v>3</v>
      </c>
      <c r="B4" s="200" t="s">
        <v>203</v>
      </c>
      <c r="C4" s="200" t="s">
        <v>205</v>
      </c>
      <c r="D4" s="200" t="s">
        <v>184</v>
      </c>
      <c r="E4" s="200" t="s">
        <v>152</v>
      </c>
      <c r="F4" s="324"/>
      <c r="G4" s="201" t="s">
        <v>3</v>
      </c>
      <c r="H4" s="200" t="s">
        <v>203</v>
      </c>
      <c r="I4" s="200" t="s">
        <v>205</v>
      </c>
      <c r="J4" s="200" t="s">
        <v>184</v>
      </c>
      <c r="K4" s="200" t="s">
        <v>152</v>
      </c>
      <c r="L4" s="200" t="s">
        <v>95</v>
      </c>
      <c r="M4" s="324"/>
      <c r="N4" s="201" t="s">
        <v>3</v>
      </c>
      <c r="O4" s="200" t="s">
        <v>203</v>
      </c>
      <c r="P4" s="200" t="s">
        <v>205</v>
      </c>
      <c r="Q4" s="200" t="s">
        <v>184</v>
      </c>
      <c r="R4" s="200" t="s">
        <v>152</v>
      </c>
      <c r="S4" s="324"/>
      <c r="T4" s="201" t="s">
        <v>3</v>
      </c>
      <c r="U4" s="200" t="s">
        <v>203</v>
      </c>
      <c r="V4" s="200" t="s">
        <v>205</v>
      </c>
      <c r="W4" s="200" t="s">
        <v>184</v>
      </c>
      <c r="X4" s="200" t="s">
        <v>152</v>
      </c>
      <c r="Y4" s="200" t="s">
        <v>32</v>
      </c>
    </row>
    <row r="5" spans="1:25" x14ac:dyDescent="0.25">
      <c r="A5" s="199">
        <v>1980</v>
      </c>
      <c r="B5" s="215">
        <f>AukeCr!C52</f>
        <v>13.47926267281106</v>
      </c>
      <c r="C5" s="177"/>
      <c r="D5" s="177"/>
      <c r="E5" s="177"/>
      <c r="F5" s="324"/>
      <c r="G5" s="199">
        <v>1980</v>
      </c>
      <c r="H5" s="215">
        <f>AukeCr!C52</f>
        <v>13.47926267281106</v>
      </c>
      <c r="I5" s="177"/>
      <c r="J5" s="177"/>
      <c r="K5" s="177"/>
      <c r="L5" s="177"/>
      <c r="M5" s="324"/>
      <c r="N5" s="199">
        <v>1980</v>
      </c>
      <c r="O5" s="215">
        <f>AukeCr!G52</f>
        <v>19.585253456221199</v>
      </c>
      <c r="P5" s="177"/>
      <c r="Q5" s="177"/>
      <c r="R5" s="177"/>
      <c r="S5" s="324"/>
      <c r="T5" s="199">
        <v>1980</v>
      </c>
      <c r="U5" s="177"/>
      <c r="V5" s="177"/>
      <c r="W5" s="177"/>
      <c r="X5" s="177"/>
      <c r="Y5" s="177"/>
    </row>
    <row r="6" spans="1:25" x14ac:dyDescent="0.25">
      <c r="A6" s="199">
        <v>1981</v>
      </c>
      <c r="B6" s="215">
        <f>AukeCr!C53</f>
        <v>28.688524590163933</v>
      </c>
      <c r="C6" s="177"/>
      <c r="D6" s="177"/>
      <c r="E6" s="177"/>
      <c r="F6" s="324"/>
      <c r="G6" s="199">
        <v>1981</v>
      </c>
      <c r="H6" s="215">
        <f>AukeCr!C53</f>
        <v>28.688524590163933</v>
      </c>
      <c r="I6" s="177"/>
      <c r="J6" s="177"/>
      <c r="K6" s="177"/>
      <c r="L6" s="177"/>
      <c r="M6" s="324"/>
      <c r="N6" s="199">
        <v>1981</v>
      </c>
      <c r="O6" s="215">
        <f>AukeCr!G53</f>
        <v>33.811475409836063</v>
      </c>
      <c r="P6" s="177"/>
      <c r="Q6" s="177"/>
      <c r="R6" s="177"/>
      <c r="S6" s="324"/>
      <c r="T6" s="199">
        <v>1981</v>
      </c>
      <c r="U6" s="177"/>
      <c r="V6" s="177"/>
      <c r="W6" s="177"/>
      <c r="X6" s="177"/>
      <c r="Y6" s="177"/>
    </row>
    <row r="7" spans="1:25" x14ac:dyDescent="0.25">
      <c r="A7" s="199">
        <v>1982</v>
      </c>
      <c r="B7" s="215">
        <f>AukeCr!C54</f>
        <v>20.162381596752368</v>
      </c>
      <c r="C7" s="215"/>
      <c r="D7" s="215">
        <f>FordArm!C48</f>
        <v>41.104948805460751</v>
      </c>
      <c r="E7" s="215">
        <f>HughSmith!C51</f>
        <v>44.971358149051653</v>
      </c>
      <c r="F7" s="324">
        <f>E7/100</f>
        <v>0.44971358149051655</v>
      </c>
      <c r="G7" s="199">
        <v>1982</v>
      </c>
      <c r="H7" s="215">
        <f>AukeCr!C54</f>
        <v>20.162381596752368</v>
      </c>
      <c r="I7" s="215"/>
      <c r="J7" s="215">
        <f>FordArm!C48</f>
        <v>41.104948805460751</v>
      </c>
      <c r="K7" s="215">
        <f>HughSmith!C51</f>
        <v>44.971358149051653</v>
      </c>
      <c r="L7" s="434">
        <f>((H7+K7+(J7/2))/2.5)</f>
        <v>34.274485659413756</v>
      </c>
      <c r="M7" s="324"/>
      <c r="N7" s="199">
        <v>1982</v>
      </c>
      <c r="O7" s="215">
        <f>AukeCr!G54</f>
        <v>39.512855209742895</v>
      </c>
      <c r="P7" s="215"/>
      <c r="Q7" s="215">
        <f>FordArm!H48</f>
        <v>43.366040955631405</v>
      </c>
      <c r="R7" s="215">
        <f>HughSmith!K51</f>
        <v>65.038147151693522</v>
      </c>
      <c r="S7" s="324"/>
      <c r="T7" s="199">
        <v>1982</v>
      </c>
      <c r="U7" s="215">
        <f>O7</f>
        <v>39.512855209742895</v>
      </c>
      <c r="V7" s="320">
        <v>48.22896709868867</v>
      </c>
      <c r="W7" s="215">
        <f t="shared" ref="W7:W8" si="0">Q7</f>
        <v>43.366040955631405</v>
      </c>
      <c r="X7" s="215">
        <f t="shared" ref="X7:X40" si="1">R7</f>
        <v>65.038147151693522</v>
      </c>
      <c r="Y7" s="215">
        <f>AVERAGE(U7:X7)</f>
        <v>49.036502603939127</v>
      </c>
    </row>
    <row r="8" spans="1:25" x14ac:dyDescent="0.25">
      <c r="A8" s="199">
        <v>1983</v>
      </c>
      <c r="B8" s="215">
        <f>AukeCr!C55</f>
        <v>31.073446327683619</v>
      </c>
      <c r="C8" s="215"/>
      <c r="D8" s="215">
        <f>FordArm!C49</f>
        <v>54.048812025214154</v>
      </c>
      <c r="E8" s="215">
        <f>HughSmith!C52</f>
        <v>35.451558288791006</v>
      </c>
      <c r="F8" s="324">
        <f t="shared" ref="F8:F42" si="2">E8/100</f>
        <v>0.35451558288791007</v>
      </c>
      <c r="G8" s="199">
        <v>1983</v>
      </c>
      <c r="H8" s="215">
        <f>AukeCr!C55</f>
        <v>31.073446327683619</v>
      </c>
      <c r="I8" s="215"/>
      <c r="J8" s="215">
        <f>FordArm!C49</f>
        <v>54.048812025214154</v>
      </c>
      <c r="K8" s="215">
        <f>HughSmith!C52</f>
        <v>35.451558288791006</v>
      </c>
      <c r="L8" s="434">
        <f t="shared" ref="L8:L13" si="3">((H8+K8+(J8/2))/2.5)</f>
        <v>37.419764251632685</v>
      </c>
      <c r="M8" s="324"/>
      <c r="N8" s="199">
        <v>1983</v>
      </c>
      <c r="O8" s="215">
        <f>AukeCr!G55</f>
        <v>43.987086359967712</v>
      </c>
      <c r="P8" s="215"/>
      <c r="Q8" s="215">
        <f>FordArm!H49</f>
        <v>68.789397122999844</v>
      </c>
      <c r="R8" s="215">
        <f>HughSmith!K52</f>
        <v>61.622217317712725</v>
      </c>
      <c r="S8" s="324"/>
      <c r="T8" s="199">
        <v>1983</v>
      </c>
      <c r="U8" s="215">
        <f t="shared" ref="U8:U42" si="4">O8</f>
        <v>43.987086359967712</v>
      </c>
      <c r="V8" s="320">
        <v>56.863421756517681</v>
      </c>
      <c r="W8" s="215">
        <f t="shared" si="0"/>
        <v>68.789397122999844</v>
      </c>
      <c r="X8" s="215">
        <f t="shared" si="1"/>
        <v>61.622217317712725</v>
      </c>
      <c r="Y8" s="215">
        <f t="shared" ref="Y8:Y42" si="5">AVERAGE(U8:X8)</f>
        <v>57.815530639299496</v>
      </c>
    </row>
    <row r="9" spans="1:25" x14ac:dyDescent="0.25">
      <c r="A9" s="199">
        <v>1984</v>
      </c>
      <c r="B9" s="215">
        <f>AukeCr!C56</f>
        <v>33.972602739726028</v>
      </c>
      <c r="C9" s="215"/>
      <c r="D9" s="215"/>
      <c r="E9" s="215">
        <f>HughSmith!C53</f>
        <v>31.463933220894884</v>
      </c>
      <c r="F9" s="324">
        <f t="shared" si="2"/>
        <v>0.31463933220894885</v>
      </c>
      <c r="G9" s="199">
        <v>1984</v>
      </c>
      <c r="H9" s="215">
        <f>AukeCr!C56</f>
        <v>33.972602739726028</v>
      </c>
      <c r="I9" s="215"/>
      <c r="J9" s="320">
        <v>53.947983791100803</v>
      </c>
      <c r="K9" s="215">
        <f>HughSmith!C53</f>
        <v>31.463933220894884</v>
      </c>
      <c r="L9" s="434">
        <f t="shared" si="3"/>
        <v>36.964211142468528</v>
      </c>
      <c r="M9" s="324"/>
      <c r="N9" s="199">
        <v>1984</v>
      </c>
      <c r="O9" s="215">
        <f>AukeCr!G56</f>
        <v>40.547945205479451</v>
      </c>
      <c r="P9" s="215"/>
      <c r="Q9" s="215"/>
      <c r="R9" s="215">
        <f>HughSmith!K53</f>
        <v>65.031852357472445</v>
      </c>
      <c r="S9" s="324"/>
      <c r="T9" s="199">
        <v>1984</v>
      </c>
      <c r="U9" s="215">
        <f t="shared" si="4"/>
        <v>40.547945205479451</v>
      </c>
      <c r="V9" s="320">
        <v>55.238704926656432</v>
      </c>
      <c r="W9" s="320">
        <v>63.835940419854026</v>
      </c>
      <c r="X9" s="215">
        <f t="shared" si="1"/>
        <v>65.031852357472445</v>
      </c>
      <c r="Y9" s="215">
        <f t="shared" si="5"/>
        <v>56.163610727365587</v>
      </c>
    </row>
    <row r="10" spans="1:25" x14ac:dyDescent="0.25">
      <c r="A10" s="199">
        <v>1985</v>
      </c>
      <c r="B10" s="215">
        <f>AukeCr!C57</f>
        <v>35.294117647058826</v>
      </c>
      <c r="C10" s="215"/>
      <c r="D10" s="215">
        <f>FordArm!C51</f>
        <v>51.643778610070747</v>
      </c>
      <c r="E10" s="215">
        <f>HughSmith!C54</f>
        <v>35.570753097824088</v>
      </c>
      <c r="F10" s="324">
        <f t="shared" si="2"/>
        <v>0.35570753097824087</v>
      </c>
      <c r="G10" s="199">
        <v>1985</v>
      </c>
      <c r="H10" s="215">
        <f>AukeCr!C57</f>
        <v>35.294117647058826</v>
      </c>
      <c r="I10" s="215"/>
      <c r="J10" s="215">
        <f>FordArm!C51</f>
        <v>51.643778610070747</v>
      </c>
      <c r="K10" s="215">
        <f>HughSmith!C54</f>
        <v>35.570753097824088</v>
      </c>
      <c r="L10" s="434">
        <f t="shared" si="3"/>
        <v>38.674704019967315</v>
      </c>
      <c r="M10" s="324"/>
      <c r="N10" s="199">
        <v>1985</v>
      </c>
      <c r="O10" s="215">
        <f>AukeCr!G57</f>
        <v>44.028520499108737</v>
      </c>
      <c r="P10" s="215"/>
      <c r="Q10" s="215">
        <f>FordArm!H51</f>
        <v>51.643778610070747</v>
      </c>
      <c r="R10" s="215">
        <f>HughSmith!K54</f>
        <v>62.992764893789285</v>
      </c>
      <c r="S10" s="324"/>
      <c r="T10" s="199">
        <v>1985</v>
      </c>
      <c r="U10" s="215">
        <f t="shared" si="4"/>
        <v>44.028520499108737</v>
      </c>
      <c r="V10" s="320">
        <v>51.733404368043516</v>
      </c>
      <c r="W10" s="215">
        <f t="shared" ref="W10:W40" si="6">Q10</f>
        <v>51.643778610070747</v>
      </c>
      <c r="X10" s="215">
        <f t="shared" si="1"/>
        <v>62.992764893789285</v>
      </c>
      <c r="Y10" s="215">
        <f t="shared" si="5"/>
        <v>52.599617092753071</v>
      </c>
    </row>
    <row r="11" spans="1:25" x14ac:dyDescent="0.25">
      <c r="A11" s="199">
        <v>1986</v>
      </c>
      <c r="B11" s="215">
        <f>AukeCr!C58</f>
        <v>43.223819301848046</v>
      </c>
      <c r="C11" s="215"/>
      <c r="D11" s="215">
        <f>FordArm!C52</f>
        <v>60.590531966813074</v>
      </c>
      <c r="E11" s="215">
        <f>HughSmith!C55</f>
        <v>36.59944890840687</v>
      </c>
      <c r="F11" s="324">
        <f t="shared" si="2"/>
        <v>0.36599448908406873</v>
      </c>
      <c r="G11" s="199">
        <v>1986</v>
      </c>
      <c r="H11" s="215">
        <f>AukeCr!C58</f>
        <v>43.223819301848046</v>
      </c>
      <c r="I11" s="215"/>
      <c r="J11" s="215">
        <f>FordArm!C52</f>
        <v>60.590531966813074</v>
      </c>
      <c r="K11" s="215">
        <f>HughSmith!C55</f>
        <v>36.59944890840687</v>
      </c>
      <c r="L11" s="434">
        <f t="shared" si="3"/>
        <v>44.047413677464583</v>
      </c>
      <c r="M11" s="324"/>
      <c r="N11" s="199">
        <v>1986</v>
      </c>
      <c r="O11" s="215">
        <f>AukeCr!G58</f>
        <v>53.388090349075981</v>
      </c>
      <c r="P11" s="215"/>
      <c r="Q11" s="215">
        <f>FordArm!H52</f>
        <v>62.127867252318204</v>
      </c>
      <c r="R11" s="215">
        <f>HughSmith!K55</f>
        <v>59.177528407526211</v>
      </c>
      <c r="S11" s="324"/>
      <c r="T11" s="199">
        <v>1986</v>
      </c>
      <c r="U11" s="215">
        <f t="shared" si="4"/>
        <v>53.388090349075981</v>
      </c>
      <c r="V11" s="320">
        <v>56.959538089809357</v>
      </c>
      <c r="W11" s="215">
        <f t="shared" si="6"/>
        <v>62.127867252318204</v>
      </c>
      <c r="X11" s="215">
        <f t="shared" si="1"/>
        <v>59.177528407526211</v>
      </c>
      <c r="Y11" s="215">
        <f t="shared" si="5"/>
        <v>57.91325602468244</v>
      </c>
    </row>
    <row r="12" spans="1:25" x14ac:dyDescent="0.25">
      <c r="A12" s="199">
        <v>1987</v>
      </c>
      <c r="B12" s="215">
        <f>AukeCr!C59</f>
        <v>37.150127226463106</v>
      </c>
      <c r="C12" s="215"/>
      <c r="D12" s="215">
        <f>FordArm!C53</f>
        <v>45.097432725023204</v>
      </c>
      <c r="E12" s="215">
        <f>HughSmith!C56</f>
        <v>29.293044956349775</v>
      </c>
      <c r="F12" s="324">
        <f t="shared" si="2"/>
        <v>0.29293044956349773</v>
      </c>
      <c r="G12" s="199">
        <v>1987</v>
      </c>
      <c r="H12" s="215">
        <f>AukeCr!C59</f>
        <v>37.150127226463106</v>
      </c>
      <c r="I12" s="215"/>
      <c r="J12" s="215">
        <f>FordArm!C53</f>
        <v>45.097432725023204</v>
      </c>
      <c r="K12" s="215">
        <f>HughSmith!C56</f>
        <v>29.293044956349775</v>
      </c>
      <c r="L12" s="434">
        <f t="shared" si="3"/>
        <v>35.596755418129788</v>
      </c>
      <c r="M12" s="324"/>
      <c r="N12" s="199">
        <v>1987</v>
      </c>
      <c r="O12" s="215">
        <f>AukeCr!G59</f>
        <v>43.341815097540284</v>
      </c>
      <c r="P12" s="215"/>
      <c r="Q12" s="215">
        <f>FordArm!H53</f>
        <v>47.602845654191157</v>
      </c>
      <c r="R12" s="215">
        <f>HughSmith!K56</f>
        <v>50.216900220898339</v>
      </c>
      <c r="S12" s="324"/>
      <c r="T12" s="199">
        <v>1987</v>
      </c>
      <c r="U12" s="215">
        <f t="shared" si="4"/>
        <v>43.341815097540284</v>
      </c>
      <c r="V12" s="320">
        <v>46.026314406222049</v>
      </c>
      <c r="W12" s="215">
        <f t="shared" si="6"/>
        <v>47.602845654191157</v>
      </c>
      <c r="X12" s="215">
        <f t="shared" si="1"/>
        <v>50.216900220898339</v>
      </c>
      <c r="Y12" s="215">
        <f t="shared" si="5"/>
        <v>46.796968844712957</v>
      </c>
    </row>
    <row r="13" spans="1:25" x14ac:dyDescent="0.25">
      <c r="A13" s="199">
        <v>1988</v>
      </c>
      <c r="B13" s="215">
        <f>AukeCr!C60</f>
        <v>25.478767693588679</v>
      </c>
      <c r="C13" s="215"/>
      <c r="D13" s="215">
        <f>FordArm!C54</f>
        <v>46.839654025282769</v>
      </c>
      <c r="E13" s="215">
        <f>HughSmith!C57</f>
        <v>27.560370521156575</v>
      </c>
      <c r="F13" s="324">
        <f t="shared" si="2"/>
        <v>0.27560370521156574</v>
      </c>
      <c r="G13" s="199">
        <v>1988</v>
      </c>
      <c r="H13" s="215">
        <f>AukeCr!C60</f>
        <v>25.478767693588679</v>
      </c>
      <c r="I13" s="215"/>
      <c r="J13" s="215">
        <f>FordArm!C54</f>
        <v>46.839654025282769</v>
      </c>
      <c r="K13" s="215">
        <f>HughSmith!C57</f>
        <v>27.560370521156575</v>
      </c>
      <c r="L13" s="434">
        <f t="shared" si="3"/>
        <v>30.583586090954658</v>
      </c>
      <c r="M13" s="324"/>
      <c r="N13" s="199">
        <v>1988</v>
      </c>
      <c r="O13" s="215">
        <f>AukeCr!G60</f>
        <v>37.052456286427976</v>
      </c>
      <c r="P13" s="215"/>
      <c r="Q13" s="215">
        <f>FordArm!H54</f>
        <v>48.120425815036597</v>
      </c>
      <c r="R13" s="215">
        <f>HughSmith!K57</f>
        <v>65.169366470772999</v>
      </c>
      <c r="S13" s="324"/>
      <c r="T13" s="199">
        <v>1988</v>
      </c>
      <c r="U13" s="215">
        <f t="shared" si="4"/>
        <v>37.052456286427976</v>
      </c>
      <c r="V13" s="320">
        <v>49.019715818988601</v>
      </c>
      <c r="W13" s="215">
        <f t="shared" si="6"/>
        <v>48.120425815036597</v>
      </c>
      <c r="X13" s="215">
        <f t="shared" si="1"/>
        <v>65.169366470772999</v>
      </c>
      <c r="Y13" s="215">
        <f t="shared" si="5"/>
        <v>49.840491097806549</v>
      </c>
    </row>
    <row r="14" spans="1:25" x14ac:dyDescent="0.25">
      <c r="A14" s="199">
        <v>1989</v>
      </c>
      <c r="B14" s="215">
        <f>AukeCr!C61</f>
        <v>48.191681735985533</v>
      </c>
      <c r="C14" s="215">
        <f>'Berners River'!C141</f>
        <v>49.068637854226758</v>
      </c>
      <c r="D14" s="215">
        <f>FordArm!C55</f>
        <v>61.672077922077918</v>
      </c>
      <c r="E14" s="215">
        <f>HughSmith!C58</f>
        <v>50.610087666188022</v>
      </c>
      <c r="F14" s="324">
        <f t="shared" si="2"/>
        <v>0.50610087666188019</v>
      </c>
      <c r="G14" s="199">
        <v>1989</v>
      </c>
      <c r="H14" s="215">
        <f>AukeCr!C61</f>
        <v>48.191681735985533</v>
      </c>
      <c r="I14" s="215">
        <f>'Berners River'!C141</f>
        <v>49.068637854226758</v>
      </c>
      <c r="J14" s="215">
        <f>FordArm!C55</f>
        <v>61.672077922077918</v>
      </c>
      <c r="K14" s="215">
        <f>HughSmith!C58</f>
        <v>50.610087666188022</v>
      </c>
      <c r="L14" s="435">
        <f>(((H14/2)+(I14/2)+K14+(J14/2))/2.5)</f>
        <v>52.030514568933242</v>
      </c>
      <c r="M14" s="324"/>
      <c r="N14" s="199">
        <v>1989</v>
      </c>
      <c r="O14" s="215">
        <f>AukeCr!G61</f>
        <v>54.611211573236893</v>
      </c>
      <c r="P14" s="215">
        <f>'Berners River'!I141</f>
        <v>56.78647033407276</v>
      </c>
      <c r="Q14" s="215">
        <f>FordArm!H55</f>
        <v>64.675324675324674</v>
      </c>
      <c r="R14" s="215">
        <f>HughSmith!K58</f>
        <v>81.989463192472002</v>
      </c>
      <c r="S14" s="324"/>
      <c r="T14" s="199">
        <v>1989</v>
      </c>
      <c r="U14" s="215">
        <f t="shared" si="4"/>
        <v>54.611211573236893</v>
      </c>
      <c r="V14" s="215">
        <f t="shared" ref="V14:V42" si="7">P14</f>
        <v>56.78647033407276</v>
      </c>
      <c r="W14" s="215">
        <f t="shared" si="6"/>
        <v>64.675324675324674</v>
      </c>
      <c r="X14" s="215">
        <f t="shared" si="1"/>
        <v>81.989463192472002</v>
      </c>
      <c r="Y14" s="215">
        <f t="shared" si="5"/>
        <v>64.515617443776577</v>
      </c>
    </row>
    <row r="15" spans="1:25" x14ac:dyDescent="0.25">
      <c r="A15" s="199">
        <v>1990</v>
      </c>
      <c r="B15" s="215">
        <f>AukeCr!C62</f>
        <v>42.847503373819166</v>
      </c>
      <c r="C15" s="215">
        <f>'Berners River'!C142</f>
        <v>40.973783817702433</v>
      </c>
      <c r="D15" s="215">
        <f>FordArm!C56</f>
        <v>56.5415244596132</v>
      </c>
      <c r="E15" s="215">
        <f>HughSmith!C59</f>
        <v>37.617871578491787</v>
      </c>
      <c r="F15" s="324">
        <f t="shared" si="2"/>
        <v>0.37617871578491785</v>
      </c>
      <c r="G15" s="199">
        <v>1990</v>
      </c>
      <c r="H15" s="215">
        <f>AukeCr!C62</f>
        <v>42.847503373819166</v>
      </c>
      <c r="I15" s="215">
        <f>'Berners River'!C142</f>
        <v>40.973783817702433</v>
      </c>
      <c r="J15" s="215">
        <f>FordArm!C56</f>
        <v>56.5415244596132</v>
      </c>
      <c r="K15" s="215">
        <f>HughSmith!C59</f>
        <v>37.617871578491787</v>
      </c>
      <c r="L15" s="435">
        <f>(((H15/2)+(I15/2)+K15+(J15/2))/2.5)</f>
        <v>43.119710961623674</v>
      </c>
      <c r="M15" s="324"/>
      <c r="N15" s="199">
        <v>1990</v>
      </c>
      <c r="O15" s="215">
        <f>AukeCr!G62</f>
        <v>52.968960863697703</v>
      </c>
      <c r="P15" s="215">
        <f>'Berners River'!I142</f>
        <v>62.553545414745152</v>
      </c>
      <c r="Q15" s="215">
        <f>FordArm!H56</f>
        <v>58.437618505877886</v>
      </c>
      <c r="R15" s="215">
        <f>HughSmith!K59</f>
        <v>81.85080035540723</v>
      </c>
      <c r="S15" s="324"/>
      <c r="T15" s="199">
        <v>1990</v>
      </c>
      <c r="U15" s="215">
        <f t="shared" si="4"/>
        <v>52.968960863697703</v>
      </c>
      <c r="V15" s="215">
        <f t="shared" si="7"/>
        <v>62.553545414745152</v>
      </c>
      <c r="W15" s="215">
        <f t="shared" si="6"/>
        <v>58.437618505877886</v>
      </c>
      <c r="X15" s="215">
        <f t="shared" si="1"/>
        <v>81.85080035540723</v>
      </c>
      <c r="Y15" s="215">
        <f t="shared" si="5"/>
        <v>63.952731284931986</v>
      </c>
    </row>
    <row r="16" spans="1:25" x14ac:dyDescent="0.25">
      <c r="A16" s="199">
        <v>1991</v>
      </c>
      <c r="B16" s="215">
        <f>AukeCr!C63</f>
        <v>16.963528413910094</v>
      </c>
      <c r="C16" s="215">
        <f>'Berners River'!C143</f>
        <v>17.07429077080727</v>
      </c>
      <c r="D16" s="215">
        <f>FordArm!C57</f>
        <v>53.223662346294454</v>
      </c>
      <c r="E16" s="215">
        <f>HughSmith!C60</f>
        <v>36.473417723444321</v>
      </c>
      <c r="F16" s="324">
        <f t="shared" si="2"/>
        <v>0.36473417723444324</v>
      </c>
      <c r="G16" s="199">
        <v>1991</v>
      </c>
      <c r="H16" s="215">
        <f>AukeCr!C63</f>
        <v>16.963528413910094</v>
      </c>
      <c r="I16" s="215">
        <f>'Berners River'!C143</f>
        <v>17.07429077080727</v>
      </c>
      <c r="J16" s="215">
        <f>FordArm!C57</f>
        <v>53.223662346294454</v>
      </c>
      <c r="K16" s="215">
        <f>HughSmith!C60</f>
        <v>36.473417723444321</v>
      </c>
      <c r="L16" s="435">
        <f t="shared" ref="L16:L42" si="8">(((H16/2)+(I16/2)+K16+(J16/2))/2.5)</f>
        <v>32.041663395580095</v>
      </c>
      <c r="M16" s="324">
        <f>AVERAGE(L7:L16)</f>
        <v>38.475280918616832</v>
      </c>
      <c r="N16" s="199">
        <v>1991</v>
      </c>
      <c r="O16" s="215">
        <f>AukeCr!G63</f>
        <v>31.46734520780322</v>
      </c>
      <c r="P16" s="215">
        <f>'Berners River'!I143</f>
        <v>62.107938083080626</v>
      </c>
      <c r="Q16" s="215">
        <f>FordArm!H57</f>
        <v>54.120970422067124</v>
      </c>
      <c r="R16" s="215">
        <f>HughSmith!K60</f>
        <v>68.162405855088466</v>
      </c>
      <c r="S16" s="324"/>
      <c r="T16" s="199">
        <v>1991</v>
      </c>
      <c r="U16" s="215">
        <f t="shared" si="4"/>
        <v>31.46734520780322</v>
      </c>
      <c r="V16" s="215">
        <f t="shared" si="7"/>
        <v>62.107938083080626</v>
      </c>
      <c r="W16" s="215">
        <f t="shared" si="6"/>
        <v>54.120970422067124</v>
      </c>
      <c r="X16" s="215">
        <f t="shared" si="1"/>
        <v>68.162405855088466</v>
      </c>
      <c r="Y16" s="215">
        <f t="shared" si="5"/>
        <v>53.964664892009864</v>
      </c>
    </row>
    <row r="17" spans="1:25" x14ac:dyDescent="0.25">
      <c r="A17" s="199">
        <v>1992</v>
      </c>
      <c r="B17" s="215">
        <f>AukeCr!C64</f>
        <v>32.159999999999997</v>
      </c>
      <c r="C17" s="215">
        <f>'Berners River'!C144</f>
        <v>30.83014132430884</v>
      </c>
      <c r="D17" s="215">
        <f>FordArm!C58</f>
        <v>56.165116030371088</v>
      </c>
      <c r="E17" s="215">
        <f>HughSmith!C61</f>
        <v>37.887486721599522</v>
      </c>
      <c r="F17" s="324">
        <f t="shared" si="2"/>
        <v>0.37887486721599523</v>
      </c>
      <c r="G17" s="199">
        <v>1992</v>
      </c>
      <c r="H17" s="215">
        <f>AukeCr!C64</f>
        <v>32.159999999999997</v>
      </c>
      <c r="I17" s="215">
        <f>'Berners River'!C144</f>
        <v>30.83014132430884</v>
      </c>
      <c r="J17" s="215">
        <f>FordArm!C58</f>
        <v>56.165116030371088</v>
      </c>
      <c r="K17" s="215">
        <f>HughSmith!C61</f>
        <v>37.887486721599522</v>
      </c>
      <c r="L17" s="435">
        <f t="shared" si="8"/>
        <v>38.986046159575793</v>
      </c>
      <c r="M17" s="324">
        <f t="shared" ref="M17:M42" si="9">AVERAGE(L8:L17)</f>
        <v>38.946436968633037</v>
      </c>
      <c r="N17" s="199">
        <v>1992</v>
      </c>
      <c r="O17" s="215">
        <f>AukeCr!G64</f>
        <v>45.6</v>
      </c>
      <c r="P17" s="215">
        <f>'Berners River'!I144</f>
        <v>61.777792630108053</v>
      </c>
      <c r="Q17" s="215">
        <f>FordArm!H58</f>
        <v>58.656828146722276</v>
      </c>
      <c r="R17" s="215">
        <f>HughSmith!K61</f>
        <v>70.866338080638258</v>
      </c>
      <c r="S17" s="324"/>
      <c r="T17" s="199">
        <v>1992</v>
      </c>
      <c r="U17" s="215">
        <f t="shared" si="4"/>
        <v>45.6</v>
      </c>
      <c r="V17" s="215">
        <f t="shared" si="7"/>
        <v>61.777792630108053</v>
      </c>
      <c r="W17" s="215">
        <f t="shared" si="6"/>
        <v>58.656828146722276</v>
      </c>
      <c r="X17" s="215">
        <f t="shared" si="1"/>
        <v>70.866338080638258</v>
      </c>
      <c r="Y17" s="215">
        <f t="shared" si="5"/>
        <v>59.225239714367142</v>
      </c>
    </row>
    <row r="18" spans="1:25" x14ac:dyDescent="0.25">
      <c r="A18" s="199">
        <v>1993</v>
      </c>
      <c r="B18" s="215">
        <f>AukeCr!C65</f>
        <v>38.451856513530522</v>
      </c>
      <c r="C18" s="215">
        <f>'Berners River'!C145</f>
        <v>36.167668731729286</v>
      </c>
      <c r="D18" s="215">
        <f>FordArm!C59</f>
        <v>61.690948172916173</v>
      </c>
      <c r="E18" s="215">
        <f>HughSmith!C62</f>
        <v>52.504509160135783</v>
      </c>
      <c r="F18" s="324">
        <f t="shared" si="2"/>
        <v>0.52504509160135782</v>
      </c>
      <c r="G18" s="199">
        <v>1993</v>
      </c>
      <c r="H18" s="215">
        <f>AukeCr!C65</f>
        <v>38.451856513530522</v>
      </c>
      <c r="I18" s="215">
        <f>'Berners River'!C145</f>
        <v>36.167668731729286</v>
      </c>
      <c r="J18" s="215">
        <f>FordArm!C59</f>
        <v>61.690948172916173</v>
      </c>
      <c r="K18" s="215">
        <f>HughSmith!C62</f>
        <v>52.504509160135783</v>
      </c>
      <c r="L18" s="435">
        <f t="shared" si="8"/>
        <v>48.263898347689505</v>
      </c>
      <c r="M18" s="324">
        <f t="shared" si="9"/>
        <v>40.030850378238725</v>
      </c>
      <c r="N18" s="199">
        <v>1993</v>
      </c>
      <c r="O18" s="215">
        <f>AukeCr!G65</f>
        <v>45.940843297671492</v>
      </c>
      <c r="P18" s="215">
        <f>'Berners River'!I145</f>
        <v>63.566969159721609</v>
      </c>
      <c r="Q18" s="215">
        <f>FordArm!H59</f>
        <v>66.547249422816662</v>
      </c>
      <c r="R18" s="215">
        <f>HughSmith!K62</f>
        <v>80.385695816716392</v>
      </c>
      <c r="S18" s="324"/>
      <c r="T18" s="199">
        <v>1993</v>
      </c>
      <c r="U18" s="215">
        <f t="shared" si="4"/>
        <v>45.940843297671492</v>
      </c>
      <c r="V18" s="215">
        <f t="shared" si="7"/>
        <v>63.566969159721609</v>
      </c>
      <c r="W18" s="215">
        <f t="shared" si="6"/>
        <v>66.547249422816662</v>
      </c>
      <c r="X18" s="215">
        <f t="shared" si="1"/>
        <v>80.385695816716392</v>
      </c>
      <c r="Y18" s="215">
        <f t="shared" si="5"/>
        <v>64.110189424231535</v>
      </c>
    </row>
    <row r="19" spans="1:25" x14ac:dyDescent="0.25">
      <c r="A19" s="199">
        <v>1994</v>
      </c>
      <c r="B19" s="215">
        <f>AukeCr!C66</f>
        <v>34.828150572831426</v>
      </c>
      <c r="C19" s="215">
        <f>'Berners River'!C146</f>
        <v>35.409158913681516</v>
      </c>
      <c r="D19" s="215">
        <f>FordArm!C60</f>
        <v>59.684861147383991</v>
      </c>
      <c r="E19" s="215">
        <f>HughSmith!C63</f>
        <v>45.785682432701861</v>
      </c>
      <c r="F19" s="324">
        <f t="shared" si="2"/>
        <v>0.45785682432701863</v>
      </c>
      <c r="G19" s="199">
        <v>1994</v>
      </c>
      <c r="H19" s="215">
        <f>AukeCr!C66</f>
        <v>34.828150572831426</v>
      </c>
      <c r="I19" s="215">
        <f>'Berners River'!C146</f>
        <v>35.409158913681516</v>
      </c>
      <c r="J19" s="215">
        <f>FordArm!C60</f>
        <v>59.684861147383991</v>
      </c>
      <c r="K19" s="215">
        <f>HughSmith!C63</f>
        <v>45.785682432701861</v>
      </c>
      <c r="L19" s="435">
        <f t="shared" si="8"/>
        <v>44.298707099860131</v>
      </c>
      <c r="M19" s="324">
        <f t="shared" si="9"/>
        <v>40.764299973977877</v>
      </c>
      <c r="N19" s="199">
        <v>1994</v>
      </c>
      <c r="O19" s="215">
        <f>AukeCr!G66</f>
        <v>52.962356792144028</v>
      </c>
      <c r="P19" s="215">
        <f>'Berners River'!I146</f>
        <v>74.407091710257419</v>
      </c>
      <c r="Q19" s="215">
        <f>FordArm!H60</f>
        <v>71.907373552711761</v>
      </c>
      <c r="R19" s="215">
        <f>HughSmith!K63</f>
        <v>81.476704320299291</v>
      </c>
      <c r="S19" s="324"/>
      <c r="T19" s="199">
        <v>1994</v>
      </c>
      <c r="U19" s="215">
        <f t="shared" si="4"/>
        <v>52.962356792144028</v>
      </c>
      <c r="V19" s="215">
        <f t="shared" si="7"/>
        <v>74.407091710257419</v>
      </c>
      <c r="W19" s="215">
        <f t="shared" si="6"/>
        <v>71.907373552711761</v>
      </c>
      <c r="X19" s="215">
        <f t="shared" si="1"/>
        <v>81.476704320299291</v>
      </c>
      <c r="Y19" s="215">
        <f t="shared" si="5"/>
        <v>70.188381593853123</v>
      </c>
    </row>
    <row r="20" spans="1:25" x14ac:dyDescent="0.25">
      <c r="A20" s="199">
        <v>1995</v>
      </c>
      <c r="B20" s="215">
        <f>AukeCr!C67</f>
        <v>32.195121951219512</v>
      </c>
      <c r="C20" s="215">
        <f>'Berners River'!C147</f>
        <v>29.211032861822105</v>
      </c>
      <c r="D20" s="215">
        <f>FordArm!C61</f>
        <v>52.777368498600261</v>
      </c>
      <c r="E20" s="215">
        <f>HughSmith!C64</f>
        <v>30.087215462659433</v>
      </c>
      <c r="F20" s="324">
        <f t="shared" si="2"/>
        <v>0.30087215462659433</v>
      </c>
      <c r="G20" s="199">
        <v>1995</v>
      </c>
      <c r="H20" s="215">
        <f>AukeCr!C67</f>
        <v>32.195121951219512</v>
      </c>
      <c r="I20" s="215">
        <f>'Berners River'!C147</f>
        <v>29.211032861822105</v>
      </c>
      <c r="J20" s="215">
        <f>FordArm!C61</f>
        <v>52.777368498600261</v>
      </c>
      <c r="K20" s="215">
        <f>HughSmith!C64</f>
        <v>30.087215462659433</v>
      </c>
      <c r="L20" s="435">
        <f t="shared" si="8"/>
        <v>34.871590847392149</v>
      </c>
      <c r="M20" s="324">
        <f t="shared" si="9"/>
        <v>40.383988656720362</v>
      </c>
      <c r="N20" s="199">
        <v>1995</v>
      </c>
      <c r="O20" s="215">
        <f>AukeCr!G67</f>
        <v>43.902439024390247</v>
      </c>
      <c r="P20" s="215">
        <f>'Berners River'!I147</f>
        <v>79.545557258650078</v>
      </c>
      <c r="Q20" s="215">
        <f>FordArm!H61</f>
        <v>63.96051274495359</v>
      </c>
      <c r="R20" s="215">
        <f>HughSmith!K64</f>
        <v>73.450367884350385</v>
      </c>
      <c r="S20" s="324"/>
      <c r="T20" s="199">
        <v>1995</v>
      </c>
      <c r="U20" s="215">
        <f t="shared" si="4"/>
        <v>43.902439024390247</v>
      </c>
      <c r="V20" s="215">
        <f t="shared" si="7"/>
        <v>79.545557258650078</v>
      </c>
      <c r="W20" s="215">
        <f t="shared" si="6"/>
        <v>63.96051274495359</v>
      </c>
      <c r="X20" s="215">
        <f t="shared" si="1"/>
        <v>73.450367884350385</v>
      </c>
      <c r="Y20" s="215">
        <f t="shared" si="5"/>
        <v>65.214719228086068</v>
      </c>
    </row>
    <row r="21" spans="1:25" x14ac:dyDescent="0.25">
      <c r="A21" s="199">
        <v>1996</v>
      </c>
      <c r="B21" s="215">
        <f>AukeCr!C68</f>
        <v>39.08851884312007</v>
      </c>
      <c r="C21" s="215">
        <f>'Berners River'!C148</f>
        <v>41.925920335792469</v>
      </c>
      <c r="D21" s="215">
        <f>FordArm!C62</f>
        <v>52.575034106412012</v>
      </c>
      <c r="E21" s="215">
        <f>HughSmith!C65</f>
        <v>40.157806870121583</v>
      </c>
      <c r="F21" s="324">
        <f t="shared" si="2"/>
        <v>0.40157806870121582</v>
      </c>
      <c r="G21" s="199">
        <v>1996</v>
      </c>
      <c r="H21" s="215">
        <f>AukeCr!C68</f>
        <v>39.08851884312007</v>
      </c>
      <c r="I21" s="215">
        <f>'Berners River'!C148</f>
        <v>41.925920335792469</v>
      </c>
      <c r="J21" s="215">
        <f>FordArm!C62</f>
        <v>52.575034106412012</v>
      </c>
      <c r="K21" s="215">
        <f>HughSmith!C65</f>
        <v>40.157806870121583</v>
      </c>
      <c r="L21" s="435">
        <f t="shared" si="8"/>
        <v>42.781017405113545</v>
      </c>
      <c r="M21" s="324">
        <f t="shared" si="9"/>
        <v>40.257349029485262</v>
      </c>
      <c r="N21" s="199">
        <v>1996</v>
      </c>
      <c r="O21" s="215">
        <f>AukeCr!G68</f>
        <v>54.864154250657315</v>
      </c>
      <c r="P21" s="215">
        <f>'Berners River'!I148</f>
        <v>70.09879305470777</v>
      </c>
      <c r="Q21" s="215">
        <f>FordArm!H62</f>
        <v>57.366984993178718</v>
      </c>
      <c r="R21" s="215">
        <f>HughSmith!K65</f>
        <v>75.937304663464914</v>
      </c>
      <c r="S21" s="324"/>
      <c r="T21" s="199">
        <v>1996</v>
      </c>
      <c r="U21" s="215">
        <f t="shared" si="4"/>
        <v>54.864154250657315</v>
      </c>
      <c r="V21" s="215">
        <f t="shared" si="7"/>
        <v>70.09879305470777</v>
      </c>
      <c r="W21" s="215">
        <f t="shared" si="6"/>
        <v>57.366984993178718</v>
      </c>
      <c r="X21" s="215">
        <f t="shared" si="1"/>
        <v>75.937304663464914</v>
      </c>
      <c r="Y21" s="215">
        <f t="shared" si="5"/>
        <v>64.566809240502181</v>
      </c>
    </row>
    <row r="22" spans="1:25" x14ac:dyDescent="0.25">
      <c r="A22" s="199">
        <v>1997</v>
      </c>
      <c r="B22" s="215">
        <f>AukeCr!C69</f>
        <v>12.417437252311757</v>
      </c>
      <c r="C22" s="215">
        <f>'Berners River'!C149</f>
        <v>13.851454339678471</v>
      </c>
      <c r="D22" s="215">
        <f>FordArm!C63</f>
        <v>48.12199365469246</v>
      </c>
      <c r="E22" s="215">
        <f>HughSmith!C66</f>
        <v>49.017873451236419</v>
      </c>
      <c r="F22" s="324">
        <f t="shared" si="2"/>
        <v>0.49017873451236421</v>
      </c>
      <c r="G22" s="199">
        <v>1997</v>
      </c>
      <c r="H22" s="215">
        <f>AukeCr!C69</f>
        <v>12.417437252311757</v>
      </c>
      <c r="I22" s="215">
        <f>'Berners River'!C149</f>
        <v>13.851454339678471</v>
      </c>
      <c r="J22" s="215">
        <f>FordArm!C63</f>
        <v>48.12199365469246</v>
      </c>
      <c r="K22" s="215">
        <f>HughSmith!C66</f>
        <v>49.017873451236419</v>
      </c>
      <c r="L22" s="435">
        <f t="shared" si="8"/>
        <v>34.485326429831105</v>
      </c>
      <c r="M22" s="324">
        <f t="shared" si="9"/>
        <v>40.146206130655386</v>
      </c>
      <c r="N22" s="199">
        <v>1997</v>
      </c>
      <c r="O22" s="215">
        <f>AukeCr!G69</f>
        <v>19.550858652575958</v>
      </c>
      <c r="P22" s="215">
        <f>'Berners River'!I149</f>
        <v>29.558031172464684</v>
      </c>
      <c r="Q22" s="215">
        <f>FordArm!H63</f>
        <v>51.714256473237128</v>
      </c>
      <c r="R22" s="215">
        <f>HughSmith!K66</f>
        <v>72.844676092480483</v>
      </c>
      <c r="S22" s="324"/>
      <c r="T22" s="199">
        <v>1997</v>
      </c>
      <c r="U22" s="215">
        <f t="shared" si="4"/>
        <v>19.550858652575958</v>
      </c>
      <c r="V22" s="215">
        <f t="shared" si="7"/>
        <v>29.558031172464684</v>
      </c>
      <c r="W22" s="215">
        <f t="shared" si="6"/>
        <v>51.714256473237128</v>
      </c>
      <c r="X22" s="215">
        <f t="shared" si="1"/>
        <v>72.844676092480483</v>
      </c>
      <c r="Y22" s="215">
        <f t="shared" si="5"/>
        <v>43.416955597689565</v>
      </c>
    </row>
    <row r="23" spans="1:25" x14ac:dyDescent="0.25">
      <c r="A23" s="199">
        <v>1998</v>
      </c>
      <c r="B23" s="215">
        <f>AukeCr!C70</f>
        <v>30.927105449398447</v>
      </c>
      <c r="C23" s="215">
        <f>'Berners River'!C150</f>
        <v>42.071148423843844</v>
      </c>
      <c r="D23" s="215">
        <f>FordArm!C64</f>
        <v>48.592160754155294</v>
      </c>
      <c r="E23" s="215">
        <f>HughSmith!C67</f>
        <v>40.525601817316598</v>
      </c>
      <c r="F23" s="324">
        <f t="shared" si="2"/>
        <v>0.40525601817316598</v>
      </c>
      <c r="G23" s="199">
        <v>1998</v>
      </c>
      <c r="H23" s="215">
        <f>AukeCr!C70</f>
        <v>30.927105449398447</v>
      </c>
      <c r="I23" s="215">
        <f>'Berners River'!C150</f>
        <v>42.071148423843844</v>
      </c>
      <c r="J23" s="215">
        <f>FordArm!C64</f>
        <v>48.592160754155294</v>
      </c>
      <c r="K23" s="215">
        <f>HughSmith!C67</f>
        <v>40.525601817316598</v>
      </c>
      <c r="L23" s="435">
        <f t="shared" si="8"/>
        <v>40.528323652406158</v>
      </c>
      <c r="M23" s="324">
        <f>AVERAGE(L14:L23)</f>
        <v>41.140679886800548</v>
      </c>
      <c r="N23" s="199">
        <v>1998</v>
      </c>
      <c r="O23" s="215">
        <f>AukeCr!G70</f>
        <v>38.995046001415432</v>
      </c>
      <c r="P23" s="215">
        <f>'Berners River'!I150</f>
        <v>65.925608610014763</v>
      </c>
      <c r="Q23" s="215">
        <f>FordArm!H64</f>
        <v>56.282560158769535</v>
      </c>
      <c r="R23" s="215">
        <f>HughSmith!K67</f>
        <v>77.512242191583141</v>
      </c>
      <c r="S23" s="324"/>
      <c r="T23" s="199">
        <v>1998</v>
      </c>
      <c r="U23" s="215">
        <f t="shared" si="4"/>
        <v>38.995046001415432</v>
      </c>
      <c r="V23" s="215">
        <f t="shared" si="7"/>
        <v>65.925608610014763</v>
      </c>
      <c r="W23" s="215">
        <f t="shared" si="6"/>
        <v>56.282560158769535</v>
      </c>
      <c r="X23" s="215">
        <f t="shared" si="1"/>
        <v>77.512242191583141</v>
      </c>
      <c r="Y23" s="215">
        <f t="shared" si="5"/>
        <v>59.678864240445719</v>
      </c>
    </row>
    <row r="24" spans="1:25" x14ac:dyDescent="0.25">
      <c r="A24" s="199">
        <v>1999</v>
      </c>
      <c r="B24" s="215">
        <f>AukeCr!C71</f>
        <v>33.797909407665507</v>
      </c>
      <c r="C24" s="215">
        <f>'Berners River'!C151</f>
        <v>36.23263424846683</v>
      </c>
      <c r="D24" s="215">
        <f>FordArm!C65</f>
        <v>57.802844531633156</v>
      </c>
      <c r="E24" s="215">
        <f>HughSmith!C68</f>
        <v>41.613988262821955</v>
      </c>
      <c r="F24" s="324">
        <f t="shared" si="2"/>
        <v>0.41613988262821955</v>
      </c>
      <c r="G24" s="199">
        <v>1999</v>
      </c>
      <c r="H24" s="215">
        <f>AukeCr!C71</f>
        <v>33.797909407665507</v>
      </c>
      <c r="I24" s="215">
        <f>'Berners River'!C151</f>
        <v>36.23263424846683</v>
      </c>
      <c r="J24" s="215">
        <f>FordArm!C65</f>
        <v>57.802844531633156</v>
      </c>
      <c r="K24" s="215">
        <f>HughSmith!C68</f>
        <v>41.613988262821955</v>
      </c>
      <c r="L24" s="435">
        <f t="shared" si="8"/>
        <v>42.212272942681878</v>
      </c>
      <c r="M24" s="324">
        <f>AVERAGE(L15:L24)</f>
        <v>40.158855724175403</v>
      </c>
      <c r="N24" s="199">
        <v>1999</v>
      </c>
      <c r="O24" s="215">
        <f>AukeCr!G71</f>
        <v>41.11498257839721</v>
      </c>
      <c r="P24" s="215">
        <f>'Berners River'!I151</f>
        <v>65.352737384665815</v>
      </c>
      <c r="Q24" s="215">
        <f>FordArm!H65</f>
        <v>62.726826875919571</v>
      </c>
      <c r="R24" s="215">
        <f>HughSmith!K68</f>
        <v>70.482203418622134</v>
      </c>
      <c r="S24" s="324"/>
      <c r="T24" s="199">
        <v>1999</v>
      </c>
      <c r="U24" s="215">
        <f t="shared" si="4"/>
        <v>41.11498257839721</v>
      </c>
      <c r="V24" s="215">
        <f t="shared" si="7"/>
        <v>65.352737384665815</v>
      </c>
      <c r="W24" s="215">
        <f t="shared" si="6"/>
        <v>62.726826875919571</v>
      </c>
      <c r="X24" s="215">
        <f t="shared" si="1"/>
        <v>70.482203418622134</v>
      </c>
      <c r="Y24" s="215">
        <f t="shared" si="5"/>
        <v>59.919187564401184</v>
      </c>
    </row>
    <row r="25" spans="1:25" x14ac:dyDescent="0.25">
      <c r="A25" s="199">
        <v>2000</v>
      </c>
      <c r="B25" s="215">
        <f>AukeCr!C72</f>
        <v>23.52941176470588</v>
      </c>
      <c r="C25" s="215">
        <f>'Berners River'!C152</f>
        <v>20.016481395126611</v>
      </c>
      <c r="D25" s="215">
        <f>FordArm!C66</f>
        <v>57.199652130699462</v>
      </c>
      <c r="E25" s="215">
        <f>HughSmith!C69</f>
        <v>36.285760235885306</v>
      </c>
      <c r="F25" s="324">
        <f t="shared" si="2"/>
        <v>0.36285760235885306</v>
      </c>
      <c r="G25" s="199">
        <v>2000</v>
      </c>
      <c r="H25" s="215">
        <f>AukeCr!C72</f>
        <v>23.52941176470588</v>
      </c>
      <c r="I25" s="215">
        <f>'Berners River'!C152</f>
        <v>20.016481395126611</v>
      </c>
      <c r="J25" s="215">
        <f>FordArm!C66</f>
        <v>57.199652130699462</v>
      </c>
      <c r="K25" s="215">
        <f>HughSmith!C69</f>
        <v>36.285760235885306</v>
      </c>
      <c r="L25" s="435">
        <f t="shared" si="8"/>
        <v>34.663413152460507</v>
      </c>
      <c r="M25" s="324">
        <f t="shared" si="9"/>
        <v>39.313225943259084</v>
      </c>
      <c r="N25" s="199">
        <v>2000</v>
      </c>
      <c r="O25" s="215">
        <f>AukeCr!G72</f>
        <v>29.51496388028896</v>
      </c>
      <c r="P25" s="215">
        <f>'Berners River'!I152</f>
        <v>44.998093510990358</v>
      </c>
      <c r="Q25" s="215">
        <f>FordArm!H66</f>
        <v>71.375326127469251</v>
      </c>
      <c r="R25" s="215">
        <f>HughSmith!K69</f>
        <v>55.437680259848911</v>
      </c>
      <c r="S25" s="324"/>
      <c r="T25" s="199">
        <v>2000</v>
      </c>
      <c r="U25" s="215">
        <f t="shared" si="4"/>
        <v>29.51496388028896</v>
      </c>
      <c r="V25" s="215">
        <f t="shared" si="7"/>
        <v>44.998093510990358</v>
      </c>
      <c r="W25" s="215">
        <f t="shared" si="6"/>
        <v>71.375326127469251</v>
      </c>
      <c r="X25" s="215">
        <f t="shared" si="1"/>
        <v>55.437680259848911</v>
      </c>
      <c r="Y25" s="215">
        <f t="shared" si="5"/>
        <v>50.331515944649375</v>
      </c>
    </row>
    <row r="26" spans="1:25" x14ac:dyDescent="0.25">
      <c r="A26" s="199">
        <v>2001</v>
      </c>
      <c r="B26" s="215">
        <f>AukeCr!C73</f>
        <v>30.938833570412516</v>
      </c>
      <c r="C26" s="215">
        <f>'Berners River'!C153</f>
        <v>23.948283666291143</v>
      </c>
      <c r="D26" s="215">
        <f>FordArm!C67</f>
        <v>67.489855072463769</v>
      </c>
      <c r="E26" s="215">
        <f>HughSmith!C70</f>
        <v>22.32574362913661</v>
      </c>
      <c r="F26" s="324">
        <f t="shared" si="2"/>
        <v>0.2232574362913661</v>
      </c>
      <c r="G26" s="199">
        <v>2001</v>
      </c>
      <c r="H26" s="215">
        <f>AukeCr!C73</f>
        <v>30.938833570412516</v>
      </c>
      <c r="I26" s="215">
        <f>'Berners River'!C153</f>
        <v>23.948283666291143</v>
      </c>
      <c r="J26" s="215">
        <f>FordArm!C67</f>
        <v>67.489855072463769</v>
      </c>
      <c r="K26" s="215">
        <f>HughSmith!C70</f>
        <v>22.32574362913661</v>
      </c>
      <c r="L26" s="435">
        <f t="shared" si="8"/>
        <v>33.405691913488127</v>
      </c>
      <c r="M26" s="324">
        <f t="shared" si="9"/>
        <v>39.44962879504989</v>
      </c>
      <c r="N26" s="199">
        <v>2001</v>
      </c>
      <c r="O26" s="215">
        <f>AukeCr!G73</f>
        <v>38.477951635846374</v>
      </c>
      <c r="P26" s="215">
        <f>'Berners River'!I153</f>
        <v>34.947666419039642</v>
      </c>
      <c r="Q26" s="215">
        <f>FordArm!H67</f>
        <v>74.388405797101456</v>
      </c>
      <c r="R26" s="215">
        <f>HughSmith!K70</f>
        <v>49.349393557994972</v>
      </c>
      <c r="S26" s="324"/>
      <c r="T26" s="199">
        <v>2001</v>
      </c>
      <c r="U26" s="215">
        <f t="shared" si="4"/>
        <v>38.477951635846374</v>
      </c>
      <c r="V26" s="215">
        <f t="shared" si="7"/>
        <v>34.947666419039642</v>
      </c>
      <c r="W26" s="215">
        <f t="shared" si="6"/>
        <v>74.388405797101456</v>
      </c>
      <c r="X26" s="215">
        <f t="shared" si="1"/>
        <v>49.349393557994972</v>
      </c>
      <c r="Y26" s="215">
        <f t="shared" si="5"/>
        <v>49.290854352495614</v>
      </c>
    </row>
    <row r="27" spans="1:25" x14ac:dyDescent="0.25">
      <c r="A27" s="199">
        <v>2002</v>
      </c>
      <c r="B27" s="215">
        <f>AukeCr!C74</f>
        <v>18</v>
      </c>
      <c r="C27" s="215">
        <f>'Berners River'!C154</f>
        <v>15.309264939390863</v>
      </c>
      <c r="D27" s="215">
        <f>FordArm!C68</f>
        <v>38.040746130440532</v>
      </c>
      <c r="E27" s="215">
        <f>HughSmith!C71</f>
        <v>16.491348153576414</v>
      </c>
      <c r="F27" s="324">
        <f t="shared" si="2"/>
        <v>0.16491348153576413</v>
      </c>
      <c r="G27" s="199">
        <v>2002</v>
      </c>
      <c r="H27" s="215">
        <f>AukeCr!C74</f>
        <v>18</v>
      </c>
      <c r="I27" s="215">
        <f>'Berners River'!C154</f>
        <v>15.309264939390863</v>
      </c>
      <c r="J27" s="215">
        <f>FordArm!C68</f>
        <v>38.040746130440532</v>
      </c>
      <c r="K27" s="215">
        <f>HughSmith!C71</f>
        <v>16.491348153576414</v>
      </c>
      <c r="L27" s="435">
        <f t="shared" si="8"/>
        <v>20.866541475396843</v>
      </c>
      <c r="M27" s="324">
        <f t="shared" si="9"/>
        <v>37.637678326631992</v>
      </c>
      <c r="N27" s="199">
        <v>2002</v>
      </c>
      <c r="O27" s="215">
        <f>AukeCr!G74</f>
        <v>26.5</v>
      </c>
      <c r="P27" s="215">
        <f>'Berners River'!I154</f>
        <v>39.147356128717668</v>
      </c>
      <c r="Q27" s="215">
        <f>FordArm!H68</f>
        <v>52.976584204259822</v>
      </c>
      <c r="R27" s="215">
        <f>HughSmith!K71</f>
        <v>39.122610306592165</v>
      </c>
      <c r="S27" s="324"/>
      <c r="T27" s="199">
        <v>2002</v>
      </c>
      <c r="U27" s="215">
        <f t="shared" si="4"/>
        <v>26.5</v>
      </c>
      <c r="V27" s="215">
        <f t="shared" si="7"/>
        <v>39.147356128717668</v>
      </c>
      <c r="W27" s="215">
        <f t="shared" si="6"/>
        <v>52.976584204259822</v>
      </c>
      <c r="X27" s="215">
        <f t="shared" si="1"/>
        <v>39.122610306592165</v>
      </c>
      <c r="Y27" s="215">
        <f t="shared" si="5"/>
        <v>39.436637659892412</v>
      </c>
    </row>
    <row r="28" spans="1:25" x14ac:dyDescent="0.25">
      <c r="A28" s="199">
        <v>2003</v>
      </c>
      <c r="B28" s="215">
        <f>AukeCr!C75</f>
        <v>23.340707964601769</v>
      </c>
      <c r="C28" s="215">
        <f>'Berners River'!C155</f>
        <v>21.625278830241506</v>
      </c>
      <c r="D28" s="215">
        <f>FordArm!C69</f>
        <v>31.4292199440115</v>
      </c>
      <c r="E28" s="215">
        <f>HughSmith!C72</f>
        <v>24.329343891395833</v>
      </c>
      <c r="F28" s="324">
        <f t="shared" si="2"/>
        <v>0.24329343891395833</v>
      </c>
      <c r="G28" s="199">
        <v>2003</v>
      </c>
      <c r="H28" s="215">
        <f>AukeCr!C75</f>
        <v>23.340707964601769</v>
      </c>
      <c r="I28" s="215">
        <f>'Berners River'!C155</f>
        <v>21.625278830241506</v>
      </c>
      <c r="J28" s="215">
        <f>FordArm!C69</f>
        <v>31.4292199440115</v>
      </c>
      <c r="K28" s="215">
        <f>HughSmith!C72</f>
        <v>24.329343891395833</v>
      </c>
      <c r="L28" s="435">
        <f t="shared" si="8"/>
        <v>25.010778904329289</v>
      </c>
      <c r="M28" s="324">
        <f t="shared" si="9"/>
        <v>35.312366382295977</v>
      </c>
      <c r="N28" s="199">
        <v>2003</v>
      </c>
      <c r="O28" s="215">
        <f>AukeCr!G75</f>
        <v>35.287610619469028</v>
      </c>
      <c r="P28" s="215">
        <f>'Berners River'!I155</f>
        <v>60.22506688909872</v>
      </c>
      <c r="Q28" s="215">
        <f>FordArm!H69</f>
        <v>48.634334569115531</v>
      </c>
      <c r="R28" s="215">
        <f>HughSmith!K72</f>
        <v>58.927236748703514</v>
      </c>
      <c r="S28" s="324"/>
      <c r="T28" s="199">
        <v>2003</v>
      </c>
      <c r="U28" s="215">
        <f t="shared" si="4"/>
        <v>35.287610619469028</v>
      </c>
      <c r="V28" s="215">
        <f t="shared" si="7"/>
        <v>60.22506688909872</v>
      </c>
      <c r="W28" s="215">
        <f t="shared" si="6"/>
        <v>48.634334569115531</v>
      </c>
      <c r="X28" s="215">
        <f t="shared" si="1"/>
        <v>58.927236748703514</v>
      </c>
      <c r="Y28" s="215">
        <f t="shared" si="5"/>
        <v>50.768562206596698</v>
      </c>
    </row>
    <row r="29" spans="1:25" x14ac:dyDescent="0.25">
      <c r="A29" s="199">
        <v>2004</v>
      </c>
      <c r="B29" s="215">
        <f>AukeCr!C76</f>
        <v>26.604278074866311</v>
      </c>
      <c r="C29" s="215">
        <f>'Berners River'!C156</f>
        <v>29.437747878529823</v>
      </c>
      <c r="D29" s="215">
        <f>FordArm!C70</f>
        <v>63.797091870456043</v>
      </c>
      <c r="E29" s="215">
        <f>HughSmith!C73</f>
        <v>40.801279633241485</v>
      </c>
      <c r="F29" s="324">
        <f t="shared" si="2"/>
        <v>0.40801279633241483</v>
      </c>
      <c r="G29" s="199">
        <v>2004</v>
      </c>
      <c r="H29" s="215">
        <f>AukeCr!C76</f>
        <v>26.604278074866311</v>
      </c>
      <c r="I29" s="215">
        <f>'Berners River'!C156</f>
        <v>29.437747878529823</v>
      </c>
      <c r="J29" s="215">
        <f>FordArm!C70</f>
        <v>63.797091870456043</v>
      </c>
      <c r="K29" s="215">
        <f>HughSmith!C73</f>
        <v>40.801279633241485</v>
      </c>
      <c r="L29" s="435">
        <f t="shared" si="8"/>
        <v>40.288335418067028</v>
      </c>
      <c r="M29" s="324">
        <f t="shared" si="9"/>
        <v>34.911329214116662</v>
      </c>
      <c r="N29" s="199">
        <v>2004</v>
      </c>
      <c r="O29" s="215">
        <f>AukeCr!G76</f>
        <v>44.385026737967912</v>
      </c>
      <c r="P29" s="215">
        <f>'Berners River'!I156</f>
        <v>51.074746107909917</v>
      </c>
      <c r="Q29" s="215">
        <f>FordArm!H70</f>
        <v>70.761731658955711</v>
      </c>
      <c r="R29" s="215">
        <f>HughSmith!K73</f>
        <v>66.28615985433018</v>
      </c>
      <c r="S29" s="324"/>
      <c r="T29" s="199">
        <v>2004</v>
      </c>
      <c r="U29" s="215">
        <f t="shared" si="4"/>
        <v>44.385026737967912</v>
      </c>
      <c r="V29" s="215">
        <f t="shared" si="7"/>
        <v>51.074746107909917</v>
      </c>
      <c r="W29" s="215">
        <f t="shared" si="6"/>
        <v>70.761731658955711</v>
      </c>
      <c r="X29" s="215">
        <f t="shared" si="1"/>
        <v>66.28615985433018</v>
      </c>
      <c r="Y29" s="215">
        <f t="shared" si="5"/>
        <v>58.126916089790932</v>
      </c>
    </row>
    <row r="30" spans="1:25" x14ac:dyDescent="0.25">
      <c r="A30" s="199">
        <v>2005</v>
      </c>
      <c r="B30" s="215">
        <f>AukeCr!C77</f>
        <v>33.012379642365886</v>
      </c>
      <c r="C30" s="215">
        <f>'Berners River'!C157</f>
        <v>33.093579074911332</v>
      </c>
      <c r="D30" s="215">
        <f>FordArm!C71</f>
        <v>50.716190852514075</v>
      </c>
      <c r="E30" s="215">
        <f>HughSmith!C74</f>
        <v>31.83871925484258</v>
      </c>
      <c r="F30" s="324">
        <f t="shared" si="2"/>
        <v>0.31838719254842579</v>
      </c>
      <c r="G30" s="199">
        <v>2005</v>
      </c>
      <c r="H30" s="215">
        <f>AukeCr!C77</f>
        <v>33.012379642365886</v>
      </c>
      <c r="I30" s="215">
        <f>'Berners River'!C157</f>
        <v>33.093579074911332</v>
      </c>
      <c r="J30" s="215">
        <f>FordArm!C71</f>
        <v>50.716190852514075</v>
      </c>
      <c r="K30" s="215">
        <f>HughSmith!C74</f>
        <v>31.83871925484258</v>
      </c>
      <c r="L30" s="435">
        <f t="shared" si="8"/>
        <v>36.099917615895293</v>
      </c>
      <c r="M30" s="324">
        <f t="shared" si="9"/>
        <v>35.034161890966985</v>
      </c>
      <c r="N30" s="199">
        <v>2005</v>
      </c>
      <c r="O30" s="215">
        <f>AukeCr!G77</f>
        <v>38.101788170563964</v>
      </c>
      <c r="P30" s="215">
        <f>'Berners River'!I157</f>
        <v>53.777143431839313</v>
      </c>
      <c r="Q30" s="215">
        <f>FordArm!H71</f>
        <v>57.947248839276902</v>
      </c>
      <c r="R30" s="215">
        <f>HughSmith!K74</f>
        <v>52.576734727738881</v>
      </c>
      <c r="S30" s="324"/>
      <c r="T30" s="199">
        <v>2005</v>
      </c>
      <c r="U30" s="215">
        <f t="shared" si="4"/>
        <v>38.101788170563964</v>
      </c>
      <c r="V30" s="215">
        <f t="shared" si="7"/>
        <v>53.777143431839313</v>
      </c>
      <c r="W30" s="215">
        <f t="shared" si="6"/>
        <v>57.947248839276902</v>
      </c>
      <c r="X30" s="215">
        <f t="shared" si="1"/>
        <v>52.576734727738881</v>
      </c>
      <c r="Y30" s="215">
        <f t="shared" si="5"/>
        <v>50.600728792354765</v>
      </c>
    </row>
    <row r="31" spans="1:25" x14ac:dyDescent="0.25">
      <c r="A31" s="199">
        <v>2006</v>
      </c>
      <c r="B31" s="215">
        <f>AukeCr!C78</f>
        <v>22.272727272727273</v>
      </c>
      <c r="C31" s="215">
        <f>'Berners River'!C158</f>
        <v>23.811142470206079</v>
      </c>
      <c r="D31" s="215">
        <f>FordArm!C72</f>
        <v>39.39270429997962</v>
      </c>
      <c r="E31" s="215">
        <f>HughSmith!C75</f>
        <v>36.481419829523155</v>
      </c>
      <c r="F31" s="324">
        <f t="shared" si="2"/>
        <v>0.36481419829523154</v>
      </c>
      <c r="G31" s="199">
        <v>2006</v>
      </c>
      <c r="H31" s="215">
        <f>AukeCr!C78</f>
        <v>22.272727272727273</v>
      </c>
      <c r="I31" s="215">
        <f>'Berners River'!C158</f>
        <v>23.811142470206079</v>
      </c>
      <c r="J31" s="215">
        <f>FordArm!C72</f>
        <v>39.39270429997962</v>
      </c>
      <c r="K31" s="215">
        <f>HughSmith!C75</f>
        <v>36.481419829523155</v>
      </c>
      <c r="L31" s="435">
        <f t="shared" si="8"/>
        <v>31.687882740391853</v>
      </c>
      <c r="M31" s="324">
        <f t="shared" si="9"/>
        <v>33.924848424494812</v>
      </c>
      <c r="N31" s="199">
        <v>2006</v>
      </c>
      <c r="O31" s="215">
        <f>AukeCr!G78</f>
        <v>33.977272727272727</v>
      </c>
      <c r="P31" s="215">
        <f>'Berners River'!I158</f>
        <v>60.393680867873591</v>
      </c>
      <c r="Q31" s="215">
        <f>FordArm!H72</f>
        <v>51.732219278581617</v>
      </c>
      <c r="R31" s="215">
        <f>HughSmith!K75</f>
        <v>53.735464980361016</v>
      </c>
      <c r="S31" s="324"/>
      <c r="T31" s="199">
        <v>2006</v>
      </c>
      <c r="U31" s="215">
        <f t="shared" si="4"/>
        <v>33.977272727272727</v>
      </c>
      <c r="V31" s="215">
        <f t="shared" si="7"/>
        <v>60.393680867873591</v>
      </c>
      <c r="W31" s="215">
        <f t="shared" si="6"/>
        <v>51.732219278581617</v>
      </c>
      <c r="X31" s="215">
        <f t="shared" si="1"/>
        <v>53.735464980361016</v>
      </c>
      <c r="Y31" s="215">
        <f t="shared" si="5"/>
        <v>49.959659463522243</v>
      </c>
    </row>
    <row r="32" spans="1:25" x14ac:dyDescent="0.25">
      <c r="A32" s="199">
        <v>2007</v>
      </c>
      <c r="B32" s="215">
        <f>AukeCr!C79</f>
        <v>25</v>
      </c>
      <c r="C32" s="215">
        <f>'Berners River'!C159</f>
        <v>30.391082561192199</v>
      </c>
      <c r="D32" s="215">
        <f>FordArm!C73</f>
        <v>65.462727902146327</v>
      </c>
      <c r="E32" s="215">
        <f>HughSmith!C76</f>
        <v>38.142954204807687</v>
      </c>
      <c r="F32" s="324">
        <f t="shared" si="2"/>
        <v>0.38142954204807689</v>
      </c>
      <c r="G32" s="199">
        <v>2007</v>
      </c>
      <c r="H32" s="215">
        <f>AukeCr!C79</f>
        <v>25</v>
      </c>
      <c r="I32" s="215">
        <f>'Berners River'!C159</f>
        <v>30.391082561192199</v>
      </c>
      <c r="J32" s="215">
        <f>FordArm!C73</f>
        <v>65.462727902146327</v>
      </c>
      <c r="K32" s="215">
        <f>HughSmith!C76</f>
        <v>38.142954204807687</v>
      </c>
      <c r="L32" s="435">
        <f t="shared" si="8"/>
        <v>39.42794377459078</v>
      </c>
      <c r="M32" s="324">
        <f t="shared" si="9"/>
        <v>34.419110158970781</v>
      </c>
      <c r="N32" s="199">
        <v>2007</v>
      </c>
      <c r="O32" s="215">
        <f>AukeCr!G79</f>
        <v>34.328358208955223</v>
      </c>
      <c r="P32" s="215">
        <f>'Berners River'!I159</f>
        <v>49.728677722396675</v>
      </c>
      <c r="Q32" s="215">
        <f>FordArm!H73</f>
        <v>70.378490653127173</v>
      </c>
      <c r="R32" s="215">
        <f>HughSmith!K76</f>
        <v>62.406197904982939</v>
      </c>
      <c r="S32" s="324"/>
      <c r="T32" s="199">
        <v>2007</v>
      </c>
      <c r="U32" s="215">
        <f t="shared" si="4"/>
        <v>34.328358208955223</v>
      </c>
      <c r="V32" s="215">
        <f t="shared" si="7"/>
        <v>49.728677722396675</v>
      </c>
      <c r="W32" s="215">
        <f t="shared" si="6"/>
        <v>70.378490653127173</v>
      </c>
      <c r="X32" s="215">
        <f t="shared" si="1"/>
        <v>62.406197904982939</v>
      </c>
      <c r="Y32" s="215">
        <f t="shared" si="5"/>
        <v>54.210431122365506</v>
      </c>
    </row>
    <row r="33" spans="1:25" x14ac:dyDescent="0.25">
      <c r="A33" s="199">
        <v>2008</v>
      </c>
      <c r="B33" s="215">
        <f>AukeCr!C80</f>
        <v>29.887410440122824</v>
      </c>
      <c r="C33" s="215">
        <f>'Berners River'!C160</f>
        <v>24.202775938723001</v>
      </c>
      <c r="D33" s="215">
        <f>FordArm!C74</f>
        <v>41.256781193490056</v>
      </c>
      <c r="E33" s="215">
        <f>HughSmith!C77</f>
        <v>18.961864406779661</v>
      </c>
      <c r="F33" s="324">
        <f t="shared" si="2"/>
        <v>0.1896186440677966</v>
      </c>
      <c r="G33" s="199">
        <v>2008</v>
      </c>
      <c r="H33" s="215">
        <f>AukeCr!C80</f>
        <v>29.887410440122824</v>
      </c>
      <c r="I33" s="215">
        <f>'Berners River'!C160</f>
        <v>24.202775938723001</v>
      </c>
      <c r="J33" s="215">
        <f>FordArm!C74</f>
        <v>41.256781193490056</v>
      </c>
      <c r="K33" s="215">
        <f>HughSmith!C77</f>
        <v>18.961864406779661</v>
      </c>
      <c r="L33" s="435">
        <f t="shared" si="8"/>
        <v>26.654139277179041</v>
      </c>
      <c r="M33" s="324">
        <f t="shared" si="9"/>
        <v>33.03169172144807</v>
      </c>
      <c r="N33" s="199">
        <v>2008</v>
      </c>
      <c r="O33" s="215">
        <f>AukeCr!G80</f>
        <v>38.587512794268171</v>
      </c>
      <c r="P33" s="215">
        <f>'Berners River'!I160</f>
        <v>46.785271252053349</v>
      </c>
      <c r="Q33" s="215">
        <f>FordArm!H74</f>
        <v>53.22784810126582</v>
      </c>
      <c r="R33" s="215">
        <f>HughSmith!K77</f>
        <v>53.893008474576277</v>
      </c>
      <c r="S33" s="324"/>
      <c r="T33" s="199">
        <v>2008</v>
      </c>
      <c r="U33" s="215">
        <f t="shared" si="4"/>
        <v>38.587512794268171</v>
      </c>
      <c r="V33" s="215">
        <f t="shared" si="7"/>
        <v>46.785271252053349</v>
      </c>
      <c r="W33" s="215">
        <f t="shared" si="6"/>
        <v>53.22784810126582</v>
      </c>
      <c r="X33" s="215">
        <f t="shared" si="1"/>
        <v>53.893008474576277</v>
      </c>
      <c r="Y33" s="215">
        <f t="shared" si="5"/>
        <v>48.12341015554091</v>
      </c>
    </row>
    <row r="34" spans="1:25" x14ac:dyDescent="0.25">
      <c r="A34" s="199">
        <v>2009</v>
      </c>
      <c r="B34" s="215">
        <f>AukeCr!C81</f>
        <v>30.185497470489036</v>
      </c>
      <c r="C34" s="215">
        <f>'Berners River'!C161</f>
        <v>27.150700170950149</v>
      </c>
      <c r="D34" s="215">
        <f>FordArm!C75</f>
        <v>64.60847600336794</v>
      </c>
      <c r="E34" s="215">
        <f>HughSmith!C78</f>
        <v>23.933378964179784</v>
      </c>
      <c r="F34" s="324">
        <f t="shared" si="2"/>
        <v>0.23933378964179786</v>
      </c>
      <c r="G34" s="199">
        <v>2009</v>
      </c>
      <c r="H34" s="215">
        <f>AukeCr!C81</f>
        <v>30.185497470489036</v>
      </c>
      <c r="I34" s="215">
        <f>'Berners River'!C161</f>
        <v>27.150700170950149</v>
      </c>
      <c r="J34" s="215">
        <f>FordArm!C75</f>
        <v>64.60847600336794</v>
      </c>
      <c r="K34" s="215">
        <f>HughSmith!C78</f>
        <v>23.933378964179784</v>
      </c>
      <c r="L34" s="435">
        <f t="shared" si="8"/>
        <v>33.962286314633339</v>
      </c>
      <c r="M34" s="324">
        <f t="shared" si="9"/>
        <v>32.206693058643211</v>
      </c>
      <c r="N34" s="199">
        <v>2009</v>
      </c>
      <c r="O34" s="215">
        <f>AukeCr!G81</f>
        <v>39.291736930860033</v>
      </c>
      <c r="P34" s="215">
        <f>'Berners River'!I161</f>
        <v>49.213761874761239</v>
      </c>
      <c r="Q34" s="215">
        <f>FordArm!H75</f>
        <v>69.393769295537467</v>
      </c>
      <c r="R34" s="215">
        <f>HughSmith!K78</f>
        <v>47.958019621263972</v>
      </c>
      <c r="S34" s="324"/>
      <c r="T34" s="199">
        <v>2009</v>
      </c>
      <c r="U34" s="215">
        <f t="shared" si="4"/>
        <v>39.291736930860033</v>
      </c>
      <c r="V34" s="215">
        <f t="shared" si="7"/>
        <v>49.213761874761239</v>
      </c>
      <c r="W34" s="215">
        <f t="shared" si="6"/>
        <v>69.393769295537467</v>
      </c>
      <c r="X34" s="215">
        <f t="shared" si="1"/>
        <v>47.958019621263972</v>
      </c>
      <c r="Y34" s="215">
        <f t="shared" si="5"/>
        <v>51.464321930605678</v>
      </c>
    </row>
    <row r="35" spans="1:25" x14ac:dyDescent="0.25">
      <c r="A35" s="197">
        <v>2010</v>
      </c>
      <c r="B35" s="215">
        <f>AukeCr!C82</f>
        <v>25.293350717079534</v>
      </c>
      <c r="C35" s="215">
        <f>'Berners River'!C162</f>
        <v>27.299564639638174</v>
      </c>
      <c r="D35" s="215">
        <f>FordArm!C76</f>
        <v>48.196280528792293</v>
      </c>
      <c r="E35" s="215">
        <f>HughSmith!C79</f>
        <v>22.244784936311611</v>
      </c>
      <c r="F35" s="324">
        <f t="shared" si="2"/>
        <v>0.2224478493631161</v>
      </c>
      <c r="G35" s="197">
        <v>2010</v>
      </c>
      <c r="H35" s="215">
        <f>AukeCr!C82</f>
        <v>25.293350717079534</v>
      </c>
      <c r="I35" s="215">
        <f>'Berners River'!C162</f>
        <v>27.299564639638174</v>
      </c>
      <c r="J35" s="215">
        <f>FordArm!C76</f>
        <v>48.196280528792293</v>
      </c>
      <c r="K35" s="215">
        <f>HughSmith!C79</f>
        <v>22.244784936311611</v>
      </c>
      <c r="L35" s="435">
        <f t="shared" si="8"/>
        <v>29.055753151626647</v>
      </c>
      <c r="M35" s="324">
        <f t="shared" si="9"/>
        <v>31.645927058559824</v>
      </c>
      <c r="N35" s="197">
        <v>2010</v>
      </c>
      <c r="O35" s="215">
        <f>AukeCr!G82</f>
        <v>45.632333767926987</v>
      </c>
      <c r="P35" s="215">
        <f>'Berners River'!I162</f>
        <v>60.500253484686652</v>
      </c>
      <c r="Q35" s="215">
        <f>FordArm!H76</f>
        <v>63.925610575845852</v>
      </c>
      <c r="R35" s="215">
        <f>HughSmith!K79</f>
        <v>46.870961786966959</v>
      </c>
      <c r="S35" s="324"/>
      <c r="T35" s="197">
        <v>2010</v>
      </c>
      <c r="U35" s="215">
        <f t="shared" si="4"/>
        <v>45.632333767926987</v>
      </c>
      <c r="V35" s="215">
        <f t="shared" si="7"/>
        <v>60.500253484686652</v>
      </c>
      <c r="W35" s="215">
        <f t="shared" si="6"/>
        <v>63.925610575845852</v>
      </c>
      <c r="X35" s="215">
        <f t="shared" si="1"/>
        <v>46.870961786966959</v>
      </c>
      <c r="Y35" s="215">
        <f t="shared" si="5"/>
        <v>54.232289903856611</v>
      </c>
    </row>
    <row r="36" spans="1:25" x14ac:dyDescent="0.25">
      <c r="A36" s="197">
        <v>2011</v>
      </c>
      <c r="B36" s="215">
        <f>AukeCr!C83</f>
        <v>17.2544080604534</v>
      </c>
      <c r="C36" s="215">
        <f>'Berners River'!C163</f>
        <v>27.591910209105169</v>
      </c>
      <c r="D36" s="215">
        <f>FordArm!C77</f>
        <v>24.109614319985237</v>
      </c>
      <c r="E36" s="215">
        <f>HughSmith!C80</f>
        <v>19.761239522479045</v>
      </c>
      <c r="F36" s="324">
        <f t="shared" si="2"/>
        <v>0.19761239522479046</v>
      </c>
      <c r="G36" s="197">
        <v>2011</v>
      </c>
      <c r="H36" s="215">
        <f>AukeCr!C83</f>
        <v>17.2544080604534</v>
      </c>
      <c r="I36" s="215">
        <f>'Berners River'!C163</f>
        <v>27.591910209105169</v>
      </c>
      <c r="J36" s="215">
        <f>FordArm!C77</f>
        <v>24.109614319985237</v>
      </c>
      <c r="K36" s="215">
        <f>HughSmith!C80</f>
        <v>19.761239522479045</v>
      </c>
      <c r="L36" s="435">
        <f t="shared" si="8"/>
        <v>21.695682326900378</v>
      </c>
      <c r="M36" s="324">
        <f t="shared" si="9"/>
        <v>30.474926099901051</v>
      </c>
      <c r="N36" s="197">
        <v>2011</v>
      </c>
      <c r="O36" s="215">
        <f>AukeCr!G83</f>
        <v>34.886649874055415</v>
      </c>
      <c r="P36" s="215">
        <f>'Berners River'!I163</f>
        <v>44.328539707687902</v>
      </c>
      <c r="Q36" s="215">
        <f>FordArm!H77</f>
        <v>82.395275881158881</v>
      </c>
      <c r="R36" s="215">
        <f>HughSmith!K80</f>
        <v>45.720091440182884</v>
      </c>
      <c r="S36" s="324"/>
      <c r="T36" s="197">
        <v>2011</v>
      </c>
      <c r="U36" s="215">
        <f t="shared" si="4"/>
        <v>34.886649874055415</v>
      </c>
      <c r="V36" s="215">
        <f t="shared" si="7"/>
        <v>44.328539707687902</v>
      </c>
      <c r="W36" s="215">
        <f t="shared" si="6"/>
        <v>82.395275881158881</v>
      </c>
      <c r="X36" s="215">
        <f t="shared" si="1"/>
        <v>45.720091440182884</v>
      </c>
      <c r="Y36" s="215">
        <f t="shared" si="5"/>
        <v>51.832639225771274</v>
      </c>
    </row>
    <row r="37" spans="1:25" x14ac:dyDescent="0.25">
      <c r="A37" s="197">
        <v>2012</v>
      </c>
      <c r="B37" s="215">
        <f>AukeCr!C84</f>
        <v>19.684308263695449</v>
      </c>
      <c r="C37" s="215">
        <f>'Berners River'!C164</f>
        <v>21.01865544622515</v>
      </c>
      <c r="D37" s="215">
        <f>FordArm!C78</f>
        <v>46.674219129308945</v>
      </c>
      <c r="E37" s="215">
        <f>HughSmith!C81</f>
        <v>19.721354792217152</v>
      </c>
      <c r="F37" s="324">
        <f t="shared" si="2"/>
        <v>0.19721354792217152</v>
      </c>
      <c r="G37" s="197">
        <v>2012</v>
      </c>
      <c r="H37" s="215">
        <f>AukeCr!C84</f>
        <v>19.684308263695449</v>
      </c>
      <c r="I37" s="215">
        <f>'Berners River'!C164</f>
        <v>21.01865544622515</v>
      </c>
      <c r="J37" s="215">
        <f>FordArm!C78</f>
        <v>46.674219129308945</v>
      </c>
      <c r="K37" s="215">
        <f>HughSmith!C81</f>
        <v>19.721354792217152</v>
      </c>
      <c r="L37" s="435">
        <f>(((H37/2)+(I37/2)+K37+(J37/2))/2.5)</f>
        <v>25.363978484732769</v>
      </c>
      <c r="M37" s="324">
        <f t="shared" si="9"/>
        <v>30.924669800834646</v>
      </c>
      <c r="N37" s="197">
        <v>2012</v>
      </c>
      <c r="O37" s="215">
        <f>AukeCr!G84</f>
        <v>22.284122562674096</v>
      </c>
      <c r="P37" s="215">
        <f>'Berners River'!I164</f>
        <v>30.961731258252144</v>
      </c>
      <c r="Q37" s="215">
        <f>FordArm!H78</f>
        <v>63.068457679236126</v>
      </c>
      <c r="R37" s="215">
        <f>HughSmith!K81</f>
        <v>54.167667547441745</v>
      </c>
      <c r="S37" s="324"/>
      <c r="T37" s="197">
        <v>2012</v>
      </c>
      <c r="U37" s="215">
        <f t="shared" si="4"/>
        <v>22.284122562674096</v>
      </c>
      <c r="V37" s="215">
        <f t="shared" si="7"/>
        <v>30.961731258252144</v>
      </c>
      <c r="W37" s="215">
        <f t="shared" si="6"/>
        <v>63.068457679236126</v>
      </c>
      <c r="X37" s="215">
        <f t="shared" si="1"/>
        <v>54.167667547441745</v>
      </c>
      <c r="Y37" s="215">
        <f t="shared" si="5"/>
        <v>42.620494761901028</v>
      </c>
    </row>
    <row r="38" spans="1:25" x14ac:dyDescent="0.25">
      <c r="A38" s="197">
        <v>2013</v>
      </c>
      <c r="B38" s="215">
        <f>AukeCr!C85</f>
        <v>32.069510268562404</v>
      </c>
      <c r="C38" s="215">
        <f>'Berners River'!C165</f>
        <v>33.302798656759755</v>
      </c>
      <c r="D38" s="215">
        <f>FordArm!C79</f>
        <v>47.775763491842142</v>
      </c>
      <c r="E38" s="215">
        <f>HughSmith!C82</f>
        <v>25.39820445988995</v>
      </c>
      <c r="F38" s="324">
        <f t="shared" si="2"/>
        <v>0.2539820445988995</v>
      </c>
      <c r="G38" s="197">
        <v>2013</v>
      </c>
      <c r="H38" s="215">
        <f>AukeCr!C85</f>
        <v>32.069510268562404</v>
      </c>
      <c r="I38" s="215">
        <f>'Berners River'!C165</f>
        <v>33.302798656759755</v>
      </c>
      <c r="J38" s="215">
        <f>FordArm!C79</f>
        <v>47.775763491842142</v>
      </c>
      <c r="K38" s="215">
        <f>HughSmith!C82</f>
        <v>25.39820445988995</v>
      </c>
      <c r="L38" s="435">
        <f t="shared" si="8"/>
        <v>32.788896267388836</v>
      </c>
      <c r="M38" s="324">
        <f t="shared" si="9"/>
        <v>31.702481537140603</v>
      </c>
      <c r="N38" s="197">
        <v>2013</v>
      </c>
      <c r="O38" s="215">
        <f>AukeCr!G85</f>
        <v>41.864139020537124</v>
      </c>
      <c r="P38" s="215">
        <f>'Berners River'!I165</f>
        <v>65.482244954497375</v>
      </c>
      <c r="Q38" s="215">
        <f>FordArm!H79</f>
        <v>78.064426160925947</v>
      </c>
      <c r="R38" s="215">
        <f>HughSmith!K82</f>
        <v>55.864465682015641</v>
      </c>
      <c r="S38" s="324"/>
      <c r="T38" s="197">
        <v>2013</v>
      </c>
      <c r="U38" s="215">
        <f t="shared" si="4"/>
        <v>41.864139020537124</v>
      </c>
      <c r="V38" s="215">
        <f t="shared" si="7"/>
        <v>65.482244954497375</v>
      </c>
      <c r="W38" s="215">
        <f t="shared" si="6"/>
        <v>78.064426160925947</v>
      </c>
      <c r="X38" s="215">
        <f t="shared" si="1"/>
        <v>55.864465682015641</v>
      </c>
      <c r="Y38" s="215">
        <f t="shared" si="5"/>
        <v>60.31881895449402</v>
      </c>
    </row>
    <row r="39" spans="1:25" x14ac:dyDescent="0.25">
      <c r="A39" s="197">
        <v>2014</v>
      </c>
      <c r="B39" s="215">
        <f>AukeCr!C86</f>
        <v>13.759086188992731</v>
      </c>
      <c r="C39" s="215">
        <f>'Berners River'!C166</f>
        <v>14.156679631530601</v>
      </c>
      <c r="D39" s="215">
        <f>FordArm!C80</f>
        <v>46.13727877142054</v>
      </c>
      <c r="E39" s="215">
        <f>HughSmith!C83</f>
        <v>24.302582068249642</v>
      </c>
      <c r="F39" s="324">
        <f t="shared" si="2"/>
        <v>0.24302582068249642</v>
      </c>
      <c r="G39" s="197">
        <v>2014</v>
      </c>
      <c r="H39" s="215">
        <f>AukeCr!C86</f>
        <v>13.759086188992731</v>
      </c>
      <c r="I39" s="215">
        <f>'Berners River'!C166</f>
        <v>14.156679631530601</v>
      </c>
      <c r="J39" s="215">
        <f>FordArm!C80</f>
        <v>46.13727877142054</v>
      </c>
      <c r="K39" s="215">
        <f>HughSmith!C83</f>
        <v>24.302582068249642</v>
      </c>
      <c r="L39" s="435">
        <f t="shared" si="8"/>
        <v>24.531641745688631</v>
      </c>
      <c r="M39" s="324">
        <f t="shared" si="9"/>
        <v>30.126812169902756</v>
      </c>
      <c r="N39" s="197">
        <v>2014</v>
      </c>
      <c r="O39" s="215">
        <f>AukeCr!G86</f>
        <v>20.404984423676012</v>
      </c>
      <c r="P39" s="215">
        <f>'Berners River'!I166</f>
        <v>36.759220180413472</v>
      </c>
      <c r="Q39" s="215">
        <f>FordArm!H80</f>
        <v>71.673377657083989</v>
      </c>
      <c r="R39" s="215">
        <f>HughSmith!K83</f>
        <v>46.671856753600622</v>
      </c>
      <c r="S39" s="324"/>
      <c r="T39" s="197">
        <v>2014</v>
      </c>
      <c r="U39" s="215">
        <f t="shared" si="4"/>
        <v>20.404984423676012</v>
      </c>
      <c r="V39" s="215">
        <f t="shared" si="7"/>
        <v>36.759220180413472</v>
      </c>
      <c r="W39" s="215">
        <f t="shared" si="6"/>
        <v>71.673377657083989</v>
      </c>
      <c r="X39" s="215">
        <f t="shared" si="1"/>
        <v>46.671856753600622</v>
      </c>
      <c r="Y39" s="215">
        <f t="shared" si="5"/>
        <v>43.877359753693526</v>
      </c>
    </row>
    <row r="40" spans="1:25" x14ac:dyDescent="0.25">
      <c r="A40" s="197">
        <v>2015</v>
      </c>
      <c r="B40" s="215">
        <f>AukeCr!C87</f>
        <v>20.289855072463769</v>
      </c>
      <c r="C40" s="215">
        <f>'Berners River'!C167</f>
        <v>19.63207181248961</v>
      </c>
      <c r="D40" s="215">
        <f>FordArm!C81</f>
        <v>44.88843517573283</v>
      </c>
      <c r="E40" s="215">
        <f>HughSmith!C84</f>
        <v>24.053224155578302</v>
      </c>
      <c r="F40" s="324">
        <f t="shared" si="2"/>
        <v>0.24053224155578301</v>
      </c>
      <c r="G40" s="197">
        <v>2015</v>
      </c>
      <c r="H40" s="215">
        <f>AukeCr!C87</f>
        <v>20.289855072463769</v>
      </c>
      <c r="I40" s="215">
        <f>'Berners River'!C167</f>
        <v>19.63207181248961</v>
      </c>
      <c r="J40" s="215">
        <f>FordArm!C81</f>
        <v>44.88843517573283</v>
      </c>
      <c r="K40" s="215">
        <f>HughSmith!C84</f>
        <v>24.053224155578302</v>
      </c>
      <c r="L40" s="435">
        <f t="shared" si="8"/>
        <v>26.583362074368562</v>
      </c>
      <c r="M40" s="324">
        <f t="shared" si="9"/>
        <v>29.175156615750087</v>
      </c>
      <c r="N40" s="197">
        <v>2015</v>
      </c>
      <c r="O40" s="215">
        <f>AukeCr!G87</f>
        <v>25.072463768115945</v>
      </c>
      <c r="P40" s="215">
        <f>'Berners River'!I167</f>
        <v>31.634066603867677</v>
      </c>
      <c r="Q40" s="215">
        <f>FordArm!H81</f>
        <v>52.15108648096836</v>
      </c>
      <c r="R40" s="215">
        <f>HughSmith!K84</f>
        <v>51.074718526100305</v>
      </c>
      <c r="S40" s="324"/>
      <c r="T40" s="197">
        <v>2015</v>
      </c>
      <c r="U40" s="215">
        <f t="shared" si="4"/>
        <v>25.072463768115945</v>
      </c>
      <c r="V40" s="215">
        <f t="shared" si="7"/>
        <v>31.634066603867677</v>
      </c>
      <c r="W40" s="215">
        <f t="shared" si="6"/>
        <v>52.15108648096836</v>
      </c>
      <c r="X40" s="215">
        <f t="shared" si="1"/>
        <v>51.074718526100305</v>
      </c>
      <c r="Y40" s="215">
        <f t="shared" si="5"/>
        <v>39.983083844763073</v>
      </c>
    </row>
    <row r="41" spans="1:25" x14ac:dyDescent="0.25">
      <c r="A41" s="197">
        <v>2016</v>
      </c>
      <c r="B41" s="215">
        <f>AukeCr!C88</f>
        <v>7.3260073260073266</v>
      </c>
      <c r="C41" s="215">
        <f>'Berners River'!C168</f>
        <v>7.9449282338973735</v>
      </c>
      <c r="D41" s="215"/>
      <c r="E41" s="215">
        <f>HughSmith!C85</f>
        <v>31.103000811030007</v>
      </c>
      <c r="F41" s="324">
        <f t="shared" si="2"/>
        <v>0.31103000811030007</v>
      </c>
      <c r="G41" s="197">
        <v>2016</v>
      </c>
      <c r="H41" s="215">
        <f>AukeCr!C88</f>
        <v>7.3260073260073266</v>
      </c>
      <c r="I41" s="215">
        <f>'Berners River'!C168</f>
        <v>7.9449282338973735</v>
      </c>
      <c r="J41" s="320">
        <v>35.199709485196117</v>
      </c>
      <c r="K41" s="215">
        <f>HughSmith!C85</f>
        <v>31.103000811030007</v>
      </c>
      <c r="L41" s="435">
        <f t="shared" si="8"/>
        <v>22.535329333432166</v>
      </c>
      <c r="M41" s="324">
        <f t="shared" si="9"/>
        <v>28.259901275054112</v>
      </c>
      <c r="N41" s="197">
        <v>2016</v>
      </c>
      <c r="O41" s="215">
        <f>AukeCr!G88</f>
        <v>25.274725274725274</v>
      </c>
      <c r="P41" s="215">
        <f>'Berners River'!I168</f>
        <v>27.783932875194413</v>
      </c>
      <c r="Q41" s="215"/>
      <c r="R41" s="215">
        <f>HughSmith!K85</f>
        <v>61.557177615571781</v>
      </c>
      <c r="S41" s="324"/>
      <c r="T41" s="197">
        <v>2016</v>
      </c>
      <c r="U41" s="215">
        <f t="shared" ref="U41" si="10">O41</f>
        <v>25.274725274725274</v>
      </c>
      <c r="V41" s="215">
        <f t="shared" ref="V41" si="11">P41</f>
        <v>27.783932875194413</v>
      </c>
      <c r="W41" s="320">
        <v>55.480996335479212</v>
      </c>
      <c r="X41" s="215">
        <f t="shared" ref="X41" si="12">R41</f>
        <v>61.557177615571781</v>
      </c>
      <c r="Y41" s="215">
        <f t="shared" ref="Y41" si="13">AVERAGE(U41:X41)</f>
        <v>42.524208025242672</v>
      </c>
    </row>
    <row r="42" spans="1:25" x14ac:dyDescent="0.25">
      <c r="A42" s="197">
        <v>2017</v>
      </c>
      <c r="B42" s="215">
        <f>AukeCr!C89</f>
        <v>34.029227557411275</v>
      </c>
      <c r="C42" s="215">
        <f>'Berners River'!C169</f>
        <v>27.850712678169543</v>
      </c>
      <c r="D42" s="215"/>
      <c r="E42" s="215">
        <f>HughSmith!C86</f>
        <v>27.793814432989688</v>
      </c>
      <c r="F42" s="324">
        <f t="shared" si="2"/>
        <v>0.27793814432989689</v>
      </c>
      <c r="G42" s="197">
        <v>2017</v>
      </c>
      <c r="H42" s="215">
        <f>AukeCr!C89</f>
        <v>34.029227557411275</v>
      </c>
      <c r="I42" s="215">
        <f>'Berners River'!C169</f>
        <v>27.850712678169543</v>
      </c>
      <c r="J42" s="320">
        <v>53.34540409193793</v>
      </c>
      <c r="K42" s="215">
        <f>HughSmith!C86</f>
        <v>27.793814432989688</v>
      </c>
      <c r="L42" s="435">
        <f t="shared" si="8"/>
        <v>34.162594638699623</v>
      </c>
      <c r="M42" s="324">
        <f t="shared" si="9"/>
        <v>27.733366361464999</v>
      </c>
      <c r="N42" s="197">
        <v>2017</v>
      </c>
      <c r="O42" s="215">
        <f>AukeCr!G89</f>
        <v>40.918580375782881</v>
      </c>
      <c r="P42" s="215">
        <f>'Berners River'!I169</f>
        <v>45.373843460865217</v>
      </c>
      <c r="Q42" s="215"/>
      <c r="R42" s="215">
        <f>HughSmith!K86</f>
        <v>47.793814432989691</v>
      </c>
      <c r="S42" s="324"/>
      <c r="T42" s="197">
        <v>2017</v>
      </c>
      <c r="U42" s="215">
        <f t="shared" si="4"/>
        <v>40.918580375782881</v>
      </c>
      <c r="V42" s="215">
        <f t="shared" si="7"/>
        <v>45.373843460865217</v>
      </c>
      <c r="W42" s="320">
        <v>64.877596354323515</v>
      </c>
      <c r="X42" s="215">
        <f>R42</f>
        <v>47.793814432989691</v>
      </c>
      <c r="Y42" s="215">
        <f t="shared" si="5"/>
        <v>49.740958655990326</v>
      </c>
    </row>
    <row r="43" spans="1:25" x14ac:dyDescent="0.25">
      <c r="A43" s="195" t="s">
        <v>32</v>
      </c>
      <c r="B43" s="208">
        <f>AVERAGE(B7:B42)</f>
        <v>28.352807658385284</v>
      </c>
      <c r="C43" s="208">
        <f>AVERAGE(C7:C42)</f>
        <v>27.606880339842682</v>
      </c>
      <c r="D43" s="208">
        <f t="shared" ref="D43:E43" si="14">AVERAGE(D7:D42)</f>
        <v>51.071145048444436</v>
      </c>
      <c r="E43" s="208">
        <f t="shared" si="14"/>
        <v>32.976722935314051</v>
      </c>
      <c r="F43" s="324"/>
      <c r="G43" s="195" t="s">
        <v>32</v>
      </c>
      <c r="H43" s="208">
        <f t="shared" ref="H43" si="15">AVERAGE(H7:H42)</f>
        <v>28.352807658385284</v>
      </c>
      <c r="I43" s="208">
        <f>AVERAGE(I7:I42)</f>
        <v>27.606880339842682</v>
      </c>
      <c r="J43" s="208">
        <f>AVERAGE(J7:J42)</f>
        <v>50.773357887969475</v>
      </c>
      <c r="K43" s="208">
        <f>AVERAGE(K7:K42)</f>
        <v>32.976722935314051</v>
      </c>
      <c r="L43" s="208">
        <f>AVERAGE(L7:L42)</f>
        <v>34.72122668555523</v>
      </c>
      <c r="M43" s="324"/>
      <c r="N43" s="195" t="s">
        <v>32</v>
      </c>
      <c r="O43" s="208">
        <f t="shared" ref="O43:R43" si="16">AVERAGE(O7:O42)</f>
        <v>38.850755222842196</v>
      </c>
      <c r="P43" s="208">
        <f t="shared" si="16"/>
        <v>52.579166604918413</v>
      </c>
      <c r="Q43" s="208">
        <f t="shared" si="16"/>
        <v>61.216395586113229</v>
      </c>
      <c r="R43" s="208">
        <f t="shared" si="16"/>
        <v>61.489451080895847</v>
      </c>
      <c r="S43" s="324"/>
      <c r="T43" s="195" t="s">
        <v>32</v>
      </c>
      <c r="U43" s="208">
        <f>AVERAGE(U7:U42)</f>
        <v>38.850755222842196</v>
      </c>
      <c r="V43" s="208">
        <f t="shared" ref="V43:Y43" si="17">AVERAGE(V7:V42)</f>
        <v>52.468497166876688</v>
      </c>
      <c r="W43" s="208">
        <f>AVERAGE(W7:W40)</f>
        <v>61.293441022399719</v>
      </c>
      <c r="X43" s="208">
        <f t="shared" si="17"/>
        <v>61.489451080895847</v>
      </c>
      <c r="Y43" s="208">
        <f t="shared" si="17"/>
        <v>53.510061891621696</v>
      </c>
    </row>
    <row r="45" spans="1:25" x14ac:dyDescent="0.25">
      <c r="L45" s="436"/>
    </row>
    <row r="46" spans="1:25" x14ac:dyDescent="0.25">
      <c r="A46" s="323"/>
      <c r="B46" s="323"/>
      <c r="C46" s="323"/>
      <c r="D46" s="323"/>
      <c r="E46" s="323"/>
      <c r="F46" s="323"/>
      <c r="G46" s="323"/>
      <c r="H46" s="323"/>
      <c r="I46" s="323"/>
      <c r="J46" s="323"/>
      <c r="K46" s="324"/>
      <c r="L46" s="324">
        <f>AVERAGE(K33:K37)</f>
        <v>20.924524524393451</v>
      </c>
      <c r="M46" s="324"/>
      <c r="N46" s="324"/>
      <c r="O46" s="324"/>
      <c r="P46" s="324"/>
      <c r="Q46" s="324"/>
      <c r="R46" s="324"/>
      <c r="S46" s="324"/>
      <c r="T46" s="324"/>
      <c r="U46" s="324"/>
      <c r="V46" s="324"/>
      <c r="W46" s="324"/>
    </row>
    <row r="47" spans="1:25" x14ac:dyDescent="0.25">
      <c r="A47" s="323"/>
      <c r="B47" s="323"/>
      <c r="C47" s="323"/>
      <c r="D47" s="323"/>
      <c r="E47" s="323"/>
      <c r="F47" s="323"/>
      <c r="G47" s="323"/>
      <c r="H47" s="323"/>
      <c r="I47" s="323"/>
      <c r="J47" s="323"/>
      <c r="K47" s="324"/>
      <c r="L47" s="324"/>
      <c r="M47" s="324"/>
      <c r="N47" s="324"/>
      <c r="O47" s="324"/>
      <c r="P47" s="324"/>
      <c r="Q47" s="324"/>
      <c r="R47" s="324"/>
      <c r="S47" s="324"/>
      <c r="T47" s="324"/>
      <c r="U47" s="324"/>
      <c r="V47" s="324"/>
      <c r="W47" s="324"/>
    </row>
    <row r="48" spans="1:25" x14ac:dyDescent="0.25">
      <c r="A48" s="323"/>
      <c r="B48" s="323"/>
      <c r="C48" s="323"/>
      <c r="D48" s="323"/>
      <c r="E48" s="323"/>
      <c r="F48" s="323"/>
      <c r="G48" s="323"/>
      <c r="H48" s="323"/>
      <c r="I48" s="323"/>
      <c r="J48" s="323"/>
      <c r="K48" s="324"/>
      <c r="L48" s="324"/>
      <c r="M48" s="324"/>
      <c r="N48" s="324"/>
      <c r="O48" s="324"/>
      <c r="P48" s="324"/>
      <c r="Q48" s="324"/>
      <c r="R48" s="324"/>
      <c r="S48" s="324"/>
      <c r="T48" s="324"/>
      <c r="U48" s="324"/>
      <c r="V48" s="324"/>
      <c r="W48" s="324"/>
    </row>
    <row r="49" spans="1:24" x14ac:dyDescent="0.25">
      <c r="A49" s="323"/>
      <c r="B49" s="323"/>
      <c r="C49" s="323"/>
      <c r="D49" s="323"/>
      <c r="E49" s="323"/>
      <c r="F49" s="323"/>
      <c r="G49" s="323"/>
      <c r="H49" s="323"/>
      <c r="I49" s="323"/>
      <c r="J49" s="323"/>
      <c r="K49" s="324"/>
      <c r="L49" s="324"/>
      <c r="M49" s="324"/>
      <c r="N49" s="324"/>
      <c r="O49" s="324"/>
      <c r="P49" s="324"/>
      <c r="Q49" s="324"/>
      <c r="R49" s="324"/>
      <c r="S49" s="324"/>
      <c r="T49" s="324"/>
      <c r="U49" s="324"/>
      <c r="V49" s="324"/>
      <c r="W49" s="324"/>
    </row>
    <row r="50" spans="1:24" x14ac:dyDescent="0.25">
      <c r="A50" s="323"/>
      <c r="B50" s="323"/>
      <c r="C50" s="323"/>
      <c r="D50" s="323"/>
      <c r="E50" s="323"/>
      <c r="F50" s="323"/>
      <c r="G50" s="323"/>
      <c r="H50" s="323"/>
      <c r="I50" s="323"/>
      <c r="J50" s="323"/>
      <c r="K50" s="324"/>
      <c r="L50" s="324"/>
      <c r="M50" s="324"/>
      <c r="N50" s="324"/>
      <c r="O50" s="324"/>
      <c r="P50" s="324"/>
      <c r="Q50" s="324"/>
      <c r="R50" s="324"/>
      <c r="S50" s="324"/>
      <c r="T50" s="324"/>
      <c r="U50" s="324"/>
      <c r="V50" s="324"/>
      <c r="W50" s="324"/>
    </row>
    <row r="51" spans="1:24" x14ac:dyDescent="0.25">
      <c r="A51" s="323"/>
      <c r="B51" s="323"/>
      <c r="C51" s="323"/>
      <c r="D51" s="323"/>
      <c r="E51" s="323"/>
      <c r="F51" s="323"/>
      <c r="G51" s="323"/>
      <c r="H51" s="323"/>
      <c r="I51" s="323"/>
      <c r="J51" s="323"/>
      <c r="K51" s="324"/>
      <c r="L51" s="324"/>
      <c r="M51" s="324"/>
      <c r="N51" s="324"/>
      <c r="O51" s="324"/>
      <c r="P51" s="324"/>
      <c r="Q51" s="324"/>
      <c r="R51" s="324"/>
      <c r="S51" s="324"/>
      <c r="T51" s="324"/>
      <c r="U51" s="324"/>
      <c r="V51" s="324"/>
      <c r="W51" s="324"/>
    </row>
    <row r="52" spans="1:24" x14ac:dyDescent="0.25">
      <c r="A52" s="323"/>
      <c r="B52" s="323"/>
      <c r="C52" s="323"/>
      <c r="D52" s="323"/>
      <c r="E52" s="323"/>
      <c r="F52" s="323"/>
      <c r="G52" s="323"/>
      <c r="H52" s="323"/>
      <c r="I52" s="323"/>
      <c r="J52" s="323"/>
      <c r="N52" s="436"/>
      <c r="O52" s="436"/>
      <c r="P52" s="436"/>
      <c r="Q52" s="436"/>
      <c r="R52" s="436"/>
      <c r="S52" s="436"/>
      <c r="T52" s="436"/>
      <c r="X52" s="436"/>
    </row>
    <row r="53" spans="1:24" x14ac:dyDescent="0.25">
      <c r="A53" s="323"/>
      <c r="B53" s="323"/>
      <c r="C53" s="323"/>
      <c r="D53" s="323"/>
      <c r="E53" s="323"/>
      <c r="F53" s="323"/>
      <c r="G53" s="323"/>
      <c r="H53" s="323"/>
      <c r="I53" s="323"/>
      <c r="J53" s="323"/>
      <c r="N53" s="436"/>
      <c r="O53" s="436"/>
      <c r="P53" s="436"/>
      <c r="Q53" s="436"/>
      <c r="R53" s="436"/>
      <c r="S53" s="436"/>
      <c r="T53" s="436"/>
      <c r="X53" s="436"/>
    </row>
    <row r="54" spans="1:24" x14ac:dyDescent="0.25">
      <c r="A54" s="323"/>
      <c r="B54" s="323"/>
      <c r="C54" s="323"/>
      <c r="D54" s="323"/>
      <c r="E54" s="323"/>
      <c r="F54" s="323"/>
      <c r="G54" s="323"/>
      <c r="H54" s="323"/>
      <c r="I54" s="323"/>
      <c r="J54" s="323"/>
      <c r="N54" s="436"/>
      <c r="O54" s="436"/>
      <c r="P54" s="436"/>
      <c r="Q54" s="436"/>
      <c r="R54" s="436"/>
      <c r="X54" s="436"/>
    </row>
    <row r="55" spans="1:24" x14ac:dyDescent="0.25">
      <c r="A55" s="323"/>
      <c r="B55" s="323"/>
      <c r="C55" s="323"/>
      <c r="D55" s="323"/>
      <c r="E55" s="323"/>
      <c r="F55" s="323"/>
      <c r="G55" s="323"/>
      <c r="H55" s="323"/>
      <c r="I55" s="323"/>
      <c r="J55" s="323"/>
    </row>
    <row r="56" spans="1:24" x14ac:dyDescent="0.25">
      <c r="A56" s="323"/>
      <c r="B56" s="323"/>
      <c r="C56" s="323"/>
      <c r="D56" s="323"/>
      <c r="E56" s="323"/>
      <c r="F56" s="323"/>
      <c r="G56" s="323"/>
      <c r="H56" s="323"/>
      <c r="I56" s="323"/>
      <c r="J56" s="323"/>
    </row>
    <row r="57" spans="1:24" x14ac:dyDescent="0.25">
      <c r="A57" s="323"/>
      <c r="B57" s="323"/>
      <c r="C57" s="323"/>
      <c r="D57" s="323"/>
      <c r="E57" s="323"/>
      <c r="F57" s="323"/>
      <c r="G57" s="323"/>
      <c r="H57" s="323"/>
      <c r="I57" s="323"/>
      <c r="J57" s="323"/>
    </row>
    <row r="58" spans="1:24" x14ac:dyDescent="0.25">
      <c r="A58" s="323"/>
      <c r="B58" s="323"/>
      <c r="C58" s="323"/>
      <c r="D58" s="323"/>
      <c r="E58" s="323"/>
      <c r="F58" s="323"/>
      <c r="G58" s="323"/>
      <c r="H58" s="323"/>
      <c r="I58" s="323"/>
      <c r="J58" s="323"/>
    </row>
    <row r="59" spans="1:24" x14ac:dyDescent="0.25">
      <c r="A59" s="323"/>
      <c r="B59" s="323"/>
      <c r="C59" s="323"/>
      <c r="D59" s="323"/>
      <c r="E59" s="323"/>
      <c r="F59" s="323"/>
      <c r="G59" s="323"/>
      <c r="H59" s="323"/>
      <c r="I59" s="323"/>
      <c r="J59" s="323"/>
    </row>
    <row r="60" spans="1:24" x14ac:dyDescent="0.25">
      <c r="A60" s="323"/>
      <c r="B60" s="323"/>
      <c r="C60" s="323"/>
      <c r="D60" s="323"/>
      <c r="E60" s="323"/>
      <c r="F60" s="323"/>
      <c r="G60" s="323"/>
      <c r="H60" s="323"/>
      <c r="I60" s="323"/>
      <c r="J60" s="323"/>
    </row>
    <row r="61" spans="1:24" x14ac:dyDescent="0.25">
      <c r="A61" s="323"/>
      <c r="B61" s="323"/>
      <c r="C61" s="323"/>
      <c r="D61" s="323"/>
      <c r="E61" s="323"/>
      <c r="F61" s="323"/>
      <c r="G61" s="323"/>
      <c r="H61" s="323"/>
      <c r="I61" s="323"/>
      <c r="J61" s="323"/>
    </row>
    <row r="62" spans="1:24" x14ac:dyDescent="0.25">
      <c r="A62" s="323"/>
      <c r="B62" s="323"/>
      <c r="C62" s="323"/>
      <c r="D62" s="323"/>
      <c r="E62" s="323"/>
      <c r="F62" s="323"/>
      <c r="G62" s="323"/>
      <c r="H62" s="323"/>
      <c r="I62" s="323"/>
      <c r="J62" s="323"/>
    </row>
    <row r="63" spans="1:24" x14ac:dyDescent="0.25">
      <c r="A63" s="323"/>
      <c r="B63" s="323"/>
      <c r="C63" s="323"/>
      <c r="D63" s="323"/>
      <c r="E63" s="323"/>
      <c r="F63" s="323"/>
      <c r="G63" s="323"/>
      <c r="H63" s="323"/>
      <c r="I63" s="323"/>
      <c r="J63" s="323"/>
    </row>
    <row r="64" spans="1:24" x14ac:dyDescent="0.25">
      <c r="A64" s="323"/>
      <c r="B64" s="323"/>
      <c r="C64" s="323"/>
      <c r="D64" s="323"/>
      <c r="E64" s="323"/>
      <c r="F64" s="323"/>
      <c r="G64" s="323"/>
      <c r="H64" s="323"/>
      <c r="I64" s="323"/>
      <c r="J64" s="323"/>
    </row>
    <row r="65" spans="1:10" x14ac:dyDescent="0.25">
      <c r="A65" s="323"/>
      <c r="B65" s="323"/>
      <c r="C65" s="323"/>
      <c r="D65" s="323"/>
      <c r="E65" s="323"/>
      <c r="F65" s="323"/>
      <c r="G65" s="323"/>
      <c r="H65" s="323"/>
      <c r="I65" s="323"/>
      <c r="J65" s="323"/>
    </row>
    <row r="66" spans="1:10" x14ac:dyDescent="0.25">
      <c r="A66" s="323"/>
      <c r="B66" s="323"/>
      <c r="C66" s="323"/>
      <c r="D66" s="323"/>
      <c r="E66" s="323"/>
      <c r="F66" s="323"/>
      <c r="G66" s="323"/>
      <c r="H66" s="323"/>
      <c r="I66" s="323"/>
      <c r="J66" s="323"/>
    </row>
    <row r="67" spans="1:10" x14ac:dyDescent="0.25">
      <c r="A67" s="323"/>
      <c r="B67" s="323"/>
      <c r="C67" s="323"/>
      <c r="D67" s="323"/>
      <c r="E67" s="323"/>
      <c r="F67" s="323"/>
      <c r="G67" s="323"/>
      <c r="H67" s="323"/>
      <c r="I67" s="323"/>
      <c r="J67" s="323"/>
    </row>
    <row r="68" spans="1:10" x14ac:dyDescent="0.25">
      <c r="A68" s="323"/>
      <c r="B68" s="323"/>
      <c r="C68" s="323"/>
      <c r="D68" s="323"/>
      <c r="E68" s="323"/>
      <c r="F68" s="323"/>
      <c r="G68" s="323"/>
      <c r="H68" s="323"/>
      <c r="I68" s="323"/>
      <c r="J68" s="323"/>
    </row>
    <row r="69" spans="1:10" x14ac:dyDescent="0.25">
      <c r="A69" s="323"/>
      <c r="B69" s="323"/>
      <c r="C69" s="323"/>
      <c r="D69" s="323"/>
      <c r="E69" s="323"/>
      <c r="F69" s="323"/>
      <c r="G69" s="323"/>
      <c r="H69" s="323"/>
      <c r="I69" s="323"/>
      <c r="J69" s="323"/>
    </row>
    <row r="70" spans="1:10" x14ac:dyDescent="0.25">
      <c r="A70" s="323"/>
      <c r="B70" s="323"/>
      <c r="C70" s="323"/>
      <c r="D70" s="323"/>
      <c r="E70" s="323"/>
      <c r="F70" s="323"/>
      <c r="G70" s="323"/>
      <c r="H70" s="323"/>
      <c r="I70" s="323"/>
      <c r="J70" s="323"/>
    </row>
    <row r="71" spans="1:10" x14ac:dyDescent="0.25">
      <c r="A71" s="323"/>
      <c r="B71" s="323"/>
      <c r="C71" s="323"/>
      <c r="D71" s="323"/>
      <c r="E71" s="323"/>
      <c r="F71" s="323"/>
      <c r="G71" s="323"/>
      <c r="H71" s="323"/>
      <c r="I71" s="323"/>
      <c r="J71" s="323"/>
    </row>
    <row r="72" spans="1:10" x14ac:dyDescent="0.25">
      <c r="A72" s="323"/>
      <c r="B72" s="323"/>
      <c r="C72" s="323"/>
      <c r="D72" s="323"/>
      <c r="E72" s="323"/>
      <c r="F72" s="323"/>
      <c r="G72" s="323"/>
      <c r="H72" s="323"/>
      <c r="I72" s="323"/>
      <c r="J72" s="323"/>
    </row>
    <row r="73" spans="1:10" x14ac:dyDescent="0.25">
      <c r="A73" s="323"/>
      <c r="B73" s="323"/>
      <c r="C73" s="323"/>
      <c r="D73" s="323"/>
      <c r="E73" s="323"/>
      <c r="F73" s="323"/>
      <c r="G73" s="323"/>
      <c r="H73" s="323"/>
      <c r="I73" s="323"/>
      <c r="J73" s="323"/>
    </row>
    <row r="74" spans="1:10" x14ac:dyDescent="0.25">
      <c r="A74" s="323"/>
      <c r="B74" s="323"/>
      <c r="C74" s="323"/>
      <c r="D74" s="323"/>
      <c r="E74" s="323"/>
      <c r="F74" s="323"/>
      <c r="G74" s="323"/>
      <c r="H74" s="323"/>
      <c r="I74" s="323"/>
      <c r="J74" s="323"/>
    </row>
    <row r="75" spans="1:10" ht="15" customHeight="1" x14ac:dyDescent="0.25">
      <c r="A75" s="323"/>
      <c r="B75" s="323"/>
      <c r="C75" s="323"/>
      <c r="D75" s="323"/>
      <c r="E75" s="323"/>
      <c r="F75" s="323"/>
      <c r="G75" s="323"/>
      <c r="H75" s="323"/>
      <c r="I75" s="323"/>
      <c r="J75" s="323"/>
    </row>
    <row r="76" spans="1:10" ht="15" customHeight="1" x14ac:dyDescent="0.25">
      <c r="A76" s="323"/>
      <c r="B76" s="323"/>
      <c r="C76" s="323"/>
      <c r="D76" s="323"/>
      <c r="E76" s="323"/>
      <c r="F76" s="323"/>
      <c r="G76" s="323"/>
      <c r="H76" s="323"/>
      <c r="I76" s="323"/>
      <c r="J76" s="323"/>
    </row>
    <row r="77" spans="1:10" ht="15" customHeight="1" x14ac:dyDescent="0.25">
      <c r="A77" s="323"/>
      <c r="B77" s="323"/>
      <c r="C77" s="323"/>
      <c r="D77" s="323"/>
      <c r="E77" s="323"/>
      <c r="F77" s="323"/>
      <c r="G77" s="323"/>
      <c r="H77" s="323"/>
      <c r="I77" s="323"/>
      <c r="J77" s="323"/>
    </row>
    <row r="78" spans="1:10" ht="15" customHeight="1" x14ac:dyDescent="0.25">
      <c r="A78" s="323"/>
      <c r="B78" s="323"/>
      <c r="C78" s="323"/>
      <c r="D78" s="323"/>
      <c r="E78" s="323"/>
      <c r="F78" s="323"/>
      <c r="G78" s="323"/>
      <c r="H78" s="323"/>
      <c r="I78" s="323"/>
      <c r="J78" s="323"/>
    </row>
    <row r="79" spans="1:10" ht="15" customHeight="1" x14ac:dyDescent="0.25">
      <c r="A79" s="323"/>
      <c r="B79" s="323"/>
      <c r="C79" s="323"/>
      <c r="D79" s="323"/>
      <c r="E79" s="323"/>
      <c r="F79" s="323"/>
      <c r="G79" s="323"/>
      <c r="H79" s="323"/>
      <c r="I79" s="323"/>
      <c r="J79" s="323"/>
    </row>
    <row r="80" spans="1:10" ht="15" customHeight="1" x14ac:dyDescent="0.25">
      <c r="A80" s="323"/>
      <c r="B80" s="323"/>
      <c r="C80" s="323"/>
      <c r="D80" s="323"/>
      <c r="E80" s="323"/>
      <c r="F80" s="323"/>
      <c r="G80" s="323"/>
      <c r="H80" s="323"/>
      <c r="I80" s="323"/>
      <c r="J80" s="323"/>
    </row>
    <row r="81" spans="1:10" ht="15" customHeight="1" x14ac:dyDescent="0.25">
      <c r="A81" s="323"/>
      <c r="B81" s="323"/>
      <c r="C81" s="323"/>
      <c r="D81" s="323"/>
      <c r="E81" s="323"/>
      <c r="F81" s="323"/>
      <c r="G81" s="323"/>
      <c r="H81" s="323"/>
      <c r="I81" s="323"/>
      <c r="J81" s="323"/>
    </row>
    <row r="82" spans="1:10" ht="15" customHeight="1" x14ac:dyDescent="0.25">
      <c r="A82" s="323"/>
      <c r="B82" s="323"/>
      <c r="C82" s="323"/>
      <c r="D82" s="323"/>
      <c r="E82" s="323"/>
      <c r="F82" s="323"/>
      <c r="G82" s="323"/>
      <c r="H82" s="323"/>
      <c r="I82" s="323"/>
      <c r="J82" s="323"/>
    </row>
    <row r="83" spans="1:10" ht="15" customHeight="1" x14ac:dyDescent="0.25">
      <c r="A83" s="323"/>
      <c r="B83" s="323"/>
      <c r="C83" s="323"/>
      <c r="D83" s="323"/>
      <c r="E83" s="323"/>
      <c r="F83" s="323"/>
      <c r="G83" s="323"/>
      <c r="H83" s="323"/>
      <c r="I83" s="323"/>
      <c r="J83" s="323"/>
    </row>
    <row r="84" spans="1:10" ht="15" customHeight="1" x14ac:dyDescent="0.25">
      <c r="A84" s="323"/>
      <c r="B84" s="323"/>
      <c r="C84" s="323"/>
      <c r="D84" s="323"/>
      <c r="E84" s="323"/>
      <c r="F84" s="323"/>
      <c r="G84" s="323"/>
      <c r="H84" s="323"/>
      <c r="I84" s="323"/>
      <c r="J84" s="323"/>
    </row>
    <row r="85" spans="1:10" ht="15" customHeight="1" x14ac:dyDescent="0.25">
      <c r="A85" s="323"/>
      <c r="B85" s="323"/>
      <c r="C85" s="323"/>
      <c r="D85" s="323"/>
      <c r="E85" s="323"/>
      <c r="F85" s="323"/>
      <c r="G85" s="323"/>
      <c r="H85" s="323"/>
      <c r="I85" s="323"/>
      <c r="J85" s="323"/>
    </row>
    <row r="86" spans="1:10" ht="15" customHeight="1" x14ac:dyDescent="0.25">
      <c r="A86" s="323"/>
      <c r="B86" s="323"/>
      <c r="C86" s="323"/>
      <c r="D86" s="323"/>
      <c r="E86" s="323"/>
      <c r="F86" s="323"/>
      <c r="G86" s="323"/>
      <c r="H86" s="323"/>
      <c r="I86" s="323"/>
      <c r="J86" s="323"/>
    </row>
    <row r="87" spans="1:10" ht="15" customHeight="1" x14ac:dyDescent="0.25">
      <c r="A87" s="323"/>
      <c r="B87" s="323"/>
      <c r="C87" s="323"/>
      <c r="D87" s="323"/>
      <c r="E87" s="323"/>
      <c r="F87" s="323"/>
      <c r="G87" s="323"/>
      <c r="H87" s="323"/>
      <c r="I87" s="323"/>
      <c r="J87" s="323"/>
    </row>
    <row r="88" spans="1:10" ht="15" customHeight="1" x14ac:dyDescent="0.25">
      <c r="A88" s="323"/>
      <c r="B88" s="323"/>
      <c r="C88" s="323"/>
      <c r="D88" s="323"/>
      <c r="E88" s="323"/>
      <c r="F88" s="323"/>
      <c r="G88" s="323"/>
      <c r="H88" s="323"/>
      <c r="I88" s="323"/>
      <c r="J88" s="323"/>
    </row>
    <row r="89" spans="1:10" ht="15" customHeight="1" x14ac:dyDescent="0.25">
      <c r="A89" s="323"/>
      <c r="B89" s="323"/>
      <c r="C89" s="323"/>
      <c r="D89" s="323"/>
      <c r="E89" s="323"/>
      <c r="F89" s="323"/>
      <c r="G89" s="323"/>
      <c r="H89" s="323"/>
      <c r="I89" s="323"/>
      <c r="J89" s="323"/>
    </row>
    <row r="90" spans="1:10" ht="15" customHeight="1" x14ac:dyDescent="0.25">
      <c r="A90" s="323"/>
      <c r="B90" s="323"/>
      <c r="C90" s="323"/>
      <c r="D90" s="323"/>
      <c r="E90" s="323"/>
      <c r="F90" s="323"/>
      <c r="G90" s="323"/>
      <c r="H90" s="323"/>
      <c r="I90" s="323"/>
      <c r="J90" s="323"/>
    </row>
    <row r="91" spans="1:10" ht="15" customHeight="1" x14ac:dyDescent="0.25">
      <c r="A91" s="323"/>
      <c r="B91" s="323"/>
      <c r="C91" s="323"/>
      <c r="D91" s="323"/>
      <c r="E91" s="323"/>
      <c r="F91" s="323"/>
      <c r="G91" s="323"/>
      <c r="H91" s="323"/>
      <c r="I91" s="323"/>
      <c r="J91" s="323"/>
    </row>
    <row r="92" spans="1:10" x14ac:dyDescent="0.25">
      <c r="A92" s="325" t="s">
        <v>286</v>
      </c>
    </row>
    <row r="93" spans="1:10" x14ac:dyDescent="0.25">
      <c r="A93" s="325"/>
    </row>
    <row r="128" spans="1:1" x14ac:dyDescent="0.25">
      <c r="A128" s="325" t="s">
        <v>381</v>
      </c>
    </row>
    <row r="129" spans="1:1" x14ac:dyDescent="0.25">
      <c r="A129" s="325" t="s">
        <v>382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2:AB57"/>
  <sheetViews>
    <sheetView zoomScale="85" zoomScaleNormal="85" workbookViewId="0">
      <pane xSplit="1" topLeftCell="B1" activePane="topRight" state="frozen"/>
      <selection pane="topRight" activeCell="I52" sqref="I52"/>
    </sheetView>
  </sheetViews>
  <sheetFormatPr defaultRowHeight="12.75" x14ac:dyDescent="0.2"/>
  <cols>
    <col min="1" max="12" width="9.140625" style="294"/>
    <col min="13" max="13" width="10.5703125" style="294" bestFit="1" customWidth="1"/>
    <col min="14" max="15" width="11.7109375" style="294" bestFit="1" customWidth="1"/>
    <col min="16" max="16" width="9.85546875" style="294" bestFit="1" customWidth="1"/>
    <col min="17" max="17" width="11.5703125" style="294" bestFit="1" customWidth="1"/>
    <col min="18" max="16384" width="9.140625" style="294"/>
  </cols>
  <sheetData>
    <row r="2" spans="1:20" x14ac:dyDescent="0.2">
      <c r="A2" s="299"/>
      <c r="B2" s="299"/>
      <c r="C2" s="299"/>
      <c r="D2" s="299"/>
      <c r="E2" s="299"/>
      <c r="F2" s="299"/>
      <c r="G2" s="299"/>
      <c r="H2" s="299"/>
      <c r="I2" s="299" t="s">
        <v>224</v>
      </c>
      <c r="J2" s="299" t="s">
        <v>223</v>
      </c>
      <c r="K2" s="299" t="s">
        <v>96</v>
      </c>
      <c r="M2" s="294" t="s">
        <v>184</v>
      </c>
      <c r="N2" s="295" t="s">
        <v>163</v>
      </c>
      <c r="O2" s="295" t="s">
        <v>163</v>
      </c>
      <c r="P2" s="295" t="s">
        <v>162</v>
      </c>
      <c r="Q2" s="295" t="s">
        <v>162</v>
      </c>
      <c r="R2" s="295" t="s">
        <v>161</v>
      </c>
      <c r="T2" s="295"/>
    </row>
    <row r="3" spans="1:20" x14ac:dyDescent="0.2">
      <c r="A3" s="295"/>
      <c r="B3" s="295" t="s">
        <v>222</v>
      </c>
      <c r="C3" s="295" t="s">
        <v>202</v>
      </c>
      <c r="D3" s="295" t="s">
        <v>201</v>
      </c>
      <c r="E3" s="295" t="s">
        <v>205</v>
      </c>
      <c r="F3" s="295" t="s">
        <v>221</v>
      </c>
      <c r="G3" s="295" t="s">
        <v>220</v>
      </c>
      <c r="H3" s="295" t="s">
        <v>184</v>
      </c>
      <c r="I3" s="295" t="s">
        <v>135</v>
      </c>
      <c r="J3" s="295" t="s">
        <v>219</v>
      </c>
      <c r="K3" s="295" t="s">
        <v>218</v>
      </c>
      <c r="M3" s="294" t="s">
        <v>134</v>
      </c>
      <c r="R3" s="295" t="s">
        <v>117</v>
      </c>
    </row>
    <row r="4" spans="1:20" ht="14.25" x14ac:dyDescent="0.2">
      <c r="A4" s="300" t="s">
        <v>3</v>
      </c>
      <c r="B4" s="300" t="s">
        <v>125</v>
      </c>
      <c r="C4" s="300" t="s">
        <v>125</v>
      </c>
      <c r="D4" s="300" t="s">
        <v>125</v>
      </c>
      <c r="E4" s="300" t="s">
        <v>271</v>
      </c>
      <c r="F4" s="300" t="s">
        <v>124</v>
      </c>
      <c r="G4" s="300" t="s">
        <v>216</v>
      </c>
      <c r="H4" s="300" t="s">
        <v>272</v>
      </c>
      <c r="I4" s="300" t="s">
        <v>214</v>
      </c>
      <c r="J4" s="300" t="s">
        <v>134</v>
      </c>
      <c r="K4" s="300" t="s">
        <v>273</v>
      </c>
      <c r="L4" s="301" t="s">
        <v>264</v>
      </c>
      <c r="M4" s="294" t="s">
        <v>123</v>
      </c>
      <c r="N4" s="295" t="s">
        <v>117</v>
      </c>
      <c r="O4" s="295" t="s">
        <v>166</v>
      </c>
      <c r="P4" s="295" t="s">
        <v>117</v>
      </c>
      <c r="Q4" s="295" t="s">
        <v>166</v>
      </c>
      <c r="S4" s="294" t="s">
        <v>264</v>
      </c>
    </row>
    <row r="5" spans="1:20" x14ac:dyDescent="0.2">
      <c r="A5" s="295">
        <v>1972</v>
      </c>
      <c r="N5" s="280">
        <v>3000</v>
      </c>
      <c r="O5" s="280" t="s">
        <v>84</v>
      </c>
      <c r="P5" s="280">
        <v>5100</v>
      </c>
      <c r="Q5" s="280" t="s">
        <v>84</v>
      </c>
      <c r="R5" s="280" t="s">
        <v>84</v>
      </c>
    </row>
    <row r="6" spans="1:20" x14ac:dyDescent="0.2">
      <c r="A6" s="295">
        <v>1973</v>
      </c>
      <c r="N6" s="280">
        <v>1978</v>
      </c>
      <c r="O6" s="280" t="s">
        <v>84</v>
      </c>
      <c r="P6" s="280">
        <v>1719</v>
      </c>
      <c r="Q6" s="280" t="s">
        <v>84</v>
      </c>
      <c r="R6" s="280">
        <v>30000</v>
      </c>
    </row>
    <row r="7" spans="1:20" x14ac:dyDescent="0.2">
      <c r="A7" s="295">
        <v>1974</v>
      </c>
      <c r="N7" s="280">
        <v>2500</v>
      </c>
      <c r="O7" s="280" t="s">
        <v>84</v>
      </c>
      <c r="P7" s="280">
        <v>4260</v>
      </c>
      <c r="Q7" s="280" t="s">
        <v>84</v>
      </c>
      <c r="R7" s="280">
        <v>15000</v>
      </c>
    </row>
    <row r="8" spans="1:20" x14ac:dyDescent="0.2">
      <c r="A8" s="295">
        <v>1975</v>
      </c>
      <c r="N8" s="280">
        <v>800</v>
      </c>
      <c r="O8" s="280" t="s">
        <v>84</v>
      </c>
      <c r="P8" s="280">
        <v>4500</v>
      </c>
      <c r="Q8" s="280" t="s">
        <v>84</v>
      </c>
      <c r="R8" s="280">
        <v>8150</v>
      </c>
    </row>
    <row r="9" spans="1:20" x14ac:dyDescent="0.2">
      <c r="A9" s="295">
        <v>1976</v>
      </c>
      <c r="N9" s="280">
        <v>1200</v>
      </c>
      <c r="O9" s="280" t="s">
        <v>84</v>
      </c>
      <c r="P9" s="280">
        <v>3280</v>
      </c>
      <c r="Q9" s="280" t="s">
        <v>84</v>
      </c>
      <c r="R9" s="280">
        <v>30000</v>
      </c>
    </row>
    <row r="10" spans="1:20" x14ac:dyDescent="0.2">
      <c r="A10" s="295">
        <v>1977</v>
      </c>
      <c r="N10" s="280">
        <v>3000</v>
      </c>
      <c r="O10" s="280" t="s">
        <v>84</v>
      </c>
      <c r="P10" s="280">
        <v>3750</v>
      </c>
      <c r="Q10" s="280" t="s">
        <v>84</v>
      </c>
      <c r="R10" s="280">
        <v>25000</v>
      </c>
    </row>
    <row r="11" spans="1:20" x14ac:dyDescent="0.2">
      <c r="A11" s="295">
        <v>1978</v>
      </c>
      <c r="N11" s="280">
        <v>2200</v>
      </c>
      <c r="O11" s="280" t="s">
        <v>84</v>
      </c>
      <c r="P11" s="280">
        <v>3850</v>
      </c>
      <c r="Q11" s="280" t="s">
        <v>84</v>
      </c>
      <c r="R11" s="280">
        <v>40000</v>
      </c>
    </row>
    <row r="12" spans="1:20" x14ac:dyDescent="0.2">
      <c r="A12" s="295">
        <v>1979</v>
      </c>
      <c r="N12" s="280">
        <v>3250</v>
      </c>
      <c r="O12" s="280" t="s">
        <v>84</v>
      </c>
      <c r="P12" s="280">
        <v>7000</v>
      </c>
      <c r="Q12" s="280" t="s">
        <v>84</v>
      </c>
      <c r="R12" s="280">
        <v>25000</v>
      </c>
    </row>
    <row r="13" spans="1:20" x14ac:dyDescent="0.2">
      <c r="A13" s="295">
        <v>1980</v>
      </c>
      <c r="B13" s="302">
        <v>698</v>
      </c>
      <c r="C13" s="302" t="s">
        <v>84</v>
      </c>
      <c r="D13" s="302" t="s">
        <v>84</v>
      </c>
      <c r="E13" s="302" t="s">
        <v>84</v>
      </c>
      <c r="F13" s="302" t="s">
        <v>84</v>
      </c>
      <c r="G13" s="302" t="s">
        <v>84</v>
      </c>
      <c r="H13" s="302" t="s">
        <v>84</v>
      </c>
      <c r="I13" s="302" t="s">
        <v>84</v>
      </c>
      <c r="J13" s="302" t="s">
        <v>84</v>
      </c>
      <c r="K13" s="302" t="s">
        <v>84</v>
      </c>
      <c r="N13" s="280">
        <v>3200</v>
      </c>
      <c r="O13" s="280" t="s">
        <v>84</v>
      </c>
      <c r="P13" s="280">
        <v>8100</v>
      </c>
      <c r="Q13" s="280" t="s">
        <v>84</v>
      </c>
      <c r="R13" s="280">
        <v>18000</v>
      </c>
    </row>
    <row r="14" spans="1:20" x14ac:dyDescent="0.2">
      <c r="A14" s="295">
        <v>1981</v>
      </c>
      <c r="B14" s="302">
        <v>646</v>
      </c>
      <c r="C14" s="302">
        <v>227</v>
      </c>
      <c r="D14" s="302">
        <v>219</v>
      </c>
      <c r="E14" s="302" t="s">
        <v>84</v>
      </c>
      <c r="F14" s="302" t="s">
        <v>84</v>
      </c>
      <c r="G14" s="302" t="s">
        <v>84</v>
      </c>
      <c r="H14" s="302" t="s">
        <v>84</v>
      </c>
      <c r="I14" s="302" t="s">
        <v>84</v>
      </c>
      <c r="J14" s="302" t="s">
        <v>84</v>
      </c>
      <c r="K14" s="302" t="s">
        <v>84</v>
      </c>
      <c r="N14" s="280">
        <v>5793</v>
      </c>
      <c r="O14" s="280" t="s">
        <v>84</v>
      </c>
      <c r="P14" s="280">
        <v>8430</v>
      </c>
      <c r="Q14" s="280" t="s">
        <v>84</v>
      </c>
      <c r="R14" s="280">
        <v>20000</v>
      </c>
    </row>
    <row r="15" spans="1:20" x14ac:dyDescent="0.2">
      <c r="A15" s="295">
        <v>1982</v>
      </c>
      <c r="B15" s="302">
        <v>447</v>
      </c>
      <c r="C15" s="302">
        <v>545</v>
      </c>
      <c r="D15" s="302">
        <v>320</v>
      </c>
      <c r="E15" s="302">
        <v>7505</v>
      </c>
      <c r="F15" s="302" t="s">
        <v>84</v>
      </c>
      <c r="G15" s="302" t="s">
        <v>84</v>
      </c>
      <c r="H15" s="302">
        <v>2655</v>
      </c>
      <c r="I15" s="302">
        <v>1545.3219007545463</v>
      </c>
      <c r="J15" s="302">
        <v>2144</v>
      </c>
      <c r="K15" s="302" t="s">
        <v>84</v>
      </c>
      <c r="M15" s="296">
        <v>2655</v>
      </c>
      <c r="N15" s="280">
        <v>7100</v>
      </c>
      <c r="O15" s="280" t="s">
        <v>84</v>
      </c>
      <c r="P15" s="280">
        <v>9180</v>
      </c>
      <c r="Q15" s="280" t="s">
        <v>84</v>
      </c>
      <c r="R15" s="280">
        <v>40000</v>
      </c>
    </row>
    <row r="16" spans="1:20" x14ac:dyDescent="0.2">
      <c r="A16" s="295">
        <v>1983</v>
      </c>
      <c r="B16" s="302">
        <v>694</v>
      </c>
      <c r="C16" s="302">
        <v>636</v>
      </c>
      <c r="D16" s="302">
        <v>219</v>
      </c>
      <c r="E16" s="302">
        <v>9840</v>
      </c>
      <c r="F16" s="302" t="s">
        <v>84</v>
      </c>
      <c r="G16" s="302" t="s">
        <v>84</v>
      </c>
      <c r="H16" s="302">
        <v>1931</v>
      </c>
      <c r="I16" s="302">
        <v>456.62998799081362</v>
      </c>
      <c r="J16" s="302">
        <v>1487</v>
      </c>
      <c r="K16" s="302" t="s">
        <v>84</v>
      </c>
      <c r="M16" s="296">
        <v>1931</v>
      </c>
      <c r="N16" s="280">
        <v>5950</v>
      </c>
      <c r="O16" s="280" t="s">
        <v>84</v>
      </c>
      <c r="P16" s="280">
        <v>5300</v>
      </c>
      <c r="Q16" s="280" t="s">
        <v>84</v>
      </c>
      <c r="R16" s="280">
        <v>16500</v>
      </c>
    </row>
    <row r="17" spans="1:19" x14ac:dyDescent="0.2">
      <c r="A17" s="295">
        <v>1984</v>
      </c>
      <c r="B17" s="302">
        <v>651</v>
      </c>
      <c r="C17" s="302">
        <v>581</v>
      </c>
      <c r="D17" s="302">
        <v>189</v>
      </c>
      <c r="E17" s="302">
        <v>2825</v>
      </c>
      <c r="F17" s="302" t="s">
        <v>84</v>
      </c>
      <c r="G17" s="302" t="s">
        <v>84</v>
      </c>
      <c r="H17" s="302" t="s">
        <v>84</v>
      </c>
      <c r="I17" s="302">
        <v>2062.8587955777002</v>
      </c>
      <c r="J17" s="302">
        <v>1407</v>
      </c>
      <c r="K17" s="302" t="s">
        <v>84</v>
      </c>
      <c r="M17" s="296" t="s">
        <v>84</v>
      </c>
      <c r="N17" s="280">
        <v>4200</v>
      </c>
      <c r="O17" s="280" t="s">
        <v>84</v>
      </c>
      <c r="P17" s="280">
        <v>14000</v>
      </c>
      <c r="Q17" s="280" t="s">
        <v>84</v>
      </c>
      <c r="R17" s="280">
        <v>30000</v>
      </c>
    </row>
    <row r="18" spans="1:19" x14ac:dyDescent="0.2">
      <c r="A18" s="295">
        <v>1985</v>
      </c>
      <c r="B18" s="302">
        <v>942</v>
      </c>
      <c r="C18" s="302">
        <v>810</v>
      </c>
      <c r="D18" s="302">
        <v>276</v>
      </c>
      <c r="E18" s="302">
        <v>6169</v>
      </c>
      <c r="F18" s="302" t="s">
        <v>84</v>
      </c>
      <c r="G18" s="302" t="s">
        <v>84</v>
      </c>
      <c r="H18" s="302">
        <v>2324</v>
      </c>
      <c r="I18" s="302">
        <v>1245.8850151473785</v>
      </c>
      <c r="J18" s="302">
        <v>903</v>
      </c>
      <c r="K18" s="302" t="s">
        <v>84</v>
      </c>
      <c r="M18" s="296">
        <v>2324</v>
      </c>
      <c r="N18" s="280">
        <v>3300</v>
      </c>
      <c r="O18" s="280" t="s">
        <v>84</v>
      </c>
      <c r="P18" s="280">
        <v>6490</v>
      </c>
      <c r="Q18" s="280" t="s">
        <v>84</v>
      </c>
      <c r="R18" s="280">
        <v>52350</v>
      </c>
    </row>
    <row r="19" spans="1:19" x14ac:dyDescent="0.2">
      <c r="A19" s="295">
        <v>1986</v>
      </c>
      <c r="B19" s="302">
        <v>454</v>
      </c>
      <c r="C19" s="302">
        <v>60</v>
      </c>
      <c r="D19" s="302">
        <v>363</v>
      </c>
      <c r="E19" s="302">
        <v>1752</v>
      </c>
      <c r="F19" s="302" t="s">
        <v>84</v>
      </c>
      <c r="G19" s="302" t="s">
        <v>84</v>
      </c>
      <c r="H19" s="302">
        <v>1552</v>
      </c>
      <c r="I19" s="302">
        <v>701.94667538311569</v>
      </c>
      <c r="J19" s="302">
        <v>1782</v>
      </c>
      <c r="K19" s="302" t="s">
        <v>84</v>
      </c>
      <c r="M19" s="296">
        <v>1552</v>
      </c>
      <c r="N19" s="280">
        <v>3300</v>
      </c>
      <c r="O19" s="280" t="s">
        <v>84</v>
      </c>
      <c r="P19" s="280">
        <v>3162</v>
      </c>
      <c r="Q19" s="280" t="s">
        <v>84</v>
      </c>
      <c r="R19" s="280">
        <v>14100</v>
      </c>
    </row>
    <row r="20" spans="1:19" x14ac:dyDescent="0.2">
      <c r="A20" s="295">
        <v>1987</v>
      </c>
      <c r="B20" s="302">
        <v>668</v>
      </c>
      <c r="C20" s="302">
        <v>314</v>
      </c>
      <c r="D20" s="302">
        <v>204</v>
      </c>
      <c r="E20" s="302">
        <v>3260</v>
      </c>
      <c r="F20" s="302">
        <v>37432.148331849698</v>
      </c>
      <c r="G20" s="302">
        <v>55457</v>
      </c>
      <c r="H20" s="302">
        <v>1694</v>
      </c>
      <c r="I20" s="302">
        <v>293.01983987605763</v>
      </c>
      <c r="J20" s="302">
        <v>1117</v>
      </c>
      <c r="K20" s="302">
        <v>4791.7310554409642</v>
      </c>
      <c r="M20" s="296">
        <v>1694</v>
      </c>
      <c r="N20" s="280">
        <v>5000</v>
      </c>
      <c r="O20" s="280" t="s">
        <v>84</v>
      </c>
      <c r="P20" s="280">
        <v>2000</v>
      </c>
      <c r="Q20" s="280" t="s">
        <v>84</v>
      </c>
      <c r="R20" s="280">
        <v>8500</v>
      </c>
    </row>
    <row r="21" spans="1:19" x14ac:dyDescent="0.2">
      <c r="A21" s="295">
        <v>1988</v>
      </c>
      <c r="B21" s="302">
        <v>756</v>
      </c>
      <c r="C21" s="302">
        <v>164</v>
      </c>
      <c r="D21" s="302">
        <v>542</v>
      </c>
      <c r="E21" s="302">
        <v>2724</v>
      </c>
      <c r="F21" s="302">
        <v>29495.053088079232</v>
      </c>
      <c r="G21" s="302">
        <v>39450</v>
      </c>
      <c r="H21" s="302">
        <v>3119</v>
      </c>
      <c r="I21" s="302">
        <v>402.6513632086486</v>
      </c>
      <c r="J21" s="302">
        <v>513</v>
      </c>
      <c r="K21" s="302">
        <v>5007</v>
      </c>
      <c r="M21" s="296">
        <v>3119</v>
      </c>
      <c r="N21" s="280">
        <v>1600</v>
      </c>
      <c r="O21" s="280" t="s">
        <v>84</v>
      </c>
      <c r="P21" s="280">
        <v>11000</v>
      </c>
      <c r="Q21" s="280" t="s">
        <v>84</v>
      </c>
      <c r="R21" s="280">
        <v>16000</v>
      </c>
    </row>
    <row r="22" spans="1:19" x14ac:dyDescent="0.2">
      <c r="A22" s="295">
        <v>1989</v>
      </c>
      <c r="B22" s="302">
        <v>502</v>
      </c>
      <c r="C22" s="302">
        <v>566</v>
      </c>
      <c r="D22" s="302">
        <v>242</v>
      </c>
      <c r="E22" s="302">
        <v>7509</v>
      </c>
      <c r="F22" s="302">
        <v>48833.314804892871</v>
      </c>
      <c r="G22" s="302">
        <v>56808</v>
      </c>
      <c r="H22" s="302">
        <v>2176</v>
      </c>
      <c r="I22" s="302">
        <v>576.25829154790063</v>
      </c>
      <c r="J22" s="302">
        <v>433</v>
      </c>
      <c r="K22" s="302">
        <v>6761</v>
      </c>
      <c r="M22" s="296">
        <v>2176</v>
      </c>
      <c r="N22" s="280">
        <v>1490</v>
      </c>
      <c r="O22" s="280" t="s">
        <v>84</v>
      </c>
      <c r="P22" s="280">
        <v>3900</v>
      </c>
      <c r="Q22" s="280" t="s">
        <v>84</v>
      </c>
      <c r="R22" s="280">
        <v>38000</v>
      </c>
    </row>
    <row r="23" spans="1:19" x14ac:dyDescent="0.2">
      <c r="A23" s="295">
        <v>1990</v>
      </c>
      <c r="B23" s="302">
        <v>697</v>
      </c>
      <c r="C23" s="302">
        <v>1711</v>
      </c>
      <c r="D23" s="302">
        <v>324</v>
      </c>
      <c r="E23" s="302">
        <v>11050</v>
      </c>
      <c r="F23" s="302">
        <v>79807</v>
      </c>
      <c r="G23" s="302">
        <v>72196</v>
      </c>
      <c r="H23" s="302">
        <v>2192</v>
      </c>
      <c r="I23" s="302">
        <v>566</v>
      </c>
      <c r="J23" s="302">
        <v>870</v>
      </c>
      <c r="K23" s="302">
        <v>3443.5916335040192</v>
      </c>
      <c r="M23" s="296">
        <v>2192</v>
      </c>
      <c r="N23" s="280">
        <v>9460</v>
      </c>
      <c r="O23" s="280" t="s">
        <v>84</v>
      </c>
      <c r="P23" s="280">
        <v>1630</v>
      </c>
      <c r="Q23" s="280" t="s">
        <v>84</v>
      </c>
      <c r="R23" s="280">
        <v>16800</v>
      </c>
    </row>
    <row r="24" spans="1:19" x14ac:dyDescent="0.2">
      <c r="A24" s="295">
        <v>1991</v>
      </c>
      <c r="B24" s="302">
        <v>808</v>
      </c>
      <c r="C24" s="302">
        <v>1415</v>
      </c>
      <c r="D24" s="302">
        <v>410</v>
      </c>
      <c r="E24" s="302">
        <v>11530</v>
      </c>
      <c r="F24" s="302">
        <v>84516.611642352465</v>
      </c>
      <c r="G24" s="302">
        <v>127484</v>
      </c>
      <c r="H24" s="302">
        <v>2761</v>
      </c>
      <c r="I24" s="302">
        <v>1510</v>
      </c>
      <c r="J24" s="302">
        <v>1836</v>
      </c>
      <c r="K24" s="302">
        <v>5721</v>
      </c>
      <c r="M24" s="296">
        <v>2761</v>
      </c>
      <c r="N24" s="280">
        <v>975</v>
      </c>
      <c r="O24" s="280" t="s">
        <v>84</v>
      </c>
      <c r="P24" s="280" t="s">
        <v>84</v>
      </c>
      <c r="Q24" s="280" t="s">
        <v>84</v>
      </c>
      <c r="R24" s="280">
        <v>16600</v>
      </c>
    </row>
    <row r="25" spans="1:19" x14ac:dyDescent="0.2">
      <c r="A25" s="295">
        <v>1992</v>
      </c>
      <c r="B25" s="302">
        <v>1020</v>
      </c>
      <c r="C25" s="302">
        <v>2512</v>
      </c>
      <c r="D25" s="302">
        <v>403</v>
      </c>
      <c r="E25" s="302">
        <v>15300</v>
      </c>
      <c r="F25" s="302">
        <v>77588.469183807058</v>
      </c>
      <c r="G25" s="302">
        <v>83729</v>
      </c>
      <c r="H25" s="302">
        <v>3866</v>
      </c>
      <c r="I25" s="302">
        <v>1899</v>
      </c>
      <c r="J25" s="302">
        <v>1426</v>
      </c>
      <c r="K25" s="302">
        <v>7017</v>
      </c>
      <c r="M25" s="296">
        <v>3866</v>
      </c>
      <c r="N25" s="280">
        <v>4235</v>
      </c>
      <c r="O25" s="280" t="s">
        <v>84</v>
      </c>
      <c r="P25" s="280">
        <v>13820</v>
      </c>
      <c r="Q25" s="280" t="s">
        <v>84</v>
      </c>
      <c r="R25" s="280">
        <v>30800</v>
      </c>
    </row>
    <row r="26" spans="1:19" x14ac:dyDescent="0.2">
      <c r="A26" s="295">
        <v>1993</v>
      </c>
      <c r="B26" s="302">
        <v>859</v>
      </c>
      <c r="C26" s="302">
        <v>1352</v>
      </c>
      <c r="D26" s="302">
        <v>112</v>
      </c>
      <c r="E26" s="302">
        <v>15670</v>
      </c>
      <c r="F26" s="302">
        <v>58216.575707485921</v>
      </c>
      <c r="G26" s="302">
        <v>119330</v>
      </c>
      <c r="H26" s="302">
        <v>4202</v>
      </c>
      <c r="I26" s="302">
        <v>1716.3150783224742</v>
      </c>
      <c r="J26" s="302">
        <v>832</v>
      </c>
      <c r="K26" s="302">
        <v>7270</v>
      </c>
      <c r="M26" s="296">
        <v>4202</v>
      </c>
      <c r="N26" s="280">
        <v>5436</v>
      </c>
      <c r="O26" s="280" t="s">
        <v>84</v>
      </c>
      <c r="P26" s="280">
        <v>10703</v>
      </c>
      <c r="Q26" s="280" t="s">
        <v>84</v>
      </c>
      <c r="R26" s="280">
        <v>18500</v>
      </c>
    </row>
    <row r="27" spans="1:19" x14ac:dyDescent="0.2">
      <c r="A27" s="295">
        <v>1994</v>
      </c>
      <c r="B27" s="302">
        <v>1437</v>
      </c>
      <c r="C27" s="302">
        <v>1829</v>
      </c>
      <c r="D27" s="302">
        <v>318</v>
      </c>
      <c r="E27" s="302">
        <v>15920</v>
      </c>
      <c r="F27" s="302">
        <v>194425.20171286893</v>
      </c>
      <c r="G27" s="302">
        <v>96343</v>
      </c>
      <c r="H27" s="302">
        <v>3227</v>
      </c>
      <c r="I27" s="302">
        <v>1965</v>
      </c>
      <c r="J27" s="302">
        <v>1753</v>
      </c>
      <c r="K27" s="302">
        <v>8690</v>
      </c>
      <c r="M27" s="296">
        <v>3227</v>
      </c>
      <c r="N27" s="280">
        <v>6000</v>
      </c>
      <c r="O27" s="280" t="s">
        <v>84</v>
      </c>
      <c r="P27" s="280">
        <v>21960</v>
      </c>
      <c r="Q27" s="280" t="s">
        <v>84</v>
      </c>
      <c r="R27" s="280">
        <v>55000</v>
      </c>
      <c r="S27" s="280"/>
    </row>
    <row r="28" spans="1:19" x14ac:dyDescent="0.2">
      <c r="A28" s="295">
        <v>1995</v>
      </c>
      <c r="B28" s="302">
        <v>460</v>
      </c>
      <c r="C28" s="302">
        <v>600</v>
      </c>
      <c r="D28" s="302">
        <v>277</v>
      </c>
      <c r="E28" s="302">
        <v>4945</v>
      </c>
      <c r="F28" s="302">
        <v>56736.778289155831</v>
      </c>
      <c r="G28" s="302">
        <v>55710</v>
      </c>
      <c r="H28" s="302">
        <v>2446</v>
      </c>
      <c r="I28" s="302">
        <v>1487</v>
      </c>
      <c r="J28" s="302">
        <v>1781</v>
      </c>
      <c r="K28" s="302">
        <v>8627</v>
      </c>
      <c r="M28" s="296">
        <v>2446</v>
      </c>
      <c r="N28" s="280">
        <v>2642</v>
      </c>
      <c r="O28" s="280" t="s">
        <v>84</v>
      </c>
      <c r="P28" s="280" t="s">
        <v>84</v>
      </c>
      <c r="Q28" s="280" t="s">
        <v>84</v>
      </c>
      <c r="R28" s="280">
        <v>30000</v>
      </c>
      <c r="S28" s="280"/>
    </row>
    <row r="29" spans="1:19" x14ac:dyDescent="0.2">
      <c r="A29" s="295">
        <v>1996</v>
      </c>
      <c r="B29" s="302">
        <v>515</v>
      </c>
      <c r="C29" s="302">
        <v>798</v>
      </c>
      <c r="D29" s="302">
        <v>263</v>
      </c>
      <c r="E29" s="302">
        <v>6050</v>
      </c>
      <c r="F29" s="302">
        <v>37331.253053327193</v>
      </c>
      <c r="G29" s="302">
        <v>44635</v>
      </c>
      <c r="H29" s="302">
        <v>2500</v>
      </c>
      <c r="I29" s="302">
        <v>1451</v>
      </c>
      <c r="J29" s="302">
        <v>950</v>
      </c>
      <c r="K29" s="302">
        <v>8831</v>
      </c>
      <c r="M29" s="296">
        <v>2500</v>
      </c>
      <c r="N29" s="280">
        <v>4030</v>
      </c>
      <c r="O29" s="280" t="s">
        <v>84</v>
      </c>
      <c r="P29" s="280" t="s">
        <v>84</v>
      </c>
      <c r="Q29" s="280" t="s">
        <v>84</v>
      </c>
      <c r="R29" s="280">
        <v>19000</v>
      </c>
      <c r="S29" s="280"/>
    </row>
    <row r="30" spans="1:19" x14ac:dyDescent="0.2">
      <c r="A30" s="295">
        <v>1997</v>
      </c>
      <c r="B30" s="302">
        <v>609</v>
      </c>
      <c r="C30" s="302">
        <v>1018</v>
      </c>
      <c r="D30" s="302">
        <v>186</v>
      </c>
      <c r="E30" s="302">
        <v>10050</v>
      </c>
      <c r="F30" s="302">
        <v>43519.496802707559</v>
      </c>
      <c r="G30" s="302">
        <v>32345</v>
      </c>
      <c r="H30" s="302">
        <v>4718</v>
      </c>
      <c r="I30" s="302">
        <v>809</v>
      </c>
      <c r="J30" s="302">
        <v>732</v>
      </c>
      <c r="K30" s="302">
        <v>5024.9558480428277</v>
      </c>
      <c r="M30" s="296">
        <v>4718</v>
      </c>
      <c r="N30" s="280">
        <v>2550</v>
      </c>
      <c r="O30" s="280" t="s">
        <v>84</v>
      </c>
      <c r="P30" s="280">
        <v>9780</v>
      </c>
      <c r="Q30" s="280" t="s">
        <v>84</v>
      </c>
      <c r="R30" s="280">
        <v>22000</v>
      </c>
      <c r="S30" s="280">
        <v>15007</v>
      </c>
    </row>
    <row r="31" spans="1:19" x14ac:dyDescent="0.2">
      <c r="A31" s="295">
        <v>1998</v>
      </c>
      <c r="B31" s="302">
        <v>862</v>
      </c>
      <c r="C31" s="302">
        <v>1160</v>
      </c>
      <c r="D31" s="302">
        <v>102</v>
      </c>
      <c r="E31" s="302">
        <v>6802</v>
      </c>
      <c r="F31" s="302">
        <v>50758</v>
      </c>
      <c r="G31" s="302">
        <v>61382</v>
      </c>
      <c r="H31" s="302">
        <v>7049</v>
      </c>
      <c r="I31" s="302">
        <v>1242</v>
      </c>
      <c r="J31" s="302">
        <v>983</v>
      </c>
      <c r="K31" s="302">
        <v>7094.5375401263209</v>
      </c>
      <c r="M31" s="296">
        <v>7049</v>
      </c>
      <c r="N31" s="280" t="s">
        <v>84</v>
      </c>
      <c r="O31" s="280" t="s">
        <v>84</v>
      </c>
      <c r="P31" s="280" t="s">
        <v>84</v>
      </c>
      <c r="Q31" s="280" t="s">
        <v>84</v>
      </c>
      <c r="R31" s="280">
        <v>12000</v>
      </c>
      <c r="S31" s="280">
        <v>9023</v>
      </c>
    </row>
    <row r="32" spans="1:19" x14ac:dyDescent="0.2">
      <c r="A32" s="295">
        <v>1999</v>
      </c>
      <c r="B32" s="302">
        <v>845</v>
      </c>
      <c r="C32" s="302">
        <v>1000</v>
      </c>
      <c r="D32" s="302">
        <v>272</v>
      </c>
      <c r="E32" s="302">
        <v>9920</v>
      </c>
      <c r="F32" s="302">
        <v>57140.359403245857</v>
      </c>
      <c r="G32" s="302">
        <v>60768</v>
      </c>
      <c r="H32" s="302">
        <v>3800</v>
      </c>
      <c r="I32" s="302">
        <v>775.58397313770752</v>
      </c>
      <c r="J32" s="302">
        <v>1246</v>
      </c>
      <c r="K32" s="302">
        <v>8038</v>
      </c>
      <c r="M32" s="296">
        <v>3800</v>
      </c>
      <c r="N32" s="280" t="s">
        <v>84</v>
      </c>
      <c r="O32" s="280" t="s">
        <v>84</v>
      </c>
      <c r="P32" s="280" t="s">
        <v>84</v>
      </c>
      <c r="Q32" s="280" t="s">
        <v>84</v>
      </c>
      <c r="R32" s="280" t="s">
        <v>84</v>
      </c>
      <c r="S32" s="280">
        <v>8506</v>
      </c>
    </row>
    <row r="33" spans="1:19" x14ac:dyDescent="0.2">
      <c r="A33" s="295">
        <v>2000</v>
      </c>
      <c r="B33" s="302">
        <v>683</v>
      </c>
      <c r="C33" s="302">
        <v>961</v>
      </c>
      <c r="D33" s="302">
        <v>202</v>
      </c>
      <c r="E33" s="302">
        <v>10650</v>
      </c>
      <c r="F33" s="302">
        <v>84843</v>
      </c>
      <c r="G33" s="302">
        <v>64700</v>
      </c>
      <c r="H33" s="302">
        <v>2304</v>
      </c>
      <c r="I33" s="302">
        <v>803</v>
      </c>
      <c r="J33" s="302">
        <v>600</v>
      </c>
      <c r="K33" s="302">
        <v>8634</v>
      </c>
      <c r="M33" s="296">
        <v>2304</v>
      </c>
      <c r="N33" s="280">
        <v>1572</v>
      </c>
      <c r="O33" s="280" t="s">
        <v>84</v>
      </c>
      <c r="P33" s="280" t="s">
        <v>84</v>
      </c>
      <c r="Q33" s="280" t="s">
        <v>84</v>
      </c>
      <c r="R33" s="280">
        <v>12000</v>
      </c>
      <c r="S33" s="280">
        <v>10478</v>
      </c>
    </row>
    <row r="34" spans="1:19" x14ac:dyDescent="0.2">
      <c r="A34" s="295">
        <v>2001</v>
      </c>
      <c r="B34" s="302">
        <v>865</v>
      </c>
      <c r="C34" s="302">
        <v>1119</v>
      </c>
      <c r="D34" s="302">
        <v>106</v>
      </c>
      <c r="E34" s="302">
        <v>19290</v>
      </c>
      <c r="F34" s="302">
        <v>107697</v>
      </c>
      <c r="G34" s="302">
        <v>104394</v>
      </c>
      <c r="H34" s="302">
        <v>2209</v>
      </c>
      <c r="I34" s="302">
        <v>1515</v>
      </c>
      <c r="J34" s="302">
        <v>1580</v>
      </c>
      <c r="K34" s="302">
        <v>11267.116943179739</v>
      </c>
      <c r="M34" s="296">
        <v>2209</v>
      </c>
      <c r="N34" s="280">
        <v>3190</v>
      </c>
      <c r="O34" s="280" t="s">
        <v>84</v>
      </c>
      <c r="P34" s="280">
        <v>5030</v>
      </c>
      <c r="Q34" s="280" t="s">
        <v>84</v>
      </c>
      <c r="R34" s="280">
        <v>17000</v>
      </c>
      <c r="S34" s="280">
        <v>5058</v>
      </c>
    </row>
    <row r="35" spans="1:19" x14ac:dyDescent="0.2">
      <c r="A35" s="295">
        <v>2002</v>
      </c>
      <c r="B35" s="302">
        <v>1176</v>
      </c>
      <c r="C35" s="302">
        <v>2448</v>
      </c>
      <c r="D35" s="302">
        <v>195</v>
      </c>
      <c r="E35" s="302">
        <v>27700</v>
      </c>
      <c r="F35" s="302">
        <v>204925</v>
      </c>
      <c r="G35" s="302">
        <v>219360</v>
      </c>
      <c r="H35" s="302">
        <v>7109</v>
      </c>
      <c r="I35" s="302">
        <v>1868</v>
      </c>
      <c r="J35" s="302">
        <v>3291</v>
      </c>
      <c r="K35" s="302">
        <v>12223</v>
      </c>
      <c r="M35" s="296">
        <v>7109</v>
      </c>
      <c r="N35" s="280">
        <v>8093</v>
      </c>
      <c r="O35" s="280" t="s">
        <v>84</v>
      </c>
      <c r="P35" s="280">
        <v>40000</v>
      </c>
      <c r="Q35" s="280" t="s">
        <v>84</v>
      </c>
      <c r="R35" s="280">
        <v>31000</v>
      </c>
      <c r="S35" s="280">
        <v>15694</v>
      </c>
    </row>
    <row r="36" spans="1:19" x14ac:dyDescent="0.2">
      <c r="A36" s="295">
        <v>2003</v>
      </c>
      <c r="B36" s="302">
        <v>585</v>
      </c>
      <c r="C36" s="302">
        <v>808</v>
      </c>
      <c r="D36" s="302">
        <v>203</v>
      </c>
      <c r="E36" s="302">
        <v>10110</v>
      </c>
      <c r="F36" s="302">
        <v>133109</v>
      </c>
      <c r="G36" s="302">
        <v>183112</v>
      </c>
      <c r="H36" s="302">
        <v>6789</v>
      </c>
      <c r="I36" s="302">
        <v>1101</v>
      </c>
      <c r="J36" s="302">
        <v>1510</v>
      </c>
      <c r="K36" s="302">
        <v>11899.091649078884</v>
      </c>
      <c r="M36" s="296">
        <v>6789</v>
      </c>
      <c r="N36" s="280">
        <v>5907</v>
      </c>
      <c r="O36" s="280">
        <v>23685</v>
      </c>
      <c r="P36" s="280">
        <v>6009</v>
      </c>
      <c r="Q36" s="280" t="s">
        <v>84</v>
      </c>
      <c r="R36" s="280">
        <v>35850</v>
      </c>
      <c r="S36" s="280">
        <v>5954</v>
      </c>
    </row>
    <row r="37" spans="1:19" x14ac:dyDescent="0.2">
      <c r="A37" s="295">
        <v>2004</v>
      </c>
      <c r="B37" s="302">
        <v>416</v>
      </c>
      <c r="C37" s="302">
        <v>364</v>
      </c>
      <c r="D37" s="302">
        <v>284</v>
      </c>
      <c r="E37" s="302">
        <v>14450</v>
      </c>
      <c r="F37" s="302">
        <v>67053</v>
      </c>
      <c r="G37" s="302">
        <v>129327</v>
      </c>
      <c r="H37" s="302">
        <v>3539</v>
      </c>
      <c r="I37" s="302">
        <v>1124</v>
      </c>
      <c r="J37" s="302">
        <v>840</v>
      </c>
      <c r="K37" s="302">
        <v>9904</v>
      </c>
      <c r="M37" s="296">
        <v>3539</v>
      </c>
      <c r="N37" s="280">
        <v>2214</v>
      </c>
      <c r="O37" s="280">
        <v>47566</v>
      </c>
      <c r="P37" s="280">
        <v>10284</v>
      </c>
      <c r="Q37" s="280">
        <v>49582</v>
      </c>
      <c r="R37" s="280" t="s">
        <v>84</v>
      </c>
      <c r="S37" s="280">
        <v>4137</v>
      </c>
    </row>
    <row r="38" spans="1:19" x14ac:dyDescent="0.2">
      <c r="A38" s="295">
        <v>2005</v>
      </c>
      <c r="B38" s="302">
        <v>450</v>
      </c>
      <c r="C38" s="302">
        <v>351</v>
      </c>
      <c r="D38" s="302">
        <v>139</v>
      </c>
      <c r="E38" s="302">
        <v>5220</v>
      </c>
      <c r="F38" s="302">
        <v>34575</v>
      </c>
      <c r="G38" s="302">
        <v>135558</v>
      </c>
      <c r="H38" s="302">
        <v>4257</v>
      </c>
      <c r="I38" s="302">
        <v>1668</v>
      </c>
      <c r="J38" s="302">
        <v>1732</v>
      </c>
      <c r="K38" s="302">
        <v>14840</v>
      </c>
      <c r="M38" s="296">
        <v>4257</v>
      </c>
      <c r="N38" s="280">
        <v>1241</v>
      </c>
      <c r="O38" s="280" t="s">
        <v>84</v>
      </c>
      <c r="P38" s="280">
        <v>2514</v>
      </c>
      <c r="Q38" s="280">
        <v>33644</v>
      </c>
      <c r="R38" s="280">
        <v>16600</v>
      </c>
      <c r="S38" s="280">
        <v>9876</v>
      </c>
    </row>
    <row r="39" spans="1:19" x14ac:dyDescent="0.2">
      <c r="A39" s="295">
        <v>2006</v>
      </c>
      <c r="B39" s="302">
        <v>581</v>
      </c>
      <c r="C39" s="302">
        <v>1110</v>
      </c>
      <c r="D39" s="302">
        <v>439</v>
      </c>
      <c r="E39" s="302">
        <v>5470</v>
      </c>
      <c r="F39" s="302">
        <v>79050</v>
      </c>
      <c r="G39" s="302">
        <v>122384</v>
      </c>
      <c r="H39" s="302">
        <v>4737</v>
      </c>
      <c r="I39" s="302">
        <v>2647</v>
      </c>
      <c r="J39" s="302">
        <v>891</v>
      </c>
      <c r="K39" s="302">
        <v>6900.5412233682428</v>
      </c>
      <c r="M39" s="296">
        <v>4737</v>
      </c>
      <c r="N39" s="280">
        <v>1156</v>
      </c>
      <c r="O39" s="280" t="s">
        <v>84</v>
      </c>
      <c r="P39" s="280">
        <v>7950</v>
      </c>
      <c r="Q39" s="280">
        <v>23169</v>
      </c>
      <c r="R39" s="280">
        <v>14500</v>
      </c>
      <c r="S39" s="280">
        <v>6800</v>
      </c>
    </row>
    <row r="40" spans="1:19" x14ac:dyDescent="0.2">
      <c r="A40" s="295">
        <v>2007</v>
      </c>
      <c r="B40" s="302">
        <v>352</v>
      </c>
      <c r="C40" s="302">
        <v>324</v>
      </c>
      <c r="D40" s="302">
        <v>226</v>
      </c>
      <c r="E40" s="302">
        <v>3915</v>
      </c>
      <c r="F40" s="302">
        <v>24770</v>
      </c>
      <c r="G40" s="302">
        <v>74246</v>
      </c>
      <c r="H40" s="302">
        <v>2567</v>
      </c>
      <c r="I40" s="302">
        <v>1066</v>
      </c>
      <c r="J40" s="302">
        <v>1244</v>
      </c>
      <c r="K40" s="302">
        <v>4316.1913188944191</v>
      </c>
      <c r="M40" s="296">
        <v>2567</v>
      </c>
      <c r="N40" s="280">
        <v>1751</v>
      </c>
      <c r="O40" s="280" t="s">
        <v>84</v>
      </c>
      <c r="P40" s="280">
        <v>5763</v>
      </c>
      <c r="Q40" s="280" t="s">
        <v>84</v>
      </c>
      <c r="R40" s="280">
        <v>14000</v>
      </c>
      <c r="S40" s="280">
        <v>7462</v>
      </c>
    </row>
    <row r="41" spans="1:19" x14ac:dyDescent="0.2">
      <c r="A41" s="295">
        <v>2008</v>
      </c>
      <c r="B41" s="302">
        <v>600</v>
      </c>
      <c r="C41" s="302">
        <v>405</v>
      </c>
      <c r="D41" s="302">
        <v>660</v>
      </c>
      <c r="E41" s="302">
        <v>6870</v>
      </c>
      <c r="F41" s="302">
        <v>56369</v>
      </c>
      <c r="G41" s="302">
        <v>95226</v>
      </c>
      <c r="H41" s="302">
        <v>5173</v>
      </c>
      <c r="I41" s="302">
        <v>1117</v>
      </c>
      <c r="J41" s="302">
        <v>1741</v>
      </c>
      <c r="K41" s="302">
        <v>16752.168254747987</v>
      </c>
      <c r="M41" s="296">
        <v>5173</v>
      </c>
      <c r="N41" s="280" t="s">
        <v>84</v>
      </c>
      <c r="O41" s="280" t="s">
        <v>84</v>
      </c>
      <c r="P41" s="280" t="s">
        <v>84</v>
      </c>
      <c r="Q41" s="280" t="s">
        <v>84</v>
      </c>
      <c r="R41" s="280">
        <v>25200</v>
      </c>
      <c r="S41" s="280">
        <v>6210</v>
      </c>
    </row>
    <row r="42" spans="1:19" x14ac:dyDescent="0.2">
      <c r="A42" s="295">
        <v>2009</v>
      </c>
      <c r="B42" s="302">
        <v>360</v>
      </c>
      <c r="C42" s="302">
        <v>698</v>
      </c>
      <c r="D42" s="302">
        <v>123</v>
      </c>
      <c r="E42" s="302">
        <v>4230</v>
      </c>
      <c r="F42" s="302">
        <v>47911</v>
      </c>
      <c r="G42" s="302">
        <v>103950</v>
      </c>
      <c r="H42" s="302">
        <v>2181</v>
      </c>
      <c r="I42" s="302">
        <v>1156</v>
      </c>
      <c r="J42" s="302">
        <v>2281</v>
      </c>
      <c r="K42" s="302">
        <v>8709.9845470338514</v>
      </c>
      <c r="M42" s="296">
        <v>2181</v>
      </c>
      <c r="N42" s="280">
        <v>3581</v>
      </c>
      <c r="O42" s="280" t="s">
        <v>84</v>
      </c>
      <c r="P42" s="280">
        <v>5814</v>
      </c>
      <c r="Q42" s="280" t="s">
        <v>84</v>
      </c>
      <c r="R42" s="280">
        <v>28000</v>
      </c>
      <c r="S42" s="280">
        <v>5415</v>
      </c>
    </row>
    <row r="43" spans="1:19" x14ac:dyDescent="0.2">
      <c r="A43" s="295">
        <v>2010</v>
      </c>
      <c r="B43" s="302">
        <v>417</v>
      </c>
      <c r="C43" s="302">
        <v>630</v>
      </c>
      <c r="D43" s="302">
        <v>467</v>
      </c>
      <c r="E43" s="302">
        <v>7520</v>
      </c>
      <c r="F43" s="302">
        <v>84909</v>
      </c>
      <c r="G43" s="302">
        <v>126830</v>
      </c>
      <c r="H43" s="302">
        <v>1610</v>
      </c>
      <c r="I43" s="302">
        <v>1273</v>
      </c>
      <c r="J43" s="302">
        <v>2878</v>
      </c>
      <c r="K43" s="302">
        <v>4562.5036185839253</v>
      </c>
      <c r="M43" s="296">
        <v>1610</v>
      </c>
      <c r="N43" s="280">
        <v>2393</v>
      </c>
      <c r="O43" s="280" t="s">
        <v>84</v>
      </c>
      <c r="P43" s="280">
        <v>11195</v>
      </c>
      <c r="Q43" s="280" t="s">
        <v>84</v>
      </c>
      <c r="R43" s="280">
        <v>11000</v>
      </c>
      <c r="S43" s="280">
        <v>9707</v>
      </c>
    </row>
    <row r="44" spans="1:19" x14ac:dyDescent="0.2">
      <c r="A44" s="295">
        <v>2011</v>
      </c>
      <c r="B44" s="302">
        <v>517</v>
      </c>
      <c r="C44" s="302">
        <v>709</v>
      </c>
      <c r="D44" s="302">
        <v>138</v>
      </c>
      <c r="E44" s="302">
        <v>6050</v>
      </c>
      <c r="F44" s="302">
        <v>61099</v>
      </c>
      <c r="G44" s="302">
        <v>70871</v>
      </c>
      <c r="H44" s="302">
        <v>1908</v>
      </c>
      <c r="I44" s="302">
        <v>2222</v>
      </c>
      <c r="J44" s="302">
        <v>2137</v>
      </c>
      <c r="K44" s="302">
        <v>5097.7900309938541</v>
      </c>
      <c r="M44" s="296">
        <v>1908</v>
      </c>
      <c r="N44" s="280">
        <v>1221</v>
      </c>
      <c r="O44" s="280" t="s">
        <v>84</v>
      </c>
      <c r="P44" s="280">
        <v>3652</v>
      </c>
      <c r="Q44" s="280" t="s">
        <v>84</v>
      </c>
      <c r="R44" s="280">
        <v>21000</v>
      </c>
      <c r="S44" s="280">
        <v>5572</v>
      </c>
    </row>
    <row r="45" spans="1:19" x14ac:dyDescent="0.2">
      <c r="A45" s="295">
        <v>2012</v>
      </c>
      <c r="B45" s="302">
        <v>837</v>
      </c>
      <c r="C45" s="302">
        <v>394</v>
      </c>
      <c r="D45" s="302">
        <v>190</v>
      </c>
      <c r="E45" s="302">
        <v>5480</v>
      </c>
      <c r="F45" s="302">
        <v>36961</v>
      </c>
      <c r="G45" s="302">
        <v>70775</v>
      </c>
      <c r="H45" s="302">
        <v>2282</v>
      </c>
      <c r="I45" s="302">
        <v>1157</v>
      </c>
      <c r="J45" s="302">
        <v>1908</v>
      </c>
      <c r="K45" s="302">
        <v>11960.137442047555</v>
      </c>
      <c r="M45" s="296">
        <v>2282</v>
      </c>
      <c r="N45" s="280" t="s">
        <v>84</v>
      </c>
      <c r="O45" s="280" t="s">
        <v>84</v>
      </c>
      <c r="P45" s="280">
        <v>3007</v>
      </c>
      <c r="Q45" s="280" t="s">
        <v>84</v>
      </c>
      <c r="R45" s="280">
        <v>10500</v>
      </c>
      <c r="S45" s="280">
        <v>7507</v>
      </c>
    </row>
    <row r="46" spans="1:19" x14ac:dyDescent="0.2">
      <c r="A46" s="295">
        <v>2013</v>
      </c>
      <c r="B46" s="302">
        <v>736</v>
      </c>
      <c r="C46" s="302">
        <v>367</v>
      </c>
      <c r="D46" s="302">
        <v>126</v>
      </c>
      <c r="E46" s="302">
        <v>6280</v>
      </c>
      <c r="F46" s="302">
        <v>51324</v>
      </c>
      <c r="G46" s="302">
        <v>68117</v>
      </c>
      <c r="H46" s="302">
        <v>1573</v>
      </c>
      <c r="I46" s="302">
        <v>1414</v>
      </c>
      <c r="J46" s="302">
        <v>3048</v>
      </c>
      <c r="K46" s="302">
        <v>11294.848476759547</v>
      </c>
      <c r="M46" s="296">
        <v>1573</v>
      </c>
      <c r="N46" s="280">
        <v>2593</v>
      </c>
      <c r="O46" s="280" t="s">
        <v>84</v>
      </c>
      <c r="P46" s="280">
        <v>14853</v>
      </c>
      <c r="Q46" s="280" t="s">
        <v>84</v>
      </c>
      <c r="R46" s="280">
        <v>47000</v>
      </c>
      <c r="S46" s="280">
        <v>8323</v>
      </c>
    </row>
    <row r="47" spans="1:19" x14ac:dyDescent="0.2">
      <c r="A47" s="295">
        <v>2014</v>
      </c>
      <c r="B47" s="302">
        <v>1533</v>
      </c>
      <c r="C47" s="302">
        <v>911</v>
      </c>
      <c r="D47" s="302">
        <v>284</v>
      </c>
      <c r="E47" s="302">
        <v>15480</v>
      </c>
      <c r="F47" s="302">
        <v>130200</v>
      </c>
      <c r="G47" s="302">
        <v>124171</v>
      </c>
      <c r="H47" s="302">
        <v>3025</v>
      </c>
      <c r="I47" s="302">
        <v>2161</v>
      </c>
      <c r="J47" s="302">
        <v>4110</v>
      </c>
      <c r="K47" s="302">
        <v>16674.889312790467</v>
      </c>
      <c r="M47" s="296">
        <v>3025</v>
      </c>
      <c r="N47" s="280">
        <v>3555</v>
      </c>
      <c r="O47" s="280" t="s">
        <v>84</v>
      </c>
      <c r="P47" s="280">
        <v>8226</v>
      </c>
      <c r="Q47" s="280" t="s">
        <v>84</v>
      </c>
      <c r="R47" s="280">
        <v>27000</v>
      </c>
      <c r="S47" s="280">
        <v>7698</v>
      </c>
    </row>
    <row r="48" spans="1:19" x14ac:dyDescent="0.2">
      <c r="A48" s="295">
        <v>2015</v>
      </c>
      <c r="B48" s="302">
        <v>517</v>
      </c>
      <c r="C48" s="302">
        <v>1204</v>
      </c>
      <c r="D48" s="302">
        <v>202</v>
      </c>
      <c r="E48" s="302">
        <v>9940</v>
      </c>
      <c r="F48" s="302">
        <v>47372</v>
      </c>
      <c r="G48" s="302">
        <v>60178</v>
      </c>
      <c r="H48" s="302">
        <v>3281</v>
      </c>
      <c r="I48" s="302">
        <v>2244</v>
      </c>
      <c r="J48" s="302">
        <v>956</v>
      </c>
      <c r="K48" s="302">
        <v>10128.133298386627</v>
      </c>
      <c r="M48" s="296">
        <v>3281</v>
      </c>
      <c r="N48" s="280">
        <v>2015</v>
      </c>
      <c r="O48" s="280" t="s">
        <v>84</v>
      </c>
      <c r="P48" s="280">
        <v>7062</v>
      </c>
      <c r="Q48" s="280" t="s">
        <v>84</v>
      </c>
      <c r="R48" s="280">
        <v>19500</v>
      </c>
      <c r="S48" s="280">
        <v>12780</v>
      </c>
    </row>
    <row r="49" spans="1:28" x14ac:dyDescent="0.2">
      <c r="A49" s="295">
        <v>2016</v>
      </c>
      <c r="B49" s="303">
        <v>204</v>
      </c>
      <c r="C49" s="303">
        <v>717</v>
      </c>
      <c r="D49" s="303">
        <v>52</v>
      </c>
      <c r="E49" s="303">
        <v>6733</v>
      </c>
      <c r="F49" s="302">
        <v>26280</v>
      </c>
      <c r="G49" s="303">
        <v>87704</v>
      </c>
      <c r="H49" s="303" t="s">
        <v>84</v>
      </c>
      <c r="I49" s="303">
        <v>2943</v>
      </c>
      <c r="J49" s="303">
        <v>948</v>
      </c>
      <c r="K49" s="303">
        <v>13420</v>
      </c>
      <c r="L49" s="297"/>
      <c r="M49" s="298" t="s">
        <v>84</v>
      </c>
      <c r="N49" s="280">
        <v>746</v>
      </c>
      <c r="O49" s="280" t="s">
        <v>84</v>
      </c>
      <c r="P49" s="280">
        <v>6177</v>
      </c>
      <c r="Q49" s="280" t="s">
        <v>84</v>
      </c>
      <c r="R49" s="280">
        <v>31000</v>
      </c>
      <c r="S49" s="280">
        <v>24242</v>
      </c>
    </row>
    <row r="50" spans="1:28" x14ac:dyDescent="0.2">
      <c r="A50" s="295">
        <v>2017</v>
      </c>
      <c r="B50" s="429">
        <v>283</v>
      </c>
      <c r="C50" s="303">
        <v>634</v>
      </c>
      <c r="D50" s="303">
        <v>20</v>
      </c>
      <c r="E50" s="303">
        <v>7040</v>
      </c>
      <c r="F50" s="302">
        <v>34482</v>
      </c>
      <c r="G50" s="303">
        <v>57868</v>
      </c>
      <c r="H50" s="303"/>
      <c r="I50" s="303">
        <v>1280</v>
      </c>
      <c r="J50" s="303">
        <v>1266</v>
      </c>
      <c r="K50" s="303">
        <v>11557</v>
      </c>
      <c r="L50" s="297"/>
      <c r="M50" s="298"/>
      <c r="N50" s="280">
        <v>1455</v>
      </c>
      <c r="O50" s="280"/>
      <c r="P50" s="280">
        <v>4122</v>
      </c>
      <c r="Q50" s="280"/>
      <c r="R50" s="280">
        <v>38000</v>
      </c>
      <c r="S50" s="280">
        <v>7412</v>
      </c>
    </row>
    <row r="51" spans="1:28" x14ac:dyDescent="0.2">
      <c r="A51" s="295">
        <v>2018</v>
      </c>
      <c r="B51" s="303">
        <v>146</v>
      </c>
      <c r="C51" s="303">
        <v>1160</v>
      </c>
      <c r="D51" s="303">
        <v>110</v>
      </c>
      <c r="E51" s="303">
        <v>3550</v>
      </c>
      <c r="F51" s="303">
        <v>66085</v>
      </c>
      <c r="G51" s="303">
        <f>60678-9743</f>
        <v>50935</v>
      </c>
      <c r="H51" s="303"/>
      <c r="I51" s="303">
        <v>1502</v>
      </c>
      <c r="J51" s="303">
        <v>619</v>
      </c>
      <c r="K51" s="303">
        <v>13764</v>
      </c>
      <c r="L51" s="297"/>
      <c r="M51" s="297"/>
    </row>
    <row r="52" spans="1:28" x14ac:dyDescent="0.2">
      <c r="A52" s="297"/>
      <c r="B52" s="297"/>
      <c r="C52" s="297"/>
      <c r="D52" s="297"/>
      <c r="E52" s="297"/>
      <c r="F52" s="297"/>
      <c r="G52" s="484"/>
      <c r="H52" s="297"/>
      <c r="I52" s="297"/>
      <c r="J52" s="297"/>
      <c r="K52" s="297"/>
      <c r="L52" s="297"/>
      <c r="M52" s="297"/>
    </row>
    <row r="54" spans="1:28" x14ac:dyDescent="0.2">
      <c r="F54" s="496"/>
      <c r="J54"/>
      <c r="K54"/>
      <c r="L54"/>
      <c r="M54"/>
      <c r="N54"/>
      <c r="O54"/>
      <c r="P54"/>
      <c r="Q54"/>
      <c r="R54"/>
      <c r="S54"/>
      <c r="T54"/>
      <c r="U54"/>
    </row>
    <row r="55" spans="1:28" ht="15" x14ac:dyDescent="0.25">
      <c r="G55" s="444"/>
      <c r="J55"/>
      <c r="K55"/>
      <c r="L55"/>
      <c r="M55"/>
      <c r="N55"/>
      <c r="O55"/>
      <c r="P55"/>
      <c r="Q55"/>
      <c r="R55"/>
      <c r="S55"/>
      <c r="T55"/>
      <c r="U55"/>
      <c r="V55"/>
      <c r="W55"/>
      <c r="X55"/>
      <c r="Y55"/>
      <c r="Z55"/>
      <c r="AA55"/>
      <c r="AB55" s="244"/>
    </row>
    <row r="56" spans="1:28" x14ac:dyDescent="0.2">
      <c r="J56"/>
      <c r="K56"/>
      <c r="L56"/>
      <c r="M56"/>
      <c r="N56"/>
      <c r="O56"/>
      <c r="P56"/>
      <c r="Q56"/>
      <c r="R56"/>
      <c r="S56"/>
      <c r="T56"/>
      <c r="U56"/>
      <c r="V56"/>
      <c r="W56"/>
      <c r="X56"/>
      <c r="Y56"/>
      <c r="Z56"/>
      <c r="AA56"/>
      <c r="AB56" s="244"/>
    </row>
    <row r="57" spans="1:28" x14ac:dyDescent="0.2">
      <c r="J57"/>
      <c r="K57"/>
      <c r="L57"/>
      <c r="M57"/>
      <c r="N57"/>
      <c r="O57"/>
      <c r="P57"/>
      <c r="Q57"/>
      <c r="R57"/>
      <c r="S57"/>
      <c r="T57"/>
      <c r="U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Q215"/>
  <sheetViews>
    <sheetView showGridLines="0" tabSelected="1" topLeftCell="P51" zoomScale="85" zoomScaleNormal="85" workbookViewId="0">
      <selection activeCell="P46" sqref="P46"/>
    </sheetView>
  </sheetViews>
  <sheetFormatPr defaultRowHeight="12.75" x14ac:dyDescent="0.2"/>
  <cols>
    <col min="3" max="7" width="12.7109375" customWidth="1"/>
    <col min="8" max="8" width="10.140625" bestFit="1" customWidth="1"/>
    <col min="23" max="23" width="11" customWidth="1"/>
  </cols>
  <sheetData>
    <row r="1" spans="1:29" ht="15" x14ac:dyDescent="0.25">
      <c r="A1" s="348" t="s">
        <v>376</v>
      </c>
      <c r="B1" s="327"/>
      <c r="C1" s="327"/>
      <c r="D1" s="326"/>
      <c r="E1" s="327"/>
      <c r="F1" s="327"/>
      <c r="G1" s="326"/>
      <c r="S1" s="361" t="s">
        <v>307</v>
      </c>
    </row>
    <row r="2" spans="1:29" ht="15" x14ac:dyDescent="0.25">
      <c r="A2" s="328"/>
      <c r="B2" s="328"/>
      <c r="C2" s="328"/>
      <c r="D2" s="328"/>
      <c r="E2" s="328"/>
      <c r="F2" s="328"/>
      <c r="G2" s="328"/>
      <c r="P2" s="364" t="s">
        <v>305</v>
      </c>
      <c r="Q2" s="364"/>
      <c r="R2" s="364"/>
      <c r="S2" s="346"/>
      <c r="T2" s="363"/>
      <c r="W2" s="339" t="s">
        <v>302</v>
      </c>
      <c r="X2" s="339" t="s">
        <v>300</v>
      </c>
      <c r="Y2" s="339"/>
      <c r="Z2" s="339"/>
      <c r="AA2" s="339"/>
    </row>
    <row r="3" spans="1:29" ht="15" x14ac:dyDescent="0.25">
      <c r="A3" s="332"/>
      <c r="B3" s="332" t="s">
        <v>274</v>
      </c>
      <c r="C3" s="332" t="s">
        <v>205</v>
      </c>
      <c r="D3" s="333" t="s">
        <v>92</v>
      </c>
      <c r="E3" s="332" t="s">
        <v>275</v>
      </c>
      <c r="F3" s="332" t="s">
        <v>152</v>
      </c>
      <c r="G3" s="332" t="s">
        <v>276</v>
      </c>
      <c r="K3" s="355" t="s">
        <v>276</v>
      </c>
      <c r="L3" s="355" t="s">
        <v>205</v>
      </c>
      <c r="M3" s="355" t="s">
        <v>152</v>
      </c>
      <c r="O3" s="365" t="s">
        <v>302</v>
      </c>
      <c r="P3" s="365"/>
      <c r="Q3" s="365"/>
      <c r="R3" s="365"/>
      <c r="S3" s="365"/>
      <c r="T3" s="365"/>
      <c r="V3" t="s">
        <v>308</v>
      </c>
      <c r="W3" s="365" t="s">
        <v>303</v>
      </c>
      <c r="X3" s="339" t="s">
        <v>301</v>
      </c>
      <c r="Y3" s="339"/>
      <c r="Z3" s="382" t="s">
        <v>316</v>
      </c>
      <c r="AA3" s="339"/>
    </row>
    <row r="4" spans="1:29" ht="15" x14ac:dyDescent="0.25">
      <c r="A4" s="329" t="s">
        <v>24</v>
      </c>
      <c r="B4" s="330" t="s">
        <v>125</v>
      </c>
      <c r="C4" s="330" t="s">
        <v>124</v>
      </c>
      <c r="D4" s="334" t="s">
        <v>277</v>
      </c>
      <c r="E4" s="329" t="s">
        <v>278</v>
      </c>
      <c r="F4" s="330" t="s">
        <v>279</v>
      </c>
      <c r="G4" s="329" t="s">
        <v>125</v>
      </c>
      <c r="K4" s="352" t="s">
        <v>125</v>
      </c>
      <c r="L4" s="353" t="s">
        <v>124</v>
      </c>
      <c r="M4" s="353" t="s">
        <v>279</v>
      </c>
      <c r="O4" s="365" t="s">
        <v>303</v>
      </c>
      <c r="P4" s="365" t="s">
        <v>306</v>
      </c>
      <c r="Q4" s="373" t="s">
        <v>309</v>
      </c>
      <c r="R4" s="365"/>
      <c r="S4" s="365" t="s">
        <v>303</v>
      </c>
      <c r="T4" s="365" t="s">
        <v>29</v>
      </c>
      <c r="U4" s="365" t="s">
        <v>311</v>
      </c>
      <c r="V4" s="365" t="s">
        <v>32</v>
      </c>
      <c r="W4" s="365" t="s">
        <v>304</v>
      </c>
      <c r="X4" s="339">
        <v>42940</v>
      </c>
      <c r="Y4" s="339"/>
      <c r="Z4" s="339" t="s">
        <v>312</v>
      </c>
      <c r="AA4" s="339" t="s">
        <v>314</v>
      </c>
    </row>
    <row r="5" spans="1:29" ht="15" x14ac:dyDescent="0.25">
      <c r="A5" s="331" t="s">
        <v>3</v>
      </c>
      <c r="B5" s="331" t="s">
        <v>18</v>
      </c>
      <c r="C5" s="331" t="s">
        <v>18</v>
      </c>
      <c r="D5" s="331" t="s">
        <v>18</v>
      </c>
      <c r="E5" s="331" t="s">
        <v>280</v>
      </c>
      <c r="F5" s="331" t="s">
        <v>18</v>
      </c>
      <c r="G5" s="331" t="s">
        <v>281</v>
      </c>
      <c r="K5" s="354" t="s">
        <v>281</v>
      </c>
      <c r="L5" s="354" t="s">
        <v>18</v>
      </c>
      <c r="M5" s="354" t="s">
        <v>18</v>
      </c>
      <c r="X5" s="339" t="s">
        <v>299</v>
      </c>
      <c r="Y5" s="339"/>
      <c r="Z5" s="339" t="s">
        <v>313</v>
      </c>
      <c r="AA5" s="339" t="s">
        <v>315</v>
      </c>
    </row>
    <row r="6" spans="1:29" ht="15" x14ac:dyDescent="0.25">
      <c r="A6" s="329">
        <v>1980</v>
      </c>
      <c r="B6" s="336">
        <v>9.8763206435065118</v>
      </c>
      <c r="C6" s="334" t="s">
        <v>84</v>
      </c>
      <c r="D6" s="334" t="s">
        <v>84</v>
      </c>
      <c r="E6" s="334" t="s">
        <v>84</v>
      </c>
      <c r="F6" s="334"/>
      <c r="G6" s="334" t="s">
        <v>84</v>
      </c>
      <c r="L6" s="356"/>
      <c r="N6" s="349">
        <v>1979</v>
      </c>
      <c r="O6" s="369">
        <v>107</v>
      </c>
      <c r="P6" s="350">
        <v>9.8763206435065118</v>
      </c>
      <c r="Q6" s="357"/>
      <c r="R6" s="357"/>
      <c r="S6" s="362">
        <f>O6/'Master smolts'!Z7*100</f>
        <v>1.2174308795084765</v>
      </c>
      <c r="T6" s="357"/>
      <c r="U6" s="357"/>
      <c r="V6" s="357"/>
      <c r="W6" s="360">
        <v>313.91304347826087</v>
      </c>
      <c r="X6" s="339"/>
      <c r="Y6" s="371"/>
      <c r="Z6" s="382"/>
      <c r="AA6" s="371"/>
      <c r="AB6" s="367"/>
      <c r="AC6" s="367"/>
    </row>
    <row r="7" spans="1:29" ht="15" x14ac:dyDescent="0.25">
      <c r="A7" s="329">
        <v>1981</v>
      </c>
      <c r="B7" s="336">
        <v>9.1096535514581731</v>
      </c>
      <c r="C7" s="334" t="s">
        <v>84</v>
      </c>
      <c r="D7" s="334" t="s">
        <v>84</v>
      </c>
      <c r="E7" s="334" t="s">
        <v>84</v>
      </c>
      <c r="F7" s="334"/>
      <c r="G7" s="334" t="s">
        <v>84</v>
      </c>
      <c r="L7" s="356"/>
      <c r="N7" s="349">
        <v>1980</v>
      </c>
      <c r="O7" s="369">
        <v>294</v>
      </c>
      <c r="P7" s="350">
        <v>9.1096535514581731</v>
      </c>
      <c r="Q7" s="357"/>
      <c r="R7" s="357"/>
      <c r="S7" s="357">
        <v>2.7440731752846741</v>
      </c>
      <c r="T7" s="357">
        <f>P7+S7</f>
        <v>11.853726726742847</v>
      </c>
      <c r="U7" s="366">
        <f>S7/P7</f>
        <v>0.30122695224182627</v>
      </c>
      <c r="V7" s="366"/>
      <c r="W7" s="370">
        <v>327.06666666666666</v>
      </c>
      <c r="X7" s="339"/>
      <c r="Z7">
        <f>LN(W7)</f>
        <v>5.7901640237162244</v>
      </c>
      <c r="AA7">
        <f>LN((S7/T7))</f>
        <v>-1.4631989329613786</v>
      </c>
      <c r="AB7">
        <f>LN(S7/T7)</f>
        <v>-1.4631989329613786</v>
      </c>
      <c r="AC7" s="386">
        <v>-1.4631924121139552</v>
      </c>
    </row>
    <row r="8" spans="1:29" ht="15" x14ac:dyDescent="0.25">
      <c r="A8" s="329">
        <v>1982</v>
      </c>
      <c r="B8" s="336">
        <v>10.606807212792543</v>
      </c>
      <c r="C8" s="334" t="s">
        <v>84</v>
      </c>
      <c r="D8" s="334" t="s">
        <v>84</v>
      </c>
      <c r="E8" s="334" t="s">
        <v>84</v>
      </c>
      <c r="F8" s="334"/>
      <c r="G8" s="357">
        <v>5.9297273910349526</v>
      </c>
      <c r="H8" s="408"/>
      <c r="K8" s="357">
        <f>G8</f>
        <v>5.9297273910349526</v>
      </c>
      <c r="L8" s="356"/>
      <c r="N8" s="349">
        <v>1981</v>
      </c>
      <c r="O8" s="369">
        <v>231</v>
      </c>
      <c r="P8" s="350">
        <v>10.606807212792543</v>
      </c>
      <c r="Q8" s="357"/>
      <c r="R8" s="357"/>
      <c r="S8" s="357">
        <v>3.3156308310607145</v>
      </c>
      <c r="T8" s="357">
        <f t="shared" ref="T8:T43" si="0">P8+S8</f>
        <v>13.922438043853257</v>
      </c>
      <c r="U8" s="366">
        <f t="shared" ref="U8:U41" si="1">S8/P8</f>
        <v>0.3125946163197757</v>
      </c>
      <c r="V8" s="366"/>
      <c r="W8" s="370"/>
      <c r="X8" s="339"/>
    </row>
    <row r="9" spans="1:29" ht="15" x14ac:dyDescent="0.25">
      <c r="A9" s="329">
        <v>1983</v>
      </c>
      <c r="B9" s="336">
        <v>18.089417377825391</v>
      </c>
      <c r="C9" s="334" t="s">
        <v>84</v>
      </c>
      <c r="D9" s="334" t="s">
        <v>84</v>
      </c>
      <c r="E9" s="334" t="s">
        <v>84</v>
      </c>
      <c r="F9" s="336">
        <v>13.307131935265575</v>
      </c>
      <c r="G9" s="357">
        <v>9.7149160284844118</v>
      </c>
      <c r="H9" s="408">
        <f>(B9+F9)/2</f>
        <v>15.698274656545482</v>
      </c>
      <c r="K9" s="357">
        <f t="shared" ref="K9:K41" si="2">G9</f>
        <v>9.7149160284844118</v>
      </c>
      <c r="L9" s="356"/>
      <c r="M9" s="357">
        <v>13.307131935265575</v>
      </c>
      <c r="N9" s="349">
        <v>1982</v>
      </c>
      <c r="O9" s="369">
        <v>338</v>
      </c>
      <c r="P9" s="350">
        <v>18.089417377825391</v>
      </c>
      <c r="Q9" s="357"/>
      <c r="R9" s="357"/>
      <c r="S9" s="357">
        <v>4.9350270112425179</v>
      </c>
      <c r="T9" s="357">
        <f t="shared" si="0"/>
        <v>23.024444389067909</v>
      </c>
      <c r="U9" s="366">
        <f t="shared" si="1"/>
        <v>0.27281293300756265</v>
      </c>
      <c r="V9" s="366"/>
      <c r="W9" s="370">
        <v>319.8</v>
      </c>
      <c r="X9" s="339"/>
      <c r="Z9">
        <f t="shared" ref="Z9:Z41" si="3">LN(W9)</f>
        <v>5.7676958003998537</v>
      </c>
      <c r="AA9">
        <f t="shared" ref="AA9:AA11" si="4">LN((S9/T9))</f>
        <v>-1.5401983048090619</v>
      </c>
      <c r="AB9">
        <f t="shared" ref="AB9:AB11" si="5">LN(S9/T9)</f>
        <v>-1.5401983048090619</v>
      </c>
      <c r="AC9" s="386">
        <v>-1.5402336914800197</v>
      </c>
    </row>
    <row r="10" spans="1:29" ht="15" x14ac:dyDescent="0.25">
      <c r="A10" s="329">
        <v>1984</v>
      </c>
      <c r="B10" s="336">
        <v>15.866221555976182</v>
      </c>
      <c r="C10" s="334" t="s">
        <v>84</v>
      </c>
      <c r="D10" s="334" t="s">
        <v>84</v>
      </c>
      <c r="E10" s="334" t="s">
        <v>84</v>
      </c>
      <c r="F10" s="336">
        <v>7.5594375096476627</v>
      </c>
      <c r="G10" s="356" t="s">
        <v>84</v>
      </c>
      <c r="H10" s="408">
        <f t="shared" ref="H10" si="6">(B10+F10)/2</f>
        <v>11.712829532811922</v>
      </c>
      <c r="K10" s="357"/>
      <c r="L10" s="356"/>
      <c r="M10" s="357">
        <v>7.5594375096476627</v>
      </c>
      <c r="N10" s="349">
        <v>1983</v>
      </c>
      <c r="O10" s="369">
        <v>261</v>
      </c>
      <c r="P10" s="350">
        <v>15.866221555976182</v>
      </c>
      <c r="Q10" s="357"/>
      <c r="R10" s="357"/>
      <c r="S10" s="357">
        <v>3.7820605709317485</v>
      </c>
      <c r="T10" s="357">
        <f t="shared" si="0"/>
        <v>19.64828212690793</v>
      </c>
      <c r="U10" s="366">
        <f t="shared" si="1"/>
        <v>0.23837184912542678</v>
      </c>
      <c r="V10" s="366"/>
      <c r="W10" s="370">
        <v>318.14893617021278</v>
      </c>
      <c r="X10" s="339"/>
      <c r="Z10">
        <f t="shared" si="3"/>
        <v>5.762519625873785</v>
      </c>
      <c r="AA10">
        <f t="shared" si="4"/>
        <v>-1.647720925236398</v>
      </c>
      <c r="AB10">
        <f t="shared" si="5"/>
        <v>-1.647720925236398</v>
      </c>
      <c r="AC10" s="386">
        <v>-1.6477740611776477</v>
      </c>
    </row>
    <row r="11" spans="1:29" ht="15" x14ac:dyDescent="0.25">
      <c r="A11" s="329">
        <v>1985</v>
      </c>
      <c r="B11" s="336">
        <v>24.612523540600517</v>
      </c>
      <c r="C11" s="334" t="s">
        <v>84</v>
      </c>
      <c r="D11" s="334" t="s">
        <v>84</v>
      </c>
      <c r="E11" s="334" t="s">
        <v>84</v>
      </c>
      <c r="F11" s="336">
        <v>7.558353939285599</v>
      </c>
      <c r="G11" s="357">
        <v>12.480208337346241</v>
      </c>
      <c r="H11" s="408">
        <f>(B11+F11)/2</f>
        <v>16.085438739943058</v>
      </c>
      <c r="K11" s="357">
        <f t="shared" si="2"/>
        <v>12.480208337346241</v>
      </c>
      <c r="L11" s="356"/>
      <c r="M11" s="357">
        <v>7.558353939285599</v>
      </c>
      <c r="N11" s="349">
        <v>1984</v>
      </c>
      <c r="O11" s="369">
        <v>315</v>
      </c>
      <c r="P11" s="350">
        <v>24.612523540600517</v>
      </c>
      <c r="Q11" s="357"/>
      <c r="R11" s="357"/>
      <c r="S11" s="357">
        <v>4.6066101199181047</v>
      </c>
      <c r="T11" s="357">
        <f t="shared" si="0"/>
        <v>29.219133660518622</v>
      </c>
      <c r="U11" s="366">
        <f t="shared" si="1"/>
        <v>0.1871652905610876</v>
      </c>
      <c r="V11" s="366"/>
      <c r="W11" s="370">
        <v>334.8</v>
      </c>
      <c r="X11" s="339"/>
      <c r="Z11">
        <f t="shared" si="3"/>
        <v>5.8135333386153203</v>
      </c>
      <c r="AA11">
        <f t="shared" si="4"/>
        <v>-1.847331502415652</v>
      </c>
      <c r="AB11">
        <f t="shared" si="5"/>
        <v>-1.847331502415652</v>
      </c>
      <c r="AC11" s="386">
        <v>-1.8473293203828658</v>
      </c>
    </row>
    <row r="12" spans="1:29" ht="15" x14ac:dyDescent="0.25">
      <c r="A12" s="329">
        <v>1986</v>
      </c>
      <c r="B12" s="336">
        <v>16.643368636371434</v>
      </c>
      <c r="C12" s="334" t="s">
        <v>84</v>
      </c>
      <c r="D12" s="334" t="s">
        <v>84</v>
      </c>
      <c r="E12" s="334" t="s">
        <v>84</v>
      </c>
      <c r="F12" s="336">
        <v>18.518762918581729</v>
      </c>
      <c r="G12" s="357">
        <v>8.9576888712520777</v>
      </c>
      <c r="H12" s="408">
        <f t="shared" ref="H12:H15" si="7">(B12+F12)/2</f>
        <v>17.581065777476582</v>
      </c>
      <c r="K12" s="357">
        <f t="shared" si="2"/>
        <v>8.9576888712520777</v>
      </c>
      <c r="L12" s="356"/>
      <c r="M12" s="357">
        <v>18.518762918581729</v>
      </c>
      <c r="N12" s="349">
        <v>1985</v>
      </c>
      <c r="O12" s="369">
        <v>122</v>
      </c>
      <c r="P12" s="350">
        <v>16.643368636371434</v>
      </c>
      <c r="Q12" s="357"/>
      <c r="R12" s="357"/>
      <c r="S12" s="357">
        <v>2.0847573479152426</v>
      </c>
      <c r="T12" s="357">
        <f t="shared" si="0"/>
        <v>18.728125984286677</v>
      </c>
      <c r="U12" s="366">
        <f t="shared" si="1"/>
        <v>0.12526054030668629</v>
      </c>
      <c r="V12" s="366"/>
      <c r="W12" s="370"/>
      <c r="X12" s="339"/>
    </row>
    <row r="13" spans="1:29" ht="15" x14ac:dyDescent="0.25">
      <c r="A13" s="329">
        <v>1987</v>
      </c>
      <c r="B13" s="336">
        <v>20.988338632942511</v>
      </c>
      <c r="C13" s="334" t="s">
        <v>84</v>
      </c>
      <c r="D13" s="334" t="s">
        <v>84</v>
      </c>
      <c r="E13" s="334" t="s">
        <v>84</v>
      </c>
      <c r="F13" s="336">
        <v>10.255660138389814</v>
      </c>
      <c r="G13" s="357">
        <v>4.59744481669766</v>
      </c>
      <c r="H13" s="408">
        <f t="shared" si="7"/>
        <v>15.621999385666163</v>
      </c>
      <c r="K13" s="357">
        <f t="shared" si="2"/>
        <v>4.59744481669766</v>
      </c>
      <c r="L13" s="356"/>
      <c r="M13" s="357">
        <v>10.255660138389814</v>
      </c>
      <c r="N13" s="349">
        <v>1986</v>
      </c>
      <c r="O13" s="369">
        <v>256</v>
      </c>
      <c r="P13" s="350">
        <v>20.988338632942511</v>
      </c>
      <c r="Q13" s="357"/>
      <c r="R13" s="357"/>
      <c r="S13" s="357">
        <v>4.5575930211856868</v>
      </c>
      <c r="T13" s="357">
        <f t="shared" si="0"/>
        <v>25.545931654128196</v>
      </c>
      <c r="U13" s="366">
        <f t="shared" si="1"/>
        <v>0.21714882253863863</v>
      </c>
      <c r="V13" s="366"/>
      <c r="W13" s="370">
        <v>313.7837837837838</v>
      </c>
      <c r="X13" s="339"/>
      <c r="Z13">
        <f t="shared" si="3"/>
        <v>5.7487041620477131</v>
      </c>
      <c r="AA13">
        <f>LN((S13/T13))</f>
        <v>-1.7236834352777373</v>
      </c>
      <c r="AB13">
        <f t="shared" ref="AB13:AB42" si="8">LN(S13/T13)</f>
        <v>-1.7236834352777373</v>
      </c>
      <c r="AC13" s="386">
        <v>-1.723742683714159</v>
      </c>
    </row>
    <row r="14" spans="1:29" ht="15" x14ac:dyDescent="0.25">
      <c r="A14" s="329">
        <v>1988</v>
      </c>
      <c r="B14" s="336">
        <v>17.123668562470819</v>
      </c>
      <c r="C14" s="334" t="s">
        <v>84</v>
      </c>
      <c r="D14" s="334" t="s">
        <v>84</v>
      </c>
      <c r="E14" s="334" t="s">
        <v>84</v>
      </c>
      <c r="F14" s="336">
        <v>4.0666006606458867</v>
      </c>
      <c r="G14" s="357">
        <v>6.7563595996085688</v>
      </c>
      <c r="H14" s="408">
        <f t="shared" si="7"/>
        <v>10.595134611558352</v>
      </c>
      <c r="K14" s="357">
        <f t="shared" si="2"/>
        <v>6.7563595996085688</v>
      </c>
      <c r="L14" s="356"/>
      <c r="M14" s="357">
        <v>4.0666006606458867</v>
      </c>
      <c r="N14" s="349">
        <v>1987</v>
      </c>
      <c r="O14" s="369">
        <v>206</v>
      </c>
      <c r="P14" s="350">
        <v>17.123668562470819</v>
      </c>
      <c r="Q14" s="357"/>
      <c r="R14" s="357"/>
      <c r="S14" s="357">
        <v>2.9369831765041345</v>
      </c>
      <c r="T14" s="357">
        <f t="shared" si="0"/>
        <v>20.060651738974954</v>
      </c>
      <c r="U14" s="366">
        <f t="shared" si="1"/>
        <v>0.17151600229760283</v>
      </c>
      <c r="V14" s="366"/>
      <c r="W14" s="370"/>
      <c r="X14" s="339"/>
    </row>
    <row r="15" spans="1:29" ht="15" x14ac:dyDescent="0.25">
      <c r="A15" s="329">
        <v>1989</v>
      </c>
      <c r="B15" s="336">
        <v>14.391111506989196</v>
      </c>
      <c r="C15" s="334" t="s">
        <v>84</v>
      </c>
      <c r="D15" s="334" t="s">
        <v>84</v>
      </c>
      <c r="E15" s="334" t="s">
        <v>84</v>
      </c>
      <c r="F15" s="336">
        <v>8.6157834704982914</v>
      </c>
      <c r="G15" s="357">
        <v>11.924648474928366</v>
      </c>
      <c r="H15" s="408">
        <f t="shared" si="7"/>
        <v>11.503447488743744</v>
      </c>
      <c r="I15">
        <f>AVERAGE(H9:H15)</f>
        <v>14.114027170392186</v>
      </c>
      <c r="K15" s="357">
        <f t="shared" si="2"/>
        <v>11.924648474928366</v>
      </c>
      <c r="L15" s="356"/>
      <c r="M15" s="357">
        <v>8.6157834704982914</v>
      </c>
      <c r="N15" s="349">
        <v>1988</v>
      </c>
      <c r="O15" s="369">
        <v>436</v>
      </c>
      <c r="P15" s="350">
        <v>14.391111506989196</v>
      </c>
      <c r="Q15" s="357"/>
      <c r="R15" s="357"/>
      <c r="S15" s="357">
        <v>5.6733897202342227</v>
      </c>
      <c r="T15" s="357">
        <f t="shared" si="0"/>
        <v>20.064501227223417</v>
      </c>
      <c r="U15" s="366">
        <f>S15/P15</f>
        <v>0.39422873747304932</v>
      </c>
      <c r="V15" s="366"/>
      <c r="W15" s="370">
        <v>323.83783783783781</v>
      </c>
      <c r="X15" s="339"/>
      <c r="Z15">
        <f t="shared" si="3"/>
        <v>5.7802428899996459</v>
      </c>
      <c r="AA15">
        <f t="shared" ref="AA15:AA41" si="9">LN((S15/T15))</f>
        <v>-1.2631653721946752</v>
      </c>
      <c r="AB15">
        <f t="shared" si="8"/>
        <v>-1.2631653721946752</v>
      </c>
      <c r="AC15" s="386">
        <v>-1.2631933107742406</v>
      </c>
    </row>
    <row r="16" spans="1:29" ht="15" x14ac:dyDescent="0.25">
      <c r="A16" s="329">
        <v>1990</v>
      </c>
      <c r="B16" s="336">
        <v>21.138611022357672</v>
      </c>
      <c r="C16" s="336">
        <v>22.332909871898103</v>
      </c>
      <c r="D16" s="334" t="s">
        <v>84</v>
      </c>
      <c r="E16" s="334" t="s">
        <v>84</v>
      </c>
      <c r="F16" s="336">
        <v>18.007512440889208</v>
      </c>
      <c r="G16" s="357">
        <v>9.6151171545462581</v>
      </c>
      <c r="H16" s="413">
        <f>(B16+C16+F16)/3</f>
        <v>20.493011111714996</v>
      </c>
      <c r="J16" s="357">
        <f>(B16+C16)/2</f>
        <v>21.735760447127888</v>
      </c>
      <c r="K16" s="357">
        <f t="shared" si="2"/>
        <v>9.6151171545462581</v>
      </c>
      <c r="L16" s="357">
        <v>22.332909871898103</v>
      </c>
      <c r="M16" s="357">
        <v>18.007512440889208</v>
      </c>
      <c r="N16" s="349">
        <v>1989</v>
      </c>
      <c r="O16" s="369">
        <v>385</v>
      </c>
      <c r="P16" s="350">
        <v>21.138611022357672</v>
      </c>
      <c r="Q16" s="417"/>
      <c r="R16" s="357"/>
      <c r="S16" s="357">
        <v>5.4913707031807162</v>
      </c>
      <c r="T16" s="357">
        <f t="shared" si="0"/>
        <v>26.629981725538389</v>
      </c>
      <c r="U16" s="366">
        <f t="shared" si="1"/>
        <v>0.2597791641736848</v>
      </c>
      <c r="V16" s="366"/>
      <c r="W16" s="370">
        <v>331.58823529411762</v>
      </c>
      <c r="X16" s="339"/>
      <c r="Z16">
        <f t="shared" si="3"/>
        <v>5.8038939440253587</v>
      </c>
      <c r="AA16">
        <f t="shared" si="9"/>
        <v>-1.5788598165208125</v>
      </c>
      <c r="AB16">
        <f t="shared" si="8"/>
        <v>-1.5788598165208125</v>
      </c>
      <c r="AC16" s="386">
        <v>-1.5788448092539384</v>
      </c>
    </row>
    <row r="17" spans="1:43" ht="15" x14ac:dyDescent="0.25">
      <c r="A17" s="329">
        <v>1991</v>
      </c>
      <c r="B17" s="336">
        <v>22.952499056451177</v>
      </c>
      <c r="C17" s="336">
        <v>26.730474837426488</v>
      </c>
      <c r="D17" s="334" t="s">
        <v>84</v>
      </c>
      <c r="E17" s="334" t="s">
        <v>84</v>
      </c>
      <c r="F17" s="336">
        <v>17.421731668854964</v>
      </c>
      <c r="G17" s="357">
        <v>10.692286369685787</v>
      </c>
      <c r="H17" s="413">
        <f t="shared" ref="H17:H40" si="10">(B17+C17+F17)/3</f>
        <v>22.368235187577543</v>
      </c>
      <c r="J17" s="357">
        <f t="shared" ref="J17:J25" si="11">(B17+C17)/2</f>
        <v>24.841486946938833</v>
      </c>
      <c r="K17" s="357">
        <f t="shared" si="2"/>
        <v>10.692286369685787</v>
      </c>
      <c r="L17" s="357">
        <v>26.730474837426488</v>
      </c>
      <c r="M17" s="357">
        <v>17.421731668854964</v>
      </c>
      <c r="N17" s="349">
        <v>1990</v>
      </c>
      <c r="O17" s="369">
        <v>165</v>
      </c>
      <c r="P17" s="350">
        <v>22.952499056451177</v>
      </c>
      <c r="Q17" s="417"/>
      <c r="R17" s="357"/>
      <c r="S17" s="357">
        <v>3.2119914346895073</v>
      </c>
      <c r="T17" s="357">
        <f t="shared" si="0"/>
        <v>26.164490491140686</v>
      </c>
      <c r="U17" s="366">
        <f t="shared" si="1"/>
        <v>0.13994081545498308</v>
      </c>
      <c r="V17" s="366"/>
      <c r="W17" s="370">
        <v>301.66666666666669</v>
      </c>
      <c r="X17" s="339"/>
      <c r="Z17">
        <f t="shared" si="3"/>
        <v>5.7093226550318166</v>
      </c>
      <c r="AA17">
        <f t="shared" si="9"/>
        <v>-2.0975120372967022</v>
      </c>
      <c r="AB17">
        <f t="shared" si="8"/>
        <v>-2.0975120372967022</v>
      </c>
      <c r="AC17" s="386">
        <v>-2.0974600471825142</v>
      </c>
    </row>
    <row r="18" spans="1:43" ht="15" x14ac:dyDescent="0.25">
      <c r="A18" s="329">
        <v>1992</v>
      </c>
      <c r="B18" s="336">
        <v>32.953940906252633</v>
      </c>
      <c r="C18" s="336">
        <v>26.472483123256296</v>
      </c>
      <c r="D18" s="334" t="s">
        <v>84</v>
      </c>
      <c r="E18" s="336">
        <v>19.685327208063296</v>
      </c>
      <c r="F18" s="336">
        <v>20.941606282787824</v>
      </c>
      <c r="G18" s="357">
        <v>15.148770291749312</v>
      </c>
      <c r="H18" s="413">
        <f t="shared" si="10"/>
        <v>26.789343437432251</v>
      </c>
      <c r="J18" s="357">
        <f t="shared" si="11"/>
        <v>29.713212014754465</v>
      </c>
      <c r="K18" s="357">
        <f t="shared" si="2"/>
        <v>15.148770291749312</v>
      </c>
      <c r="L18" s="357">
        <v>26.472483123256296</v>
      </c>
      <c r="M18" s="357">
        <v>20.941606282787824</v>
      </c>
      <c r="N18" s="349">
        <v>1991</v>
      </c>
      <c r="O18" s="369">
        <v>317</v>
      </c>
      <c r="P18" s="350">
        <v>32.953940906252633</v>
      </c>
      <c r="Q18" s="417"/>
      <c r="R18" s="417"/>
      <c r="S18" s="357">
        <v>5.5711775043936731</v>
      </c>
      <c r="T18" s="357">
        <f t="shared" si="0"/>
        <v>38.525118410646307</v>
      </c>
      <c r="U18" s="366">
        <f t="shared" si="1"/>
        <v>0.16905952220532769</v>
      </c>
      <c r="V18" s="366"/>
      <c r="W18" s="370">
        <v>304.33333333333331</v>
      </c>
      <c r="X18" s="339"/>
      <c r="Z18">
        <f t="shared" si="3"/>
        <v>5.7181235919268589</v>
      </c>
      <c r="AA18">
        <f t="shared" si="9"/>
        <v>-1.9337040220618156</v>
      </c>
      <c r="AB18">
        <f t="shared" si="8"/>
        <v>-1.9337040220618156</v>
      </c>
      <c r="AC18" s="386">
        <v>-1.9336678741906257</v>
      </c>
    </row>
    <row r="19" spans="1:43" ht="15" x14ac:dyDescent="0.25">
      <c r="A19" s="329">
        <v>1993</v>
      </c>
      <c r="B19" s="336">
        <v>24.091164391156344</v>
      </c>
      <c r="C19" s="336">
        <v>16.360275068725652</v>
      </c>
      <c r="D19" s="334" t="s">
        <v>84</v>
      </c>
      <c r="E19" s="336">
        <v>16.509252784046961</v>
      </c>
      <c r="F19" s="336">
        <v>12.988952658036201</v>
      </c>
      <c r="G19" s="357">
        <v>21.883076605714233</v>
      </c>
      <c r="H19" s="413">
        <f t="shared" si="10"/>
        <v>17.813464039306066</v>
      </c>
      <c r="J19" s="357">
        <f t="shared" si="11"/>
        <v>20.225719729940998</v>
      </c>
      <c r="K19" s="357">
        <f t="shared" si="2"/>
        <v>21.883076605714233</v>
      </c>
      <c r="L19" s="357">
        <v>16.360275068725652</v>
      </c>
      <c r="M19" s="357">
        <v>12.988952658036201</v>
      </c>
      <c r="N19" s="349">
        <v>1992</v>
      </c>
      <c r="O19" s="369">
        <v>271</v>
      </c>
      <c r="P19" s="350">
        <v>24.091164391156344</v>
      </c>
      <c r="Q19" s="417"/>
      <c r="R19" s="417"/>
      <c r="S19" s="357">
        <v>4.1085506367495448</v>
      </c>
      <c r="T19" s="357">
        <f t="shared" si="0"/>
        <v>28.199715027905889</v>
      </c>
      <c r="U19" s="366">
        <f t="shared" si="1"/>
        <v>0.17054180404238817</v>
      </c>
      <c r="V19" s="366"/>
      <c r="W19" s="370">
        <v>325.15178571428572</v>
      </c>
      <c r="X19" s="339"/>
      <c r="Z19">
        <f t="shared" si="3"/>
        <v>5.7842921062708186</v>
      </c>
      <c r="AA19">
        <f t="shared" si="9"/>
        <v>-1.9262415493112972</v>
      </c>
      <c r="AB19">
        <f t="shared" si="8"/>
        <v>-1.9262415493112972</v>
      </c>
      <c r="AC19" s="386">
        <v>-1.9262129458275461</v>
      </c>
    </row>
    <row r="20" spans="1:43" ht="15" x14ac:dyDescent="0.25">
      <c r="A20" s="329">
        <v>1994</v>
      </c>
      <c r="B20" s="336">
        <v>35.330517598883262</v>
      </c>
      <c r="C20" s="336">
        <v>30.216463755784535</v>
      </c>
      <c r="D20" s="334" t="s">
        <v>84</v>
      </c>
      <c r="E20" s="336">
        <v>23.013007885497</v>
      </c>
      <c r="F20" s="336">
        <v>19.53949429196674</v>
      </c>
      <c r="G20" s="357">
        <v>13.85761737506234</v>
      </c>
      <c r="H20" s="413">
        <f t="shared" si="10"/>
        <v>28.362158548878181</v>
      </c>
      <c r="I20">
        <f>AVERAGE(H16:H20)</f>
        <v>23.165242464981809</v>
      </c>
      <c r="J20" s="357">
        <f t="shared" si="11"/>
        <v>32.773490677333896</v>
      </c>
      <c r="K20" s="357">
        <f t="shared" si="2"/>
        <v>13.85761737506234</v>
      </c>
      <c r="L20" s="357">
        <v>30.216463755784535</v>
      </c>
      <c r="M20" s="357">
        <v>19.53949429196674</v>
      </c>
      <c r="N20" s="349">
        <v>1993</v>
      </c>
      <c r="O20" s="369">
        <v>910</v>
      </c>
      <c r="P20" s="350">
        <v>35.330517598883262</v>
      </c>
      <c r="Q20" s="417"/>
      <c r="R20" s="417"/>
      <c r="S20" s="357">
        <v>10.523881114837517</v>
      </c>
      <c r="T20" s="357">
        <f t="shared" si="0"/>
        <v>45.854398713720776</v>
      </c>
      <c r="U20" s="366">
        <f t="shared" si="1"/>
        <v>0.29786942932220611</v>
      </c>
      <c r="V20" s="366"/>
      <c r="W20" s="370">
        <v>332.47039473684208</v>
      </c>
      <c r="X20" s="339"/>
      <c r="Z20">
        <f t="shared" si="3"/>
        <v>5.8065508177463192</v>
      </c>
      <c r="AA20">
        <f t="shared" si="9"/>
        <v>-1.4718240646117786</v>
      </c>
      <c r="AB20">
        <f t="shared" si="8"/>
        <v>-1.4718240646117786</v>
      </c>
      <c r="AC20" s="386">
        <v>-1.4718165345580527</v>
      </c>
    </row>
    <row r="21" spans="1:43" ht="15" x14ac:dyDescent="0.25">
      <c r="A21" s="329">
        <v>1995</v>
      </c>
      <c r="B21" s="336">
        <v>10.940622714295472</v>
      </c>
      <c r="C21" s="336">
        <v>16.533108779678816</v>
      </c>
      <c r="D21" s="334" t="s">
        <v>84</v>
      </c>
      <c r="E21" s="336">
        <v>11.867530304917624</v>
      </c>
      <c r="F21" s="336">
        <v>13.547521768796816</v>
      </c>
      <c r="G21" s="357">
        <v>5.0408526039673518</v>
      </c>
      <c r="H21" s="412">
        <f t="shared" si="10"/>
        <v>13.673751087590368</v>
      </c>
      <c r="J21" s="357">
        <f t="shared" si="11"/>
        <v>13.736865746987144</v>
      </c>
      <c r="K21" s="357">
        <f t="shared" si="2"/>
        <v>5.0408526039673518</v>
      </c>
      <c r="L21" s="357">
        <v>16.533108779678816</v>
      </c>
      <c r="M21" s="357">
        <v>13.547521768796816</v>
      </c>
      <c r="N21" s="349">
        <v>1994</v>
      </c>
      <c r="O21" s="369">
        <v>229</v>
      </c>
      <c r="P21" s="350">
        <v>10.940622714295472</v>
      </c>
      <c r="Q21" s="417"/>
      <c r="R21" s="417"/>
      <c r="S21" s="357">
        <v>3.0553702468312207</v>
      </c>
      <c r="T21" s="357">
        <f t="shared" si="0"/>
        <v>13.995992961126692</v>
      </c>
      <c r="U21" s="366">
        <f t="shared" si="1"/>
        <v>0.27926840424164767</v>
      </c>
      <c r="V21" s="366"/>
      <c r="W21" s="370">
        <v>306.73913043478262</v>
      </c>
      <c r="X21" s="339"/>
      <c r="Z21">
        <f t="shared" si="3"/>
        <v>5.7259976483577644</v>
      </c>
      <c r="AA21">
        <f t="shared" si="9"/>
        <v>-1.5218702925793259</v>
      </c>
      <c r="AB21">
        <f t="shared" si="8"/>
        <v>-1.5218702925793259</v>
      </c>
      <c r="AC21" s="386">
        <v>-1.5218706048420576</v>
      </c>
    </row>
    <row r="22" spans="1:43" ht="15" x14ac:dyDescent="0.25">
      <c r="A22" s="329">
        <v>1996</v>
      </c>
      <c r="B22" s="336">
        <v>23.363972813135174</v>
      </c>
      <c r="C22" s="336">
        <v>12.943426195394036</v>
      </c>
      <c r="D22" s="334" t="s">
        <v>84</v>
      </c>
      <c r="E22" s="336">
        <v>9.5506386791945985</v>
      </c>
      <c r="F22" s="336">
        <v>17.730362862048622</v>
      </c>
      <c r="G22" s="357">
        <v>6.4013922326118893</v>
      </c>
      <c r="H22" s="412">
        <f t="shared" si="10"/>
        <v>18.012587290192609</v>
      </c>
      <c r="J22" s="357">
        <f t="shared" si="11"/>
        <v>18.153699504264605</v>
      </c>
      <c r="K22" s="357">
        <f t="shared" si="2"/>
        <v>6.4013922326118893</v>
      </c>
      <c r="L22" s="357">
        <v>12.943426195394036</v>
      </c>
      <c r="M22" s="357">
        <v>17.730362862048622</v>
      </c>
      <c r="N22" s="349">
        <v>1995</v>
      </c>
      <c r="O22" s="369">
        <v>283</v>
      </c>
      <c r="P22" s="350">
        <v>23.363972813135174</v>
      </c>
      <c r="Q22" s="417"/>
      <c r="R22" s="417"/>
      <c r="S22" s="357">
        <v>5.7944307944307942</v>
      </c>
      <c r="T22" s="357">
        <f t="shared" si="0"/>
        <v>29.158403607565969</v>
      </c>
      <c r="U22" s="366">
        <f t="shared" si="1"/>
        <v>0.24800708512951095</v>
      </c>
      <c r="V22" s="366"/>
      <c r="W22" s="370">
        <v>309.71698113207549</v>
      </c>
      <c r="X22" s="339"/>
      <c r="Z22">
        <f t="shared" si="3"/>
        <v>5.7356589163835716</v>
      </c>
      <c r="AA22">
        <f t="shared" si="9"/>
        <v>-1.6158459112728634</v>
      </c>
      <c r="AB22">
        <f t="shared" si="8"/>
        <v>-1.6158459112728634</v>
      </c>
      <c r="AC22" s="386">
        <v>-1.6157781943286835</v>
      </c>
    </row>
    <row r="23" spans="1:43" ht="15" x14ac:dyDescent="0.25">
      <c r="A23" s="329">
        <v>1997</v>
      </c>
      <c r="B23" s="336">
        <v>19.241649270166956</v>
      </c>
      <c r="C23" s="336">
        <v>13.251798142786908</v>
      </c>
      <c r="D23" s="334" t="s">
        <v>84</v>
      </c>
      <c r="E23" s="336">
        <v>6.6940611743398923</v>
      </c>
      <c r="F23" s="336">
        <v>8.3470737887492312</v>
      </c>
      <c r="G23" s="357">
        <v>14.633458751047639</v>
      </c>
      <c r="H23" s="412">
        <f t="shared" si="10"/>
        <v>13.613507067234366</v>
      </c>
      <c r="J23" s="357">
        <f t="shared" si="11"/>
        <v>16.246723706476931</v>
      </c>
      <c r="K23" s="357">
        <f t="shared" si="2"/>
        <v>14.633458751047639</v>
      </c>
      <c r="L23" s="357">
        <v>13.251798142786908</v>
      </c>
      <c r="M23" s="357">
        <v>8.3470737887492312</v>
      </c>
      <c r="N23" s="349">
        <v>1996</v>
      </c>
      <c r="O23" s="369">
        <v>168</v>
      </c>
      <c r="P23" s="350">
        <v>19.241649270166956</v>
      </c>
      <c r="Q23" s="417"/>
      <c r="R23" s="417"/>
      <c r="S23" s="357">
        <v>4.2704626334519578</v>
      </c>
      <c r="T23" s="357">
        <f t="shared" si="0"/>
        <v>23.512111903618916</v>
      </c>
      <c r="U23" s="366">
        <f t="shared" si="1"/>
        <v>0.22193849256326786</v>
      </c>
      <c r="V23" s="366"/>
      <c r="W23" s="370">
        <v>302.75362318840581</v>
      </c>
      <c r="X23" s="339"/>
      <c r="Z23">
        <f t="shared" si="3"/>
        <v>5.7129193499533519</v>
      </c>
      <c r="AA23">
        <f t="shared" si="9"/>
        <v>-1.7057935220887233</v>
      </c>
      <c r="AB23">
        <f t="shared" si="8"/>
        <v>-1.7057935220887233</v>
      </c>
      <c r="AC23" s="386">
        <v>-1.7058297581091661</v>
      </c>
    </row>
    <row r="24" spans="1:43" ht="15" x14ac:dyDescent="0.25">
      <c r="A24" s="329">
        <v>1998</v>
      </c>
      <c r="B24" s="336">
        <v>23.120417170785039</v>
      </c>
      <c r="C24" s="336">
        <v>17.703912478402</v>
      </c>
      <c r="D24" s="334" t="s">
        <v>84</v>
      </c>
      <c r="E24" s="336">
        <v>14.038225902054913</v>
      </c>
      <c r="F24" s="336">
        <v>11.676640891305189</v>
      </c>
      <c r="G24" s="357">
        <v>20.025640811823926</v>
      </c>
      <c r="H24" s="412">
        <f t="shared" si="10"/>
        <v>17.50032351349741</v>
      </c>
      <c r="J24" s="357">
        <f t="shared" si="11"/>
        <v>20.412164824593518</v>
      </c>
      <c r="K24" s="357">
        <f t="shared" si="2"/>
        <v>20.025640811823926</v>
      </c>
      <c r="L24" s="357">
        <v>17.703912478402</v>
      </c>
      <c r="M24" s="357">
        <v>11.676640891305189</v>
      </c>
      <c r="N24" s="349">
        <v>1997</v>
      </c>
      <c r="O24" s="369">
        <v>381</v>
      </c>
      <c r="P24" s="350">
        <v>23.120417170785039</v>
      </c>
      <c r="Q24" s="417"/>
      <c r="R24" s="417"/>
      <c r="S24" s="357">
        <v>6.2346588119783997</v>
      </c>
      <c r="T24" s="357">
        <f t="shared" si="0"/>
        <v>29.355075982763438</v>
      </c>
      <c r="U24" s="366">
        <f t="shared" si="1"/>
        <v>0.26966030785363659</v>
      </c>
      <c r="V24" s="366">
        <f t="shared" ref="V24:V41" si="12">(B24+C24)/2</f>
        <v>20.412164824593518</v>
      </c>
      <c r="W24" s="370">
        <v>324.45</v>
      </c>
      <c r="X24" s="359">
        <v>222.1</v>
      </c>
      <c r="Y24" s="338">
        <f>AVERAGE(X24:X44)</f>
        <v>202.05309838151663</v>
      </c>
      <c r="Z24">
        <f t="shared" si="3"/>
        <v>5.7821314410671771</v>
      </c>
      <c r="AA24">
        <f t="shared" si="9"/>
        <v>-1.54934162170251</v>
      </c>
      <c r="AB24">
        <f t="shared" si="8"/>
        <v>-1.54934162170251</v>
      </c>
      <c r="AC24" s="386">
        <v>-1.5494036674920404</v>
      </c>
    </row>
    <row r="25" spans="1:43" ht="15" x14ac:dyDescent="0.25">
      <c r="A25" s="329">
        <v>1999</v>
      </c>
      <c r="B25" s="336">
        <v>19.33932517444871</v>
      </c>
      <c r="C25" s="336">
        <v>14.093062063722309</v>
      </c>
      <c r="D25" s="334" t="s">
        <v>84</v>
      </c>
      <c r="E25" s="336">
        <v>9.8912763522899514</v>
      </c>
      <c r="F25" s="336">
        <v>14.129480449439576</v>
      </c>
      <c r="G25" s="357">
        <v>7.6853771592799127</v>
      </c>
      <c r="H25" s="412">
        <f t="shared" si="10"/>
        <v>15.853955895870198</v>
      </c>
      <c r="J25" s="357">
        <f t="shared" si="11"/>
        <v>16.716193619085509</v>
      </c>
      <c r="K25" s="357">
        <f t="shared" si="2"/>
        <v>7.6853771592799127</v>
      </c>
      <c r="L25" s="357">
        <v>14.093062063722309</v>
      </c>
      <c r="M25" s="357">
        <v>14.129480449439576</v>
      </c>
      <c r="N25" s="349">
        <v>1998</v>
      </c>
      <c r="O25" s="369">
        <v>449</v>
      </c>
      <c r="P25" s="350">
        <v>19.33932517444871</v>
      </c>
      <c r="Q25" s="417"/>
      <c r="R25" s="417"/>
      <c r="S25" s="357">
        <v>6.0512129380053912</v>
      </c>
      <c r="T25" s="357">
        <f t="shared" si="0"/>
        <v>25.390538112454102</v>
      </c>
      <c r="U25" s="366">
        <f t="shared" si="1"/>
        <v>0.31289679879835247</v>
      </c>
      <c r="V25" s="366">
        <f t="shared" si="12"/>
        <v>16.716193619085509</v>
      </c>
      <c r="W25" s="370">
        <v>317.79104477611941</v>
      </c>
      <c r="X25" s="359">
        <v>215.42</v>
      </c>
      <c r="Y25" s="338">
        <f>Y24</f>
        <v>202.05309838151663</v>
      </c>
      <c r="Z25">
        <f t="shared" si="3"/>
        <v>5.7613940749016823</v>
      </c>
      <c r="AA25">
        <f t="shared" si="9"/>
        <v>-1.4341178517968143</v>
      </c>
      <c r="AB25">
        <f t="shared" si="8"/>
        <v>-1.4341178517968143</v>
      </c>
      <c r="AC25" s="386">
        <v>-1.4341295673940542</v>
      </c>
    </row>
    <row r="26" spans="1:43" ht="15" x14ac:dyDescent="0.25">
      <c r="A26" s="329">
        <v>2000</v>
      </c>
      <c r="B26" s="336">
        <v>18.517766497461928</v>
      </c>
      <c r="C26" s="336">
        <v>13.13156044166762</v>
      </c>
      <c r="D26" s="336">
        <f>ChilkatTable!S19</f>
        <v>10.119024522737854</v>
      </c>
      <c r="E26" s="336">
        <v>6.4512420860652435</v>
      </c>
      <c r="F26" s="336">
        <v>6.7652949897233849</v>
      </c>
      <c r="G26" s="357">
        <v>12.889865937256644</v>
      </c>
      <c r="H26" s="412">
        <f t="shared" si="10"/>
        <v>12.804873976284311</v>
      </c>
      <c r="J26" s="357">
        <f>(B26+C26)/2</f>
        <v>15.824663469564774</v>
      </c>
      <c r="K26" s="357">
        <f t="shared" si="2"/>
        <v>12.889865937256644</v>
      </c>
      <c r="L26" s="357">
        <v>13.13156044166762</v>
      </c>
      <c r="M26" s="357">
        <v>6.7652949897233849</v>
      </c>
      <c r="N26" s="349">
        <v>1999</v>
      </c>
      <c r="O26" s="369">
        <v>149</v>
      </c>
      <c r="P26" s="350">
        <v>18.517766497461928</v>
      </c>
      <c r="Q26" s="417"/>
      <c r="R26" s="417"/>
      <c r="S26" s="357">
        <v>2.8473151156124596</v>
      </c>
      <c r="T26" s="357">
        <f t="shared" si="0"/>
        <v>21.365081613074388</v>
      </c>
      <c r="U26" s="366">
        <f t="shared" si="1"/>
        <v>0.15376126035516846</v>
      </c>
      <c r="V26" s="366">
        <f t="shared" si="12"/>
        <v>15.824663469564774</v>
      </c>
      <c r="W26" s="370">
        <v>300.09302325581393</v>
      </c>
      <c r="X26" s="359">
        <v>205.1</v>
      </c>
      <c r="Y26" s="338">
        <f t="shared" ref="Y26:Y42" si="13">Y25</f>
        <v>202.05309838151663</v>
      </c>
      <c r="Z26">
        <f t="shared" si="3"/>
        <v>5.7040925041114825</v>
      </c>
      <c r="AA26">
        <f t="shared" si="9"/>
        <v>-2.0153814034699842</v>
      </c>
      <c r="AB26">
        <f t="shared" si="8"/>
        <v>-2.0153814034699842</v>
      </c>
      <c r="AC26" s="386">
        <v>-2.0153503477695853</v>
      </c>
    </row>
    <row r="27" spans="1:43" ht="15" x14ac:dyDescent="0.25">
      <c r="A27" s="329">
        <v>2001</v>
      </c>
      <c r="B27" s="336">
        <v>28.297570627658363</v>
      </c>
      <c r="C27" s="336">
        <v>13.693784188724248</v>
      </c>
      <c r="D27" s="357">
        <f>ChilkatTable!S20</f>
        <v>13.144246435329954</v>
      </c>
      <c r="E27" s="336">
        <v>8.9868367646871103</v>
      </c>
      <c r="F27" s="336">
        <v>13.372528989120239</v>
      </c>
      <c r="G27" s="357">
        <v>8.4056228884092761</v>
      </c>
      <c r="H27" s="412">
        <f t="shared" si="10"/>
        <v>18.454627935167618</v>
      </c>
      <c r="J27" s="357">
        <f t="shared" ref="J27:J41" si="14">(B27+C27)/2</f>
        <v>20.995677408191305</v>
      </c>
      <c r="K27" s="357">
        <f t="shared" si="2"/>
        <v>8.4056228884092761</v>
      </c>
      <c r="L27" s="357">
        <v>13.693784188724248</v>
      </c>
      <c r="M27" s="357">
        <v>13.372528989120239</v>
      </c>
      <c r="N27" s="349">
        <v>2000</v>
      </c>
      <c r="O27" s="369">
        <v>206</v>
      </c>
      <c r="P27" s="350">
        <v>28.297570627658363</v>
      </c>
      <c r="Q27" s="417"/>
      <c r="R27" s="417"/>
      <c r="S27" s="357">
        <v>4.1457033608371905</v>
      </c>
      <c r="T27" s="357">
        <f t="shared" si="0"/>
        <v>32.443273988495555</v>
      </c>
      <c r="U27" s="366">
        <f t="shared" si="1"/>
        <v>0.14650386124613587</v>
      </c>
      <c r="V27" s="366">
        <f t="shared" si="12"/>
        <v>20.995677408191305</v>
      </c>
      <c r="W27" s="370">
        <v>311.2</v>
      </c>
      <c r="X27" s="359">
        <v>205.83</v>
      </c>
      <c r="Y27" s="338">
        <f t="shared" si="13"/>
        <v>202.05309838151663</v>
      </c>
      <c r="Z27">
        <f t="shared" si="3"/>
        <v>5.7404357923042362</v>
      </c>
      <c r="AA27">
        <f t="shared" si="9"/>
        <v>-2.0574206854089123</v>
      </c>
      <c r="AB27">
        <f t="shared" si="8"/>
        <v>-2.0574206854089123</v>
      </c>
      <c r="AC27" s="386">
        <v>-2.0573547542769925</v>
      </c>
    </row>
    <row r="28" spans="1:43" ht="15" x14ac:dyDescent="0.25">
      <c r="A28" s="329">
        <v>2002</v>
      </c>
      <c r="B28" s="336">
        <v>26.75487603618517</v>
      </c>
      <c r="C28" s="336">
        <v>21.353244776023462</v>
      </c>
      <c r="D28" s="357">
        <f>ChilkatTable!S21</f>
        <v>11.445507729784431</v>
      </c>
      <c r="E28" s="336">
        <v>11.059519673808765</v>
      </c>
      <c r="F28" s="336">
        <v>14.81609326544517</v>
      </c>
      <c r="G28" s="357">
        <v>14.689380783739431</v>
      </c>
      <c r="H28" s="412">
        <f>(B28+C28+F28)/3</f>
        <v>20.974738025884601</v>
      </c>
      <c r="J28" s="357">
        <f t="shared" si="14"/>
        <v>24.054060406104316</v>
      </c>
      <c r="K28" s="357">
        <f t="shared" si="2"/>
        <v>14.689380783739431</v>
      </c>
      <c r="L28" s="357">
        <v>21.353244776023462</v>
      </c>
      <c r="M28" s="357">
        <v>14.81609326544517</v>
      </c>
      <c r="N28" s="349">
        <v>2001</v>
      </c>
      <c r="O28" s="369">
        <v>142</v>
      </c>
      <c r="P28" s="350">
        <v>26.75487603618517</v>
      </c>
      <c r="Q28" s="417"/>
      <c r="R28" s="417"/>
      <c r="S28" s="357">
        <v>2.3745819397993309</v>
      </c>
      <c r="T28" s="357">
        <f t="shared" si="0"/>
        <v>29.129457975984501</v>
      </c>
      <c r="U28" s="366">
        <f t="shared" si="1"/>
        <v>8.8753240216391943E-2</v>
      </c>
      <c r="V28" s="366">
        <f t="shared" si="12"/>
        <v>24.054060406104316</v>
      </c>
      <c r="W28" s="370">
        <v>303.47619047619048</v>
      </c>
      <c r="X28" s="359">
        <v>182.99</v>
      </c>
      <c r="Y28" s="338">
        <f t="shared" si="13"/>
        <v>202.05309838151663</v>
      </c>
      <c r="Z28">
        <f t="shared" si="3"/>
        <v>5.7153031575908715</v>
      </c>
      <c r="AA28">
        <f t="shared" si="9"/>
        <v>-2.5069285670812755</v>
      </c>
      <c r="AB28">
        <f t="shared" si="8"/>
        <v>-2.5069285670812755</v>
      </c>
      <c r="AC28" s="386">
        <v>-2.5069620998111874</v>
      </c>
      <c r="AQ28" s="368" t="s">
        <v>310</v>
      </c>
    </row>
    <row r="29" spans="1:43" ht="15" x14ac:dyDescent="0.25">
      <c r="A29" s="329">
        <v>2003</v>
      </c>
      <c r="B29" s="336">
        <v>25.000564615203018</v>
      </c>
      <c r="C29" s="336">
        <v>21.243938065236875</v>
      </c>
      <c r="D29" s="357">
        <f>ChilkatTable!S22</f>
        <v>12.917842816817709</v>
      </c>
      <c r="E29" s="336">
        <v>9.6802581793588356</v>
      </c>
      <c r="F29" s="336">
        <v>13.696964601647243</v>
      </c>
      <c r="G29" s="357">
        <v>17.146848280568619</v>
      </c>
      <c r="H29" s="412">
        <f t="shared" si="10"/>
        <v>19.980489094029046</v>
      </c>
      <c r="J29" s="357">
        <f t="shared" si="14"/>
        <v>23.122251340219947</v>
      </c>
      <c r="K29" s="357">
        <f t="shared" si="2"/>
        <v>17.146848280568619</v>
      </c>
      <c r="L29" s="357">
        <v>21.243938065236875</v>
      </c>
      <c r="M29" s="357">
        <v>13.696964601647243</v>
      </c>
      <c r="N29" s="349">
        <v>2002</v>
      </c>
      <c r="O29" s="369">
        <v>104</v>
      </c>
      <c r="P29" s="350">
        <v>25.000564615203018</v>
      </c>
      <c r="Q29" s="417"/>
      <c r="R29" s="417"/>
      <c r="S29" s="357">
        <v>2.8761061946902653</v>
      </c>
      <c r="T29" s="357">
        <f t="shared" si="0"/>
        <v>27.876670809893284</v>
      </c>
      <c r="U29" s="366">
        <f t="shared" si="1"/>
        <v>0.11504164961703645</v>
      </c>
      <c r="V29" s="366">
        <f t="shared" si="12"/>
        <v>23.122251340219947</v>
      </c>
      <c r="W29" s="370">
        <v>298.88235294117646</v>
      </c>
      <c r="X29" s="359">
        <v>207.59</v>
      </c>
      <c r="Y29" s="338">
        <f t="shared" si="13"/>
        <v>202.05309838151663</v>
      </c>
      <c r="Z29">
        <f t="shared" si="3"/>
        <v>5.7000500275375154</v>
      </c>
      <c r="AA29">
        <f t="shared" si="9"/>
        <v>-2.2713528037349628</v>
      </c>
      <c r="AB29">
        <f t="shared" si="8"/>
        <v>-2.2713528037349628</v>
      </c>
      <c r="AC29" s="386">
        <v>-2.2713325494899412</v>
      </c>
    </row>
    <row r="30" spans="1:43" ht="15" x14ac:dyDescent="0.25">
      <c r="A30" s="329">
        <v>2004</v>
      </c>
      <c r="B30" s="336">
        <v>20.242688222966915</v>
      </c>
      <c r="C30" s="336">
        <v>19.802798154554136</v>
      </c>
      <c r="D30" s="357">
        <f>ChilkatTable!S23</f>
        <v>10.073094150507501</v>
      </c>
      <c r="E30" s="336">
        <v>8.4899630788145597</v>
      </c>
      <c r="F30" s="336">
        <v>10.834275567289264</v>
      </c>
      <c r="G30" s="357">
        <v>11.915898405707013</v>
      </c>
      <c r="H30" s="412">
        <f t="shared" si="10"/>
        <v>16.959920648270103</v>
      </c>
      <c r="I30">
        <f>AVERAGE(H21:H30)</f>
        <v>16.782877453402062</v>
      </c>
      <c r="J30" s="357">
        <f t="shared" si="14"/>
        <v>20.022743188760526</v>
      </c>
      <c r="K30" s="357">
        <f t="shared" si="2"/>
        <v>11.915898405707013</v>
      </c>
      <c r="L30" s="357">
        <v>19.802798154554136</v>
      </c>
      <c r="M30" s="357">
        <v>10.834275567289264</v>
      </c>
      <c r="N30" s="349">
        <v>2003</v>
      </c>
      <c r="O30" s="369">
        <v>244</v>
      </c>
      <c r="P30" s="350">
        <v>20.242688222966915</v>
      </c>
      <c r="Q30" s="417"/>
      <c r="R30" s="417"/>
      <c r="S30" s="357">
        <v>6.6035182679296351</v>
      </c>
      <c r="T30" s="357">
        <f t="shared" si="0"/>
        <v>26.846206490896549</v>
      </c>
      <c r="U30" s="366">
        <f t="shared" si="1"/>
        <v>0.32621745665367835</v>
      </c>
      <c r="V30" s="366">
        <f t="shared" si="12"/>
        <v>20.022743188760526</v>
      </c>
      <c r="W30" s="370">
        <v>346.01587301587301</v>
      </c>
      <c r="X30" s="359">
        <v>199.79</v>
      </c>
      <c r="Y30" s="338">
        <f t="shared" si="13"/>
        <v>202.05309838151663</v>
      </c>
      <c r="Z30">
        <f t="shared" si="3"/>
        <v>5.846484649773882</v>
      </c>
      <c r="AA30">
        <f t="shared" si="9"/>
        <v>-1.402521947818931</v>
      </c>
      <c r="AB30">
        <f t="shared" si="8"/>
        <v>-1.402521947818931</v>
      </c>
      <c r="AC30" s="386">
        <v>-1.4025548819916709</v>
      </c>
    </row>
    <row r="31" spans="1:43" ht="15" x14ac:dyDescent="0.25">
      <c r="A31" s="329">
        <v>2005</v>
      </c>
      <c r="B31" s="336">
        <v>15.981534403165531</v>
      </c>
      <c r="C31" s="336">
        <v>9.6815999967245574</v>
      </c>
      <c r="D31" s="357">
        <f>ChilkatTable!S24</f>
        <v>8.3919612219313358</v>
      </c>
      <c r="E31" s="336">
        <v>5.9346660532292539</v>
      </c>
      <c r="F31" s="336">
        <v>9.1479206169161387</v>
      </c>
      <c r="G31" s="357">
        <v>8.3916681141519334</v>
      </c>
      <c r="H31" s="414">
        <f t="shared" si="10"/>
        <v>11.603685005602076</v>
      </c>
      <c r="J31" s="357">
        <f t="shared" si="14"/>
        <v>12.831567199945045</v>
      </c>
      <c r="K31" s="357">
        <f t="shared" si="2"/>
        <v>8.3916681141519334</v>
      </c>
      <c r="L31" s="357">
        <v>9.6815999967245574</v>
      </c>
      <c r="M31" s="357">
        <v>9.1479206169161387</v>
      </c>
      <c r="N31" s="349">
        <v>2004</v>
      </c>
      <c r="O31" s="369">
        <v>226</v>
      </c>
      <c r="P31" s="350">
        <v>15.981534403165531</v>
      </c>
      <c r="Q31" s="417"/>
      <c r="R31" s="417"/>
      <c r="S31" s="357">
        <v>4.9681248626071666</v>
      </c>
      <c r="T31" s="357">
        <f t="shared" si="0"/>
        <v>20.949659265772699</v>
      </c>
      <c r="U31" s="366">
        <f t="shared" si="1"/>
        <v>0.3108665749656121</v>
      </c>
      <c r="V31" s="366">
        <f t="shared" si="12"/>
        <v>12.831567199945045</v>
      </c>
      <c r="W31" s="370">
        <v>325.47916666666669</v>
      </c>
      <c r="X31" s="359">
        <v>201.92756670556992</v>
      </c>
      <c r="Y31" s="338">
        <f t="shared" si="13"/>
        <v>202.05309838151663</v>
      </c>
      <c r="Z31">
        <f t="shared" si="3"/>
        <v>5.7852984555040123</v>
      </c>
      <c r="AA31">
        <f t="shared" si="9"/>
        <v>-1.4390799043819162</v>
      </c>
      <c r="AB31">
        <f t="shared" si="8"/>
        <v>-1.4390799043819162</v>
      </c>
      <c r="AC31" s="386">
        <v>-1.4390799043819162</v>
      </c>
    </row>
    <row r="32" spans="1:43" ht="15" x14ac:dyDescent="0.25">
      <c r="A32" s="329">
        <v>2006</v>
      </c>
      <c r="B32" s="336">
        <v>20.5271751807791</v>
      </c>
      <c r="C32" s="336">
        <v>13.815727007633757</v>
      </c>
      <c r="D32" s="357">
        <f>ChilkatTable!S25</f>
        <v>8.0363439845517046</v>
      </c>
      <c r="E32" s="336">
        <v>10.539284951491167</v>
      </c>
      <c r="F32" s="336">
        <v>6.8332431111672909</v>
      </c>
      <c r="G32" s="357">
        <v>9.9665028962744291</v>
      </c>
      <c r="H32" s="414">
        <f t="shared" si="10"/>
        <v>13.725381766526716</v>
      </c>
      <c r="J32" s="357">
        <f t="shared" si="14"/>
        <v>17.171451094206429</v>
      </c>
      <c r="K32" s="357">
        <f t="shared" si="2"/>
        <v>9.9665028962744291</v>
      </c>
      <c r="L32" s="357">
        <v>13.815727007633757</v>
      </c>
      <c r="M32" s="357">
        <v>6.8332431111672909</v>
      </c>
      <c r="N32" s="349">
        <v>2005</v>
      </c>
      <c r="O32" s="369">
        <v>256</v>
      </c>
      <c r="P32" s="350">
        <v>20.5271751807791</v>
      </c>
      <c r="Q32" s="417" t="s">
        <v>429</v>
      </c>
      <c r="R32" s="417"/>
      <c r="S32" s="357">
        <v>5.9715418707721017</v>
      </c>
      <c r="T32" s="357">
        <f t="shared" si="0"/>
        <v>26.498717051551203</v>
      </c>
      <c r="U32" s="366">
        <f t="shared" si="1"/>
        <v>0.29090909090909089</v>
      </c>
      <c r="V32" s="366">
        <f t="shared" si="12"/>
        <v>17.171451094206429</v>
      </c>
      <c r="W32" s="370">
        <v>323.56756756756755</v>
      </c>
      <c r="X32" s="359">
        <v>205.57855881719661</v>
      </c>
      <c r="Y32" s="338">
        <f t="shared" si="13"/>
        <v>202.05309838151663</v>
      </c>
      <c r="Z32">
        <f t="shared" si="3"/>
        <v>5.7794079563283649</v>
      </c>
      <c r="AA32">
        <f t="shared" si="9"/>
        <v>-1.4900911548015343</v>
      </c>
      <c r="AB32">
        <f t="shared" si="8"/>
        <v>-1.4900911548015343</v>
      </c>
      <c r="AC32" s="386">
        <v>-1.4900911548015341</v>
      </c>
    </row>
    <row r="33" spans="1:31" ht="15" x14ac:dyDescent="0.25">
      <c r="A33" s="329">
        <v>2007</v>
      </c>
      <c r="B33" s="336">
        <v>11.871539313399779</v>
      </c>
      <c r="C33" s="336">
        <v>8.4306036568628837</v>
      </c>
      <c r="D33" s="357">
        <f>ChilkatTable!S26</f>
        <v>4.3713262926081526</v>
      </c>
      <c r="E33" s="336">
        <v>4.3893565392935177</v>
      </c>
      <c r="F33" s="336">
        <v>8.8793197631972571</v>
      </c>
      <c r="G33" s="357">
        <v>10.314531669520019</v>
      </c>
      <c r="H33" s="414">
        <f t="shared" si="10"/>
        <v>9.7271542444866412</v>
      </c>
      <c r="J33" s="357">
        <f t="shared" si="14"/>
        <v>10.151071485131332</v>
      </c>
      <c r="K33" s="357">
        <f t="shared" si="2"/>
        <v>10.314531669520019</v>
      </c>
      <c r="L33" s="357">
        <v>8.4306036568628837</v>
      </c>
      <c r="M33" s="357">
        <v>8.8793197631972571</v>
      </c>
      <c r="N33" s="349">
        <v>2006</v>
      </c>
      <c r="O33" s="369">
        <v>226</v>
      </c>
      <c r="P33" s="350">
        <v>11.871539313399779</v>
      </c>
      <c r="Q33" s="417"/>
      <c r="R33" s="417"/>
      <c r="S33" s="357">
        <v>5.0055370985603549</v>
      </c>
      <c r="T33" s="357">
        <f t="shared" si="0"/>
        <v>16.877076411960132</v>
      </c>
      <c r="U33" s="366">
        <f t="shared" si="1"/>
        <v>0.42164179104477612</v>
      </c>
      <c r="V33" s="366">
        <f t="shared" si="12"/>
        <v>10.151071485131332</v>
      </c>
      <c r="W33" s="370">
        <v>318.94</v>
      </c>
      <c r="X33" s="359">
        <v>190.18258725406486</v>
      </c>
      <c r="Y33" s="338">
        <f t="shared" si="13"/>
        <v>202.05309838151663</v>
      </c>
      <c r="Z33">
        <f t="shared" si="3"/>
        <v>5.7650029973198258</v>
      </c>
      <c r="AA33">
        <f t="shared" si="9"/>
        <v>-1.2154115564143602</v>
      </c>
      <c r="AB33">
        <f t="shared" si="8"/>
        <v>-1.2154115564143602</v>
      </c>
      <c r="AC33" s="386">
        <v>-1.2154115564143606</v>
      </c>
    </row>
    <row r="34" spans="1:31" ht="15" x14ac:dyDescent="0.25">
      <c r="A34" s="329">
        <v>2008</v>
      </c>
      <c r="B34" s="336">
        <v>24.105600789538613</v>
      </c>
      <c r="C34" s="336">
        <v>17.970020235028723</v>
      </c>
      <c r="D34" s="357">
        <f>ChilkatTable!S27</f>
        <v>12.109420491091024</v>
      </c>
      <c r="E34" s="336">
        <v>8.6075385013943304</v>
      </c>
      <c r="F34" s="336">
        <v>13.11429861424652</v>
      </c>
      <c r="G34" s="357">
        <v>15.294184096588287</v>
      </c>
      <c r="H34" s="414">
        <f t="shared" si="10"/>
        <v>18.396639879604621</v>
      </c>
      <c r="J34" s="357">
        <f t="shared" si="14"/>
        <v>21.03781051228367</v>
      </c>
      <c r="K34" s="357">
        <f t="shared" si="2"/>
        <v>15.294184096588287</v>
      </c>
      <c r="L34" s="357">
        <v>17.970020235028723</v>
      </c>
      <c r="M34" s="357">
        <v>13.11429861424652</v>
      </c>
      <c r="N34" s="349">
        <v>2007</v>
      </c>
      <c r="O34" s="369">
        <v>106</v>
      </c>
      <c r="P34" s="350">
        <v>24.105600789538613</v>
      </c>
      <c r="Q34" s="417"/>
      <c r="R34" s="417"/>
      <c r="S34" s="357">
        <v>2.6153466567974339</v>
      </c>
      <c r="T34" s="357">
        <f t="shared" si="0"/>
        <v>26.720947446336048</v>
      </c>
      <c r="U34" s="366">
        <f t="shared" si="1"/>
        <v>0.10849539406345957</v>
      </c>
      <c r="V34" s="366">
        <f t="shared" si="12"/>
        <v>21.03781051228367</v>
      </c>
      <c r="W34" s="370">
        <v>311.26666666666665</v>
      </c>
      <c r="X34" s="359">
        <v>174.97368747990549</v>
      </c>
      <c r="Y34" s="338">
        <f t="shared" si="13"/>
        <v>202.05309838151663</v>
      </c>
      <c r="Z34">
        <f t="shared" si="3"/>
        <v>5.7406499938687272</v>
      </c>
      <c r="AA34">
        <f t="shared" si="9"/>
        <v>-2.3240511528889236</v>
      </c>
      <c r="AB34">
        <f>LN(S34/T34)</f>
        <v>-2.3240511528889236</v>
      </c>
      <c r="AC34" s="386">
        <v>-2.3240511528889232</v>
      </c>
    </row>
    <row r="35" spans="1:31" ht="15" x14ac:dyDescent="0.25">
      <c r="A35" s="329">
        <v>2009</v>
      </c>
      <c r="B35" s="336">
        <v>15.543905635648755</v>
      </c>
      <c r="C35" s="336">
        <v>10.103236929863458</v>
      </c>
      <c r="D35" s="357">
        <f>ChilkatTable!S28</f>
        <v>10.896776705098027</v>
      </c>
      <c r="E35" s="336">
        <v>7.9831835363681742</v>
      </c>
      <c r="F35" s="336">
        <v>18.25793551612097</v>
      </c>
      <c r="G35" s="357">
        <v>7.4090539264438728</v>
      </c>
      <c r="H35" s="414">
        <f t="shared" si="10"/>
        <v>14.63502602721106</v>
      </c>
      <c r="J35" s="357">
        <f t="shared" si="14"/>
        <v>12.823571282756106</v>
      </c>
      <c r="K35" s="357">
        <f t="shared" si="2"/>
        <v>7.4090539264438728</v>
      </c>
      <c r="L35" s="357">
        <v>10.103236929863458</v>
      </c>
      <c r="M35" s="357">
        <v>18.25793551612097</v>
      </c>
      <c r="N35" s="349">
        <v>2008</v>
      </c>
      <c r="O35" s="369">
        <v>110</v>
      </c>
      <c r="P35" s="350">
        <v>15.543905635648755</v>
      </c>
      <c r="Q35" s="417"/>
      <c r="R35" s="417"/>
      <c r="S35" s="357">
        <v>2.8833551769331587</v>
      </c>
      <c r="T35" s="357">
        <f t="shared" si="0"/>
        <v>18.427260812581913</v>
      </c>
      <c r="U35" s="366">
        <f t="shared" si="1"/>
        <v>0.18549747048903878</v>
      </c>
      <c r="V35" s="366">
        <f t="shared" si="12"/>
        <v>12.823571282756106</v>
      </c>
      <c r="W35" s="370">
        <v>311.34615384615387</v>
      </c>
      <c r="X35" s="359">
        <v>178.86748853139261</v>
      </c>
      <c r="Y35" s="338">
        <f t="shared" si="13"/>
        <v>202.05309838151663</v>
      </c>
      <c r="Z35">
        <f t="shared" si="3"/>
        <v>5.7409053280902533</v>
      </c>
      <c r="AA35">
        <f t="shared" si="9"/>
        <v>-1.8548765260182485</v>
      </c>
      <c r="AB35">
        <f t="shared" si="8"/>
        <v>-1.8548765260182485</v>
      </c>
      <c r="AC35" s="386">
        <v>-1.8548765260182485</v>
      </c>
    </row>
    <row r="36" spans="1:31" ht="15" x14ac:dyDescent="0.25">
      <c r="A36" s="329">
        <v>2010</v>
      </c>
      <c r="B36" s="336">
        <v>16.434540389972145</v>
      </c>
      <c r="C36" s="336">
        <v>14.711441535122823</v>
      </c>
      <c r="D36" s="357">
        <f>ChilkatTable!S29</f>
        <v>17.682959663347575</v>
      </c>
      <c r="E36" s="336">
        <v>10.859456024311438</v>
      </c>
      <c r="F36" s="336">
        <v>20.985549916708635</v>
      </c>
      <c r="G36" s="357">
        <v>6.9356382714207561</v>
      </c>
      <c r="H36" s="414">
        <f t="shared" si="10"/>
        <v>17.377177280601202</v>
      </c>
      <c r="J36" s="357">
        <f t="shared" si="14"/>
        <v>15.572990962547484</v>
      </c>
      <c r="K36" s="357">
        <f t="shared" si="2"/>
        <v>6.9356382714207561</v>
      </c>
      <c r="L36" s="357">
        <v>14.711441535122823</v>
      </c>
      <c r="M36" s="357">
        <v>20.985549916708635</v>
      </c>
      <c r="N36" s="349">
        <v>2009</v>
      </c>
      <c r="O36" s="369">
        <v>151</v>
      </c>
      <c r="P36" s="350">
        <v>16.434540389972145</v>
      </c>
      <c r="Q36" s="417"/>
      <c r="R36" s="417"/>
      <c r="S36" s="357">
        <v>3.2354831797728729</v>
      </c>
      <c r="T36" s="357">
        <f t="shared" si="0"/>
        <v>19.67002356974502</v>
      </c>
      <c r="U36" s="366">
        <f t="shared" si="1"/>
        <v>0.19687092568448497</v>
      </c>
      <c r="V36" s="366">
        <f t="shared" si="12"/>
        <v>15.572990962547484</v>
      </c>
      <c r="W36" s="370">
        <v>303.03571428571428</v>
      </c>
      <c r="X36" s="359">
        <v>207.79171377545572</v>
      </c>
      <c r="Y36" s="338">
        <f t="shared" si="13"/>
        <v>202.05309838151663</v>
      </c>
      <c r="Z36">
        <f t="shared" si="3"/>
        <v>5.7138506674931229</v>
      </c>
      <c r="AA36">
        <f>LN((S36/T36))</f>
        <v>-1.8049175538055664</v>
      </c>
      <c r="AB36">
        <f t="shared" si="8"/>
        <v>-1.8049175538055664</v>
      </c>
      <c r="AC36" s="386">
        <v>-1.804917553805566</v>
      </c>
    </row>
    <row r="37" spans="1:31" ht="15" x14ac:dyDescent="0.25">
      <c r="A37" s="329">
        <v>2011</v>
      </c>
      <c r="B37" s="336">
        <v>13.117462415331241</v>
      </c>
      <c r="C37" s="336">
        <v>10.317732845706308</v>
      </c>
      <c r="D37" s="357">
        <f>ChilkatTable!S30</f>
        <v>9.5214524989428195</v>
      </c>
      <c r="E37" s="336">
        <v>8.4999447258343857</v>
      </c>
      <c r="F37" s="336">
        <v>10.43134969000053</v>
      </c>
      <c r="G37" s="357">
        <v>12.458082124422578</v>
      </c>
      <c r="H37" s="414">
        <f t="shared" si="10"/>
        <v>11.288848317012693</v>
      </c>
      <c r="J37" s="357">
        <f t="shared" si="14"/>
        <v>11.717597630518775</v>
      </c>
      <c r="K37" s="357">
        <f t="shared" si="2"/>
        <v>12.458082124422578</v>
      </c>
      <c r="L37" s="357">
        <v>10.317732845706308</v>
      </c>
      <c r="M37" s="357">
        <v>10.43134969000053</v>
      </c>
      <c r="N37" s="349">
        <v>2010</v>
      </c>
      <c r="O37" s="369">
        <v>419</v>
      </c>
      <c r="P37" s="350">
        <v>13.117462415331241</v>
      </c>
      <c r="Q37" s="417"/>
      <c r="R37" s="417"/>
      <c r="S37" s="357">
        <v>6.9221873451181235</v>
      </c>
      <c r="T37" s="357">
        <f t="shared" si="0"/>
        <v>20.039649760449365</v>
      </c>
      <c r="U37" s="366">
        <f>S37/P37</f>
        <v>0.52770780856423172</v>
      </c>
      <c r="V37" s="366">
        <f t="shared" si="12"/>
        <v>11.717597630518775</v>
      </c>
      <c r="W37" s="370">
        <v>328.46491228070175</v>
      </c>
      <c r="X37" s="359">
        <v>205.87295438386354</v>
      </c>
      <c r="Y37" s="338">
        <f t="shared" si="13"/>
        <v>202.05309838151663</v>
      </c>
      <c r="Z37">
        <f t="shared" si="3"/>
        <v>5.7944300202889716</v>
      </c>
      <c r="AA37">
        <f t="shared" si="9"/>
        <v>-1.0629809890219124</v>
      </c>
      <c r="AB37">
        <f>LN(S37/T37)</f>
        <v>-1.0629809890219124</v>
      </c>
      <c r="AC37" s="386">
        <v>-1.0629809890219122</v>
      </c>
    </row>
    <row r="38" spans="1:31" ht="15" x14ac:dyDescent="0.25">
      <c r="A38" s="329">
        <v>2012</v>
      </c>
      <c r="B38" s="336">
        <v>10.321038207913109</v>
      </c>
      <c r="C38" s="336">
        <v>8.7729652486037555</v>
      </c>
      <c r="D38" s="357">
        <f>ChilkatTable!S31</f>
        <v>5.2947291023434522</v>
      </c>
      <c r="E38" s="336">
        <v>7.7088527778345171</v>
      </c>
      <c r="F38" s="336">
        <v>12.816329043778094</v>
      </c>
      <c r="G38" s="357">
        <v>7.1703657208618461</v>
      </c>
      <c r="H38" s="414">
        <f t="shared" si="10"/>
        <v>10.63677750009832</v>
      </c>
      <c r="J38" s="357">
        <f t="shared" si="14"/>
        <v>9.547001728258433</v>
      </c>
      <c r="K38" s="357">
        <f t="shared" si="2"/>
        <v>7.1703657208618461</v>
      </c>
      <c r="L38" s="357">
        <v>8.7729652486037555</v>
      </c>
      <c r="M38" s="357">
        <v>12.816329043778094</v>
      </c>
      <c r="N38" s="349">
        <v>2011</v>
      </c>
      <c r="O38" s="369">
        <v>376</v>
      </c>
      <c r="P38" s="350">
        <v>10.321038207913109</v>
      </c>
      <c r="Q38" s="417"/>
      <c r="R38" s="417"/>
      <c r="S38" s="357">
        <v>3.6388270589373848</v>
      </c>
      <c r="T38" s="357">
        <f t="shared" si="0"/>
        <v>13.959865266850493</v>
      </c>
      <c r="U38" s="366">
        <f t="shared" si="1"/>
        <v>0.35256405272751601</v>
      </c>
      <c r="V38" s="366">
        <f t="shared" si="12"/>
        <v>9.547001728258433</v>
      </c>
      <c r="W38" s="370">
        <v>316.8041237113402</v>
      </c>
      <c r="X38" s="359">
        <v>198.52979989765663</v>
      </c>
      <c r="Y38" s="338">
        <f t="shared" si="13"/>
        <v>202.05309838151663</v>
      </c>
      <c r="Z38">
        <f t="shared" si="3"/>
        <v>5.7582836766211472</v>
      </c>
      <c r="AA38">
        <f t="shared" si="9"/>
        <v>-1.3445250527522796</v>
      </c>
      <c r="AB38">
        <f t="shared" si="8"/>
        <v>-1.3445250527522796</v>
      </c>
      <c r="AC38" s="386">
        <v>-1.3517965201803883</v>
      </c>
    </row>
    <row r="39" spans="1:31" ht="15" x14ac:dyDescent="0.25">
      <c r="A39" s="329">
        <v>2013</v>
      </c>
      <c r="B39" s="336">
        <v>20.776031434184674</v>
      </c>
      <c r="C39" s="336">
        <v>14.953800094105157</v>
      </c>
      <c r="D39" s="357">
        <f>ChilkatTable!S32</f>
        <v>15.415906147615321</v>
      </c>
      <c r="E39" s="336">
        <v>10.696971141913059</v>
      </c>
      <c r="F39" s="336">
        <v>16.710625015123284</v>
      </c>
      <c r="G39" s="357">
        <v>7.232889423836629</v>
      </c>
      <c r="H39" s="414">
        <f t="shared" si="10"/>
        <v>17.480152181137704</v>
      </c>
      <c r="J39" s="357">
        <f t="shared" si="14"/>
        <v>17.864915764144914</v>
      </c>
      <c r="K39" s="357">
        <f t="shared" si="2"/>
        <v>7.232889423836629</v>
      </c>
      <c r="L39" s="357">
        <v>14.953800094105157</v>
      </c>
      <c r="M39" s="357">
        <v>16.710625015123284</v>
      </c>
      <c r="N39" s="349">
        <v>2012</v>
      </c>
      <c r="O39" s="369">
        <v>182</v>
      </c>
      <c r="P39" s="350">
        <v>20.776031434184674</v>
      </c>
      <c r="Q39" s="417"/>
      <c r="R39" s="417"/>
      <c r="S39" s="357">
        <v>2.9627217971675077</v>
      </c>
      <c r="T39" s="357">
        <f t="shared" si="0"/>
        <v>23.738753231352181</v>
      </c>
      <c r="U39" s="366">
        <f t="shared" si="1"/>
        <v>0.14260287420881906</v>
      </c>
      <c r="V39" s="366">
        <f t="shared" si="12"/>
        <v>17.864915764144914</v>
      </c>
      <c r="W39" s="370">
        <v>309.77419354838707</v>
      </c>
      <c r="X39" s="359">
        <v>205.3090817157572</v>
      </c>
      <c r="Y39" s="338">
        <f t="shared" si="13"/>
        <v>202.05309838151663</v>
      </c>
      <c r="Z39">
        <f t="shared" si="3"/>
        <v>5.7358436241528263</v>
      </c>
      <c r="AA39">
        <f t="shared" si="9"/>
        <v>-2.0810004982667616</v>
      </c>
      <c r="AB39">
        <f t="shared" si="8"/>
        <v>-2.0810004982667616</v>
      </c>
      <c r="AC39" s="386">
        <v>-2.0739318858688662</v>
      </c>
    </row>
    <row r="40" spans="1:31" ht="15" x14ac:dyDescent="0.25">
      <c r="A40" s="329">
        <v>2014</v>
      </c>
      <c r="B40" s="336">
        <v>20.10543826220534</v>
      </c>
      <c r="C40" s="336">
        <v>13.094767997630491</v>
      </c>
      <c r="D40" s="357">
        <f>ChilkatTable!S33</f>
        <v>17.873055550478</v>
      </c>
      <c r="E40" s="336">
        <v>16.398254095819283</v>
      </c>
      <c r="F40" s="336">
        <v>16.315988787579691</v>
      </c>
      <c r="G40" s="357">
        <v>7.1627930456607665</v>
      </c>
      <c r="H40" s="414">
        <f t="shared" si="10"/>
        <v>16.505398349138506</v>
      </c>
      <c r="I40">
        <f>AVERAGE(H31:H40)</f>
        <v>14.137624055141956</v>
      </c>
      <c r="J40" s="357">
        <f t="shared" si="14"/>
        <v>16.600103129917915</v>
      </c>
      <c r="K40" s="357">
        <f t="shared" si="2"/>
        <v>7.1627930456607665</v>
      </c>
      <c r="L40" s="357">
        <v>13.094767997630491</v>
      </c>
      <c r="M40" s="357">
        <v>16.315988787579691</v>
      </c>
      <c r="N40" s="349">
        <v>2013</v>
      </c>
      <c r="O40" s="369">
        <v>214</v>
      </c>
      <c r="P40" s="350">
        <v>20.10543826220534</v>
      </c>
      <c r="Q40" s="417"/>
      <c r="R40" s="417"/>
      <c r="S40" s="357">
        <v>2.2350980717464641</v>
      </c>
      <c r="T40" s="357">
        <f t="shared" si="0"/>
        <v>22.340536333951803</v>
      </c>
      <c r="U40" s="366">
        <f t="shared" si="1"/>
        <v>0.11116883116883119</v>
      </c>
      <c r="V40" s="366">
        <f t="shared" si="12"/>
        <v>16.600103129917915</v>
      </c>
      <c r="W40" s="370">
        <v>294.27692307692308</v>
      </c>
      <c r="X40" s="359">
        <v>200.5341570011733</v>
      </c>
      <c r="Y40" s="338">
        <f t="shared" si="13"/>
        <v>202.05309838151663</v>
      </c>
      <c r="Z40">
        <f t="shared" si="3"/>
        <v>5.6845212392425237</v>
      </c>
      <c r="AA40">
        <f>LN((S40/T40))</f>
        <v>-2.3021176940605539</v>
      </c>
      <c r="AB40">
        <f t="shared" si="8"/>
        <v>-2.3021176940605539</v>
      </c>
      <c r="AC40" s="386">
        <v>-2.3025850929940455</v>
      </c>
    </row>
    <row r="41" spans="1:31" ht="15" x14ac:dyDescent="0.25">
      <c r="A41" s="329">
        <v>2015</v>
      </c>
      <c r="B41" s="336">
        <v>11.960478419136765</v>
      </c>
      <c r="C41" s="336">
        <v>10.45725</v>
      </c>
      <c r="D41" s="357">
        <f>ChilkatTable!S34</f>
        <v>11.225635013677218</v>
      </c>
      <c r="E41" s="336">
        <v>15.532305726408707</v>
      </c>
      <c r="F41" s="336">
        <v>5.7205576938956426</v>
      </c>
      <c r="G41" s="357">
        <v>6.5623270185970917</v>
      </c>
      <c r="H41" s="408">
        <f>(B41+C41+F41)/3</f>
        <v>9.3794287043441358</v>
      </c>
      <c r="J41" s="357">
        <f t="shared" si="14"/>
        <v>11.208864209568382</v>
      </c>
      <c r="K41" s="357">
        <f t="shared" si="2"/>
        <v>6.5623270185970917</v>
      </c>
      <c r="L41" s="357">
        <v>10.457245885330616</v>
      </c>
      <c r="M41" s="357">
        <v>5.7205576938956426</v>
      </c>
      <c r="N41" s="349">
        <v>2014</v>
      </c>
      <c r="O41" s="369">
        <v>289</v>
      </c>
      <c r="P41" s="350">
        <v>11.960478419136765</v>
      </c>
      <c r="Q41" s="417"/>
      <c r="R41" s="417"/>
      <c r="S41" s="357">
        <v>4.988779561539789</v>
      </c>
      <c r="T41" s="357">
        <f t="shared" si="0"/>
        <v>16.949257980676553</v>
      </c>
      <c r="U41" s="366">
        <f t="shared" si="1"/>
        <v>0.41710535203656585</v>
      </c>
      <c r="V41" s="366">
        <f t="shared" si="12"/>
        <v>11.208864209568382</v>
      </c>
      <c r="W41" s="370">
        <v>322.46268656716416</v>
      </c>
      <c r="X41" s="359">
        <v>200.63919024815755</v>
      </c>
      <c r="Y41" s="338">
        <f t="shared" si="13"/>
        <v>202.05309838151663</v>
      </c>
      <c r="Z41">
        <f t="shared" si="3"/>
        <v>5.7759874289750677</v>
      </c>
      <c r="AA41">
        <f t="shared" si="9"/>
        <v>-1.2230327529130853</v>
      </c>
      <c r="AB41">
        <f>LN(S41/T41)</f>
        <v>-1.2230327529130853</v>
      </c>
      <c r="AC41" s="386">
        <v>-1.2201049544180782</v>
      </c>
    </row>
    <row r="42" spans="1:31" ht="15" x14ac:dyDescent="0.25">
      <c r="A42" s="352">
        <v>2016</v>
      </c>
      <c r="B42" s="357">
        <v>4.0660000366615954</v>
      </c>
      <c r="C42" s="357">
        <v>6.3676899999999996</v>
      </c>
      <c r="D42" s="357">
        <f>ChilkatTable!S35</f>
        <v>5.8874808579141442</v>
      </c>
      <c r="E42" s="357">
        <v>6.6852611016028227</v>
      </c>
      <c r="F42" s="357">
        <v>6.3557896078751162</v>
      </c>
      <c r="G42" s="356" t="s">
        <v>84</v>
      </c>
      <c r="H42" s="408">
        <f>(B43+C43+F43)/3</f>
        <v>5.6428526193662947</v>
      </c>
      <c r="J42" s="357">
        <f>(B43+C43)/2</f>
        <v>5.014104418391538</v>
      </c>
      <c r="K42" s="357"/>
      <c r="L42" s="357">
        <v>6.3676899999999996</v>
      </c>
      <c r="M42" s="357">
        <v>6.3557896078751162</v>
      </c>
      <c r="N42" s="349">
        <v>2015</v>
      </c>
      <c r="O42" s="369">
        <v>73</v>
      </c>
      <c r="P42" s="350">
        <v>4.0660000366615954</v>
      </c>
      <c r="Q42" s="417"/>
      <c r="R42" s="417"/>
      <c r="S42" s="357">
        <v>1.1374259894047989</v>
      </c>
      <c r="T42" s="357">
        <f t="shared" si="0"/>
        <v>5.2034260260663938</v>
      </c>
      <c r="U42" s="366">
        <f>S42/P42</f>
        <v>0.27974077204846431</v>
      </c>
      <c r="V42" s="366">
        <f>(B43+C43)/2</f>
        <v>5.014104418391538</v>
      </c>
      <c r="W42" s="370">
        <v>332</v>
      </c>
      <c r="X42" s="359">
        <v>222.14</v>
      </c>
      <c r="Y42" s="338">
        <f t="shared" si="13"/>
        <v>202.05309838151663</v>
      </c>
      <c r="Z42">
        <f>LN(W42)</f>
        <v>5.8051349689164882</v>
      </c>
      <c r="AA42">
        <f>LN((S42/T42))</f>
        <v>-1.5205494543401712</v>
      </c>
      <c r="AB42">
        <f t="shared" si="8"/>
        <v>-1.5205494543401712</v>
      </c>
      <c r="AC42" s="386">
        <v>-1.5559793339093331</v>
      </c>
    </row>
    <row r="43" spans="1:31" ht="15" x14ac:dyDescent="0.25">
      <c r="A43" s="329">
        <v>2017</v>
      </c>
      <c r="B43" s="336">
        <v>4.989270386266095</v>
      </c>
      <c r="C43" s="336">
        <v>5.038938450516981</v>
      </c>
      <c r="D43" s="357">
        <f>ChilkatTable!S36</f>
        <v>7.8852474678482123</v>
      </c>
      <c r="E43" s="336">
        <v>4.9415141603613533</v>
      </c>
      <c r="F43" s="336">
        <v>6.900349021315809</v>
      </c>
      <c r="G43" s="334" t="s">
        <v>84</v>
      </c>
      <c r="L43" s="357">
        <v>5.038938450516981</v>
      </c>
      <c r="M43" s="357">
        <v>6.8889670023115777</v>
      </c>
      <c r="N43" s="349">
        <v>2016</v>
      </c>
      <c r="O43" s="369">
        <v>237</v>
      </c>
      <c r="P43" s="357">
        <v>4.989270386266095</v>
      </c>
      <c r="Q43" s="375"/>
      <c r="R43" s="375"/>
      <c r="S43" s="357">
        <v>2.5429184549356223</v>
      </c>
      <c r="T43" s="357">
        <f>P43+S43</f>
        <v>7.5321888412017177</v>
      </c>
      <c r="U43" s="366">
        <f>S43/P43</f>
        <v>0.50967741935483868</v>
      </c>
      <c r="V43" s="358">
        <v>5.2141048782584409</v>
      </c>
      <c r="W43" s="370">
        <v>349.4</v>
      </c>
      <c r="X43" s="359">
        <v>228.54828020165587</v>
      </c>
      <c r="Y43" s="338">
        <f>Y42</f>
        <v>202.05309838151663</v>
      </c>
      <c r="Z43">
        <f>LN(W43)</f>
        <v>5.8562173976999565</v>
      </c>
      <c r="AA43">
        <f>LN((S43/T43))</f>
        <v>-1.08587326289068</v>
      </c>
      <c r="AB43">
        <f>LN(S43/T43)</f>
        <v>-1.08587326289068</v>
      </c>
    </row>
    <row r="44" spans="1:31" ht="15" x14ac:dyDescent="0.25">
      <c r="A44" s="352">
        <v>2018</v>
      </c>
      <c r="B44" s="357">
        <v>7.0847295356629969</v>
      </c>
      <c r="C44" s="357">
        <v>6.6785793100720694</v>
      </c>
      <c r="D44" s="417">
        <f>ChilkatTable!K37/'Master smolts'!D45*100</f>
        <v>7.0781392985983089</v>
      </c>
      <c r="E44" s="417">
        <f>'Taku Table'!I37/'Master smolts'!E45*100</f>
        <v>5.2313466640781723</v>
      </c>
      <c r="F44" s="417">
        <v>2.7094051205580323</v>
      </c>
      <c r="J44" s="375">
        <f>AVERAGE(J16:J20)</f>
        <v>25.857933963219217</v>
      </c>
      <c r="L44" s="357">
        <v>6.6785793100720694</v>
      </c>
      <c r="N44" s="390">
        <v>2017</v>
      </c>
      <c r="O44" s="369">
        <v>19</v>
      </c>
      <c r="P44" s="378">
        <f>T44-S44</f>
        <v>3.7171267885608037</v>
      </c>
      <c r="Q44" s="375">
        <v>1.8866387384649881</v>
      </c>
      <c r="R44" s="375">
        <v>3.444751565421027</v>
      </c>
      <c r="S44" s="357">
        <f>O44/4178*100</f>
        <v>0.45476304451890859</v>
      </c>
      <c r="T44" s="384">
        <f>S44/(EXP(AA44))</f>
        <v>4.1718898330797121</v>
      </c>
      <c r="U44" s="366"/>
      <c r="W44" s="370">
        <v>291</v>
      </c>
      <c r="X44" s="359">
        <v>183.4</v>
      </c>
      <c r="Y44" s="338">
        <f>Y43</f>
        <v>202.05309838151663</v>
      </c>
      <c r="Z44">
        <f t="shared" ref="Z44" si="15">LN(W44)</f>
        <v>5.6733232671714928</v>
      </c>
      <c r="AA44" s="383">
        <f>Z44*6.1087326-36.8731627</f>
        <v>-2.2163479074909986</v>
      </c>
    </row>
    <row r="45" spans="1:31" ht="15" x14ac:dyDescent="0.25">
      <c r="A45" s="335" t="s">
        <v>32</v>
      </c>
      <c r="B45" s="337">
        <f t="shared" ref="B45:G45" si="16">AVERAGE(B6:B43)</f>
        <v>18.378779795066947</v>
      </c>
      <c r="C45" s="337">
        <f t="shared" si="16"/>
        <v>15.34210764075287</v>
      </c>
      <c r="D45" s="337">
        <f>AVERAGE(D6:D43)</f>
        <v>10.682889480701355</v>
      </c>
      <c r="E45" s="337">
        <f t="shared" si="16"/>
        <v>10.565143438807722</v>
      </c>
      <c r="F45" s="337">
        <f>AVERAGE(F6:F43)</f>
        <v>12.461900613895407</v>
      </c>
      <c r="G45" s="337">
        <f t="shared" si="16"/>
        <v>10.584552590251521</v>
      </c>
      <c r="J45">
        <f>AVERAGE(J21:J30)</f>
        <v>18.92850432142486</v>
      </c>
      <c r="N45" s="390">
        <v>2018</v>
      </c>
      <c r="Q45" s="375">
        <f>P44-Q44</f>
        <v>1.8304880500958156</v>
      </c>
      <c r="R45" s="375">
        <f>P44+R44</f>
        <v>7.1618783539818303</v>
      </c>
      <c r="T45" s="375"/>
      <c r="W45" s="372"/>
      <c r="Y45" s="338"/>
      <c r="AE45" s="43" t="s">
        <v>321</v>
      </c>
    </row>
    <row r="46" spans="1:31" ht="15" x14ac:dyDescent="0.25">
      <c r="B46">
        <f>AVERAGE(B11:B15)</f>
        <v>18.751802175874897</v>
      </c>
      <c r="C46" t="e">
        <f>AVERAGE(C11:C15)</f>
        <v>#DIV/0!</v>
      </c>
      <c r="F46">
        <f>AVERAGE(F11:F15)</f>
        <v>9.8030322254802638</v>
      </c>
      <c r="J46">
        <f>AVERAGE(J31:J40)</f>
        <v>14.531808078971011</v>
      </c>
      <c r="N46" s="547">
        <v>2018</v>
      </c>
      <c r="O46" s="548" t="s">
        <v>437</v>
      </c>
      <c r="P46" s="549">
        <f>T46-S46</f>
        <v>4.8737196174436335</v>
      </c>
      <c r="Q46" s="548"/>
      <c r="R46" s="548" t="s">
        <v>437</v>
      </c>
      <c r="S46" s="550">
        <f>S44</f>
        <v>0.45476304451890859</v>
      </c>
      <c r="T46" s="551">
        <f>S46/(EXP(AA46))</f>
        <v>5.3284826619625418</v>
      </c>
      <c r="Z46" t="s">
        <v>437</v>
      </c>
      <c r="AA46" s="383">
        <f>Z44^2*-35.669567+417.44703*Z44-1222.691019</f>
        <v>-2.4610452958047517</v>
      </c>
    </row>
    <row r="47" spans="1:31" ht="15" x14ac:dyDescent="0.25">
      <c r="B47" s="375">
        <f>AVERAGE(B16:B20)</f>
        <v>27.293346595020218</v>
      </c>
      <c r="C47" s="375">
        <f>AVERAGE(C16:C20)</f>
        <v>24.422521331418217</v>
      </c>
      <c r="D47">
        <f>AVERAGE(C16:C30)</f>
        <v>19.057549329552099</v>
      </c>
      <c r="F47" s="375">
        <f>AVERAGE(F16:F20)</f>
        <v>17.779859468506988</v>
      </c>
      <c r="G47" s="493">
        <f>F44/F14</f>
        <v>0.66625797481863025</v>
      </c>
    </row>
    <row r="48" spans="1:31" ht="15" x14ac:dyDescent="0.25">
      <c r="B48">
        <f>AVERAGE(B21:B30)</f>
        <v>21.481945314230675</v>
      </c>
      <c r="C48">
        <f>AVERAGE(C21:C30)</f>
        <v>16.375063328619042</v>
      </c>
      <c r="D48">
        <f>AVERAGE(C31:C40)</f>
        <v>12.185189554728192</v>
      </c>
      <c r="F48">
        <f>AVERAGE(F21:F30)</f>
        <v>12.491623717356473</v>
      </c>
      <c r="G48" s="437"/>
      <c r="U48">
        <f>EXP(AD49)</f>
        <v>8.5345692830201325E-2</v>
      </c>
      <c r="V48" s="376">
        <v>5.1492184243821085E-2</v>
      </c>
      <c r="W48">
        <v>5.1492184243821085E-2</v>
      </c>
      <c r="Z48" s="379">
        <f>Z44</f>
        <v>5.6733232671714928</v>
      </c>
      <c r="AA48">
        <v>0</v>
      </c>
      <c r="AB48">
        <v>0</v>
      </c>
      <c r="AD48">
        <v>-3</v>
      </c>
    </row>
    <row r="49" spans="1:30" x14ac:dyDescent="0.2">
      <c r="B49">
        <f>AVERAGE(B31:B40)</f>
        <v>16.878426603213832</v>
      </c>
      <c r="C49">
        <f>AVERAGE(C31:C40)</f>
        <v>12.185189554728192</v>
      </c>
      <c r="F49">
        <f>AVERAGE(F31:F40)</f>
        <v>13.349256007483842</v>
      </c>
      <c r="J49">
        <f>AVERAGE(J16:J34)</f>
        <v>19.987716490626898</v>
      </c>
      <c r="R49" s="383">
        <v>-36.503295974345505</v>
      </c>
      <c r="U49">
        <f>S43/U48</f>
        <v>29.795510126033665</v>
      </c>
      <c r="V49" s="374">
        <v>0.11827965388739262</v>
      </c>
      <c r="W49">
        <v>1.5743613803039725E-2</v>
      </c>
      <c r="Z49" s="379">
        <f>Z44</f>
        <v>5.6733232671714928</v>
      </c>
      <c r="AA49" s="380">
        <f>Z49*6.04424452-31.89812579</f>
        <v>2.3928272777897917</v>
      </c>
      <c r="AB49" s="377">
        <f>7.3835169*Z43-39.39002841</f>
        <v>3.8494517159916484</v>
      </c>
      <c r="AC49" s="383">
        <f>Z49^2*-35.669567+417.44703*Z49-1222.691019</f>
        <v>-2.4610452958047517</v>
      </c>
      <c r="AD49" s="383">
        <f>Z49^2*-35.669567+417.44703*Z49-1222.691019</f>
        <v>-2.4610452958047517</v>
      </c>
    </row>
    <row r="50" spans="1:30" ht="13.5" thickBot="1" x14ac:dyDescent="0.25">
      <c r="F50">
        <f>AVERAGE(F16:F34)</f>
        <v>13.252121927454045</v>
      </c>
      <c r="J50">
        <f>F50/J49</f>
        <v>0.6630133028787224</v>
      </c>
      <c r="R50" s="385">
        <v>6.0442445237659896</v>
      </c>
      <c r="V50" s="374">
        <v>1.5743613803039725E-2</v>
      </c>
      <c r="W50">
        <v>0.11827965388739262</v>
      </c>
      <c r="Z50" s="379">
        <f>Z49</f>
        <v>5.6733232671714928</v>
      </c>
      <c r="AA50" s="380">
        <f>Z50*6.04424452-31.89812579</f>
        <v>2.3928272777897917</v>
      </c>
      <c r="AB50" s="377">
        <f>7.3835169*Z43-39.39002841</f>
        <v>3.8494517159916484</v>
      </c>
      <c r="AD50" s="383">
        <f>Z50*6.1087326-36.8731627</f>
        <v>-2.2163479074909986</v>
      </c>
    </row>
    <row r="51" spans="1:30" x14ac:dyDescent="0.2">
      <c r="F51">
        <f>AVERAGE(F16:F25)</f>
        <v>15.433037710287437</v>
      </c>
      <c r="J51" t="s">
        <v>352</v>
      </c>
      <c r="Z51">
        <v>5.65</v>
      </c>
      <c r="AA51" s="381">
        <f>AA49</f>
        <v>2.3928272777897917</v>
      </c>
      <c r="AB51">
        <f>AB49</f>
        <v>3.8494517159916484</v>
      </c>
      <c r="AD51" s="383">
        <f>AD50</f>
        <v>-2.2163479074909986</v>
      </c>
    </row>
    <row r="52" spans="1:30" x14ac:dyDescent="0.2">
      <c r="B52">
        <f>AVERAGE(B16:B43)</f>
        <v>19.324507178271809</v>
      </c>
      <c r="C52">
        <f>AVERAGE(C16:C43)</f>
        <v>15.34210764075287</v>
      </c>
      <c r="F52">
        <f>AVERAGE(F35:F40)</f>
        <v>15.919629661551866</v>
      </c>
    </row>
    <row r="53" spans="1:30" x14ac:dyDescent="0.2">
      <c r="X53" s="387">
        <f>S44</f>
        <v>0.45476304451890859</v>
      </c>
      <c r="Y53">
        <v>0</v>
      </c>
      <c r="Z53">
        <v>5.8562173976999565</v>
      </c>
      <c r="AA53">
        <v>0</v>
      </c>
    </row>
    <row r="54" spans="1:30" ht="15" x14ac:dyDescent="0.25">
      <c r="A54" s="352">
        <v>2005</v>
      </c>
      <c r="B54" s="357">
        <v>15.981534403165531</v>
      </c>
      <c r="C54" s="357">
        <v>9.6815999967245574</v>
      </c>
      <c r="D54" s="357">
        <v>5.9346660532292539</v>
      </c>
      <c r="X54" s="387">
        <f>X53</f>
        <v>0.45476304451890859</v>
      </c>
      <c r="Y54">
        <v>35</v>
      </c>
      <c r="Z54">
        <v>5.8562173976999565</v>
      </c>
      <c r="AA54" s="383">
        <f>Z54*6.1087326-36.8731627</f>
        <v>-1.0990965699831108</v>
      </c>
    </row>
    <row r="55" spans="1:30" ht="15" x14ac:dyDescent="0.25">
      <c r="A55" s="352">
        <v>2006</v>
      </c>
      <c r="B55" s="357">
        <v>20.5271751807791</v>
      </c>
      <c r="C55" s="357">
        <v>13.815727007633757</v>
      </c>
      <c r="D55" s="357">
        <v>10.539284951491167</v>
      </c>
      <c r="Z55">
        <v>5.65</v>
      </c>
      <c r="AA55" s="383">
        <f>Z55*6.1087326-36.8731627</f>
        <v>-2.3588235100000006</v>
      </c>
    </row>
    <row r="57" spans="1:30" x14ac:dyDescent="0.2">
      <c r="B57">
        <f>AVERAGE(B54:D55)</f>
        <v>12.746664598837228</v>
      </c>
    </row>
    <row r="58" spans="1:30" x14ac:dyDescent="0.2">
      <c r="B58">
        <f>MAX(B54:D55)</f>
        <v>20.5271751807791</v>
      </c>
      <c r="X58" t="s">
        <v>317</v>
      </c>
      <c r="Z58" s="383">
        <v>-36.503295974345505</v>
      </c>
      <c r="AA58" s="383">
        <v>7.2582325434582833</v>
      </c>
    </row>
    <row r="59" spans="1:30" x14ac:dyDescent="0.2">
      <c r="D59" t="s">
        <v>329</v>
      </c>
      <c r="Z59" t="s">
        <v>318</v>
      </c>
      <c r="AA59" t="s">
        <v>319</v>
      </c>
    </row>
    <row r="60" spans="1:30" ht="13.5" thickBot="1" x14ac:dyDescent="0.25"/>
    <row r="61" spans="1:30" x14ac:dyDescent="0.2">
      <c r="D61" s="416" t="s">
        <v>330</v>
      </c>
      <c r="E61" s="416"/>
    </row>
    <row r="62" spans="1:30" x14ac:dyDescent="0.2">
      <c r="D62" s="383" t="s">
        <v>331</v>
      </c>
      <c r="E62" s="383">
        <v>0.79013123870979141</v>
      </c>
    </row>
    <row r="63" spans="1:30" x14ac:dyDescent="0.2">
      <c r="D63" s="383" t="s">
        <v>332</v>
      </c>
      <c r="E63" s="383">
        <v>0.62430737438506934</v>
      </c>
    </row>
    <row r="64" spans="1:30" x14ac:dyDescent="0.2">
      <c r="D64" s="383" t="s">
        <v>333</v>
      </c>
      <c r="E64" s="383">
        <v>0.60927966936047218</v>
      </c>
    </row>
    <row r="65" spans="4:31" x14ac:dyDescent="0.2">
      <c r="D65" s="383" t="s">
        <v>334</v>
      </c>
      <c r="E65" s="383">
        <v>3.8489218353237065</v>
      </c>
    </row>
    <row r="66" spans="4:31" ht="13.5" thickBot="1" x14ac:dyDescent="0.25">
      <c r="D66" s="385" t="s">
        <v>335</v>
      </c>
      <c r="E66" s="385">
        <v>27</v>
      </c>
    </row>
    <row r="68" spans="4:31" ht="13.5" thickBot="1" x14ac:dyDescent="0.25">
      <c r="D68" t="s">
        <v>336</v>
      </c>
    </row>
    <row r="69" spans="4:31" x14ac:dyDescent="0.2">
      <c r="D69" s="415"/>
      <c r="E69" s="415" t="s">
        <v>339</v>
      </c>
      <c r="F69" s="415" t="s">
        <v>340</v>
      </c>
      <c r="G69" s="415" t="s">
        <v>341</v>
      </c>
      <c r="H69" s="415" t="s">
        <v>342</v>
      </c>
      <c r="I69" s="415" t="s">
        <v>343</v>
      </c>
    </row>
    <row r="70" spans="4:31" x14ac:dyDescent="0.2">
      <c r="D70" s="383" t="s">
        <v>337</v>
      </c>
      <c r="E70" s="383">
        <v>1</v>
      </c>
      <c r="F70" s="383">
        <v>615.43754352282576</v>
      </c>
      <c r="G70" s="383">
        <v>615.43754352282576</v>
      </c>
      <c r="H70" s="383">
        <v>41.543760232397958</v>
      </c>
      <c r="I70" s="383">
        <v>9.4866119626287559E-7</v>
      </c>
    </row>
    <row r="71" spans="4:31" x14ac:dyDescent="0.2">
      <c r="D71" s="383" t="s">
        <v>338</v>
      </c>
      <c r="E71" s="383">
        <v>25</v>
      </c>
      <c r="F71" s="383">
        <v>370.35498236079019</v>
      </c>
      <c r="G71" s="383">
        <v>14.814199294431608</v>
      </c>
      <c r="H71" s="383"/>
      <c r="I71" s="383"/>
    </row>
    <row r="72" spans="4:31" ht="13.5" thickBot="1" x14ac:dyDescent="0.25">
      <c r="D72" s="385" t="s">
        <v>29</v>
      </c>
      <c r="E72" s="385">
        <v>26</v>
      </c>
      <c r="F72" s="385">
        <v>985.79252588361601</v>
      </c>
      <c r="G72" s="385"/>
      <c r="H72" s="385"/>
      <c r="I72" s="385"/>
    </row>
    <row r="73" spans="4:31" ht="15.75" thickBot="1" x14ac:dyDescent="0.3">
      <c r="AE73" s="43" t="s">
        <v>320</v>
      </c>
    </row>
    <row r="74" spans="4:31" x14ac:dyDescent="0.2">
      <c r="D74" s="415"/>
      <c r="E74" s="415" t="s">
        <v>344</v>
      </c>
      <c r="F74" s="415" t="s">
        <v>334</v>
      </c>
      <c r="G74" s="415" t="s">
        <v>345</v>
      </c>
      <c r="H74" s="415" t="s">
        <v>346</v>
      </c>
      <c r="I74" s="415" t="s">
        <v>347</v>
      </c>
      <c r="J74" s="415" t="s">
        <v>348</v>
      </c>
      <c r="K74" s="415" t="s">
        <v>349</v>
      </c>
      <c r="L74" s="415" t="s">
        <v>350</v>
      </c>
    </row>
    <row r="75" spans="4:31" x14ac:dyDescent="0.2">
      <c r="D75" s="383" t="s">
        <v>318</v>
      </c>
      <c r="E75" s="383">
        <v>1.6902390570521835</v>
      </c>
      <c r="F75" s="383">
        <v>2.2711713547005448</v>
      </c>
      <c r="G75" s="383">
        <v>0.74421467739718061</v>
      </c>
      <c r="H75" s="383">
        <v>0.46368493506409258</v>
      </c>
      <c r="I75" s="383">
        <v>-2.9873259078625232</v>
      </c>
      <c r="J75" s="383">
        <v>6.3678040219668901</v>
      </c>
      <c r="K75" s="383">
        <v>-2.9873259078625232</v>
      </c>
      <c r="L75" s="383">
        <v>6.3678040219668901</v>
      </c>
    </row>
    <row r="76" spans="4:31" ht="13.5" thickBot="1" x14ac:dyDescent="0.25">
      <c r="D76" s="385" t="s">
        <v>351</v>
      </c>
      <c r="E76" s="385">
        <v>0.69695122772293572</v>
      </c>
      <c r="F76" s="385">
        <v>0.10813081738222503</v>
      </c>
      <c r="G76" s="385">
        <v>6.4454449212135829</v>
      </c>
      <c r="H76" s="385">
        <v>9.4866119626287379E-7</v>
      </c>
      <c r="I76" s="385">
        <v>0.47425164058351688</v>
      </c>
      <c r="J76" s="385">
        <v>0.91965081486235456</v>
      </c>
      <c r="K76" s="385">
        <v>0.47425164058351688</v>
      </c>
      <c r="L76" s="385">
        <v>0.91965081486235456</v>
      </c>
    </row>
    <row r="78" spans="4:31" x14ac:dyDescent="0.2">
      <c r="D78" t="s">
        <v>329</v>
      </c>
    </row>
    <row r="79" spans="4:31" ht="13.5" thickBot="1" x14ac:dyDescent="0.25"/>
    <row r="80" spans="4:31" x14ac:dyDescent="0.2">
      <c r="D80" s="416" t="s">
        <v>330</v>
      </c>
      <c r="E80" s="416"/>
    </row>
    <row r="81" spans="4:12" x14ac:dyDescent="0.2">
      <c r="D81" s="383" t="s">
        <v>331</v>
      </c>
      <c r="E81" s="383">
        <v>0.75193369638627228</v>
      </c>
    </row>
    <row r="82" spans="4:12" x14ac:dyDescent="0.2">
      <c r="D82" s="383" t="s">
        <v>332</v>
      </c>
      <c r="E82" s="383">
        <v>0.56540428376112273</v>
      </c>
    </row>
    <row r="83" spans="4:12" x14ac:dyDescent="0.2">
      <c r="D83" s="383" t="s">
        <v>333</v>
      </c>
      <c r="E83" s="383">
        <v>0.53983982986471823</v>
      </c>
    </row>
    <row r="84" spans="4:12" x14ac:dyDescent="0.2">
      <c r="D84" s="383" t="s">
        <v>334</v>
      </c>
      <c r="E84" s="383">
        <v>2.8330185558078305</v>
      </c>
    </row>
    <row r="85" spans="4:12" ht="13.5" thickBot="1" x14ac:dyDescent="0.25">
      <c r="D85" s="385" t="s">
        <v>335</v>
      </c>
      <c r="E85" s="385">
        <v>19</v>
      </c>
    </row>
    <row r="87" spans="4:12" ht="13.5" thickBot="1" x14ac:dyDescent="0.25">
      <c r="D87" t="s">
        <v>336</v>
      </c>
    </row>
    <row r="88" spans="4:12" x14ac:dyDescent="0.2">
      <c r="D88" s="415"/>
      <c r="E88" s="415" t="s">
        <v>339</v>
      </c>
      <c r="F88" s="415" t="s">
        <v>340</v>
      </c>
      <c r="G88" s="415" t="s">
        <v>341</v>
      </c>
      <c r="H88" s="415" t="s">
        <v>342</v>
      </c>
      <c r="I88" s="415" t="s">
        <v>343</v>
      </c>
    </row>
    <row r="89" spans="4:12" x14ac:dyDescent="0.2">
      <c r="D89" s="383" t="s">
        <v>337</v>
      </c>
      <c r="E89" s="383">
        <v>1</v>
      </c>
      <c r="F89" s="383">
        <v>177.50942324848546</v>
      </c>
      <c r="G89" s="383">
        <v>177.50942324848546</v>
      </c>
      <c r="H89" s="383">
        <v>22.11681446638071</v>
      </c>
      <c r="I89" s="383">
        <v>2.0496214807064537E-4</v>
      </c>
    </row>
    <row r="90" spans="4:12" x14ac:dyDescent="0.2">
      <c r="D90" s="383" t="s">
        <v>338</v>
      </c>
      <c r="E90" s="383">
        <v>17</v>
      </c>
      <c r="F90" s="383">
        <v>136.44190033837526</v>
      </c>
      <c r="G90" s="383">
        <v>8.0259941375514856</v>
      </c>
      <c r="H90" s="383"/>
      <c r="I90" s="383"/>
    </row>
    <row r="91" spans="4:12" ht="13.5" thickBot="1" x14ac:dyDescent="0.25">
      <c r="D91" s="385" t="s">
        <v>29</v>
      </c>
      <c r="E91" s="385">
        <v>18</v>
      </c>
      <c r="F91" s="385">
        <v>313.95132358686072</v>
      </c>
      <c r="G91" s="385"/>
      <c r="H91" s="385"/>
      <c r="I91" s="385"/>
    </row>
    <row r="92" spans="4:12" ht="13.5" thickBot="1" x14ac:dyDescent="0.25"/>
    <row r="93" spans="4:12" x14ac:dyDescent="0.2">
      <c r="D93" s="415"/>
      <c r="E93" s="415" t="s">
        <v>344</v>
      </c>
      <c r="F93" s="415" t="s">
        <v>334</v>
      </c>
      <c r="G93" s="415" t="s">
        <v>345</v>
      </c>
      <c r="H93" s="415" t="s">
        <v>346</v>
      </c>
      <c r="I93" s="415" t="s">
        <v>347</v>
      </c>
      <c r="J93" s="415" t="s">
        <v>348</v>
      </c>
      <c r="K93" s="415" t="s">
        <v>349</v>
      </c>
      <c r="L93" s="415" t="s">
        <v>350</v>
      </c>
    </row>
    <row r="94" spans="4:12" x14ac:dyDescent="0.2">
      <c r="D94" s="383" t="s">
        <v>318</v>
      </c>
      <c r="E94" s="383">
        <v>1.9355993924535095</v>
      </c>
      <c r="F94" s="383">
        <v>2.4925392693003205</v>
      </c>
      <c r="G94" s="383">
        <v>0.77655723072994987</v>
      </c>
      <c r="H94" s="383">
        <v>0.44809083102678526</v>
      </c>
      <c r="I94" s="383">
        <v>-3.3231987862775796</v>
      </c>
      <c r="J94" s="383">
        <v>7.1943975711845987</v>
      </c>
      <c r="K94" s="383">
        <v>-3.3231987862775796</v>
      </c>
      <c r="L94" s="383">
        <v>7.1943975711845987</v>
      </c>
    </row>
    <row r="95" spans="4:12" ht="13.5" thickBot="1" x14ac:dyDescent="0.25">
      <c r="D95" s="385" t="s">
        <v>351</v>
      </c>
      <c r="E95" s="385">
        <v>0.5661738568438941</v>
      </c>
      <c r="F95" s="385">
        <v>0.12038947609392459</v>
      </c>
      <c r="G95" s="385">
        <v>4.7028517376567089</v>
      </c>
      <c r="H95" s="385">
        <v>2.049621480706442E-4</v>
      </c>
      <c r="I95" s="385">
        <v>0.31217426477374027</v>
      </c>
      <c r="J95" s="385">
        <v>0.82017344891404798</v>
      </c>
      <c r="K95" s="385">
        <v>0.31217426477374027</v>
      </c>
      <c r="L95" s="385">
        <v>0.82017344891404798</v>
      </c>
    </row>
    <row r="100" spans="3:4" ht="15" x14ac:dyDescent="0.25">
      <c r="C100" s="357">
        <v>9.8763206435065118</v>
      </c>
      <c r="D100" s="515">
        <v>7.8614919894415207</v>
      </c>
    </row>
    <row r="101" spans="3:4" ht="15" x14ac:dyDescent="0.25">
      <c r="C101" s="357">
        <v>9.1096535514581731</v>
      </c>
      <c r="D101" s="515">
        <v>7.251229622143839</v>
      </c>
    </row>
    <row r="102" spans="3:4" ht="15" x14ac:dyDescent="0.25">
      <c r="C102" s="357">
        <v>10.606807212792543</v>
      </c>
      <c r="D102" s="515">
        <v>8.442955006143114</v>
      </c>
    </row>
    <row r="103" spans="3:4" ht="15" x14ac:dyDescent="0.25">
      <c r="C103" s="357">
        <v>18.089417377825391</v>
      </c>
      <c r="D103" s="515">
        <v>14.399067969862479</v>
      </c>
    </row>
    <row r="104" spans="3:4" ht="15" x14ac:dyDescent="0.25">
      <c r="C104" s="357">
        <v>15.866221555976182</v>
      </c>
      <c r="D104" s="515">
        <v>12.629417455834044</v>
      </c>
    </row>
    <row r="105" spans="3:4" ht="15" x14ac:dyDescent="0.25">
      <c r="C105" s="357">
        <v>24.612523540600517</v>
      </c>
      <c r="D105" s="515">
        <v>19.591421608150476</v>
      </c>
    </row>
    <row r="106" spans="3:4" ht="15" x14ac:dyDescent="0.25">
      <c r="C106" s="357">
        <v>16.643368636371434</v>
      </c>
      <c r="D106" s="515">
        <v>13.248021972990847</v>
      </c>
    </row>
    <row r="107" spans="3:4" ht="15" x14ac:dyDescent="0.25">
      <c r="C107" s="357">
        <v>20.988338632942511</v>
      </c>
      <c r="D107" s="515">
        <v>16.706592158205311</v>
      </c>
    </row>
    <row r="108" spans="3:4" ht="15" x14ac:dyDescent="0.25">
      <c r="C108" s="357">
        <v>17.123668562470819</v>
      </c>
      <c r="D108" s="515">
        <v>13.630337888043579</v>
      </c>
    </row>
    <row r="109" spans="3:4" ht="15" x14ac:dyDescent="0.25">
      <c r="C109" s="357">
        <v>14.391111506989196</v>
      </c>
      <c r="D109" s="515">
        <v>11.455238803866758</v>
      </c>
    </row>
    <row r="110" spans="3:4" ht="15" x14ac:dyDescent="0.25">
      <c r="C110" s="357">
        <v>21.138611022357672</v>
      </c>
      <c r="D110" s="357">
        <v>22.332909871898103</v>
      </c>
    </row>
    <row r="111" spans="3:4" ht="15" x14ac:dyDescent="0.25">
      <c r="C111" s="357">
        <v>22.952499056451177</v>
      </c>
      <c r="D111" s="357">
        <v>26.730474837426488</v>
      </c>
    </row>
    <row r="112" spans="3:4" ht="15" x14ac:dyDescent="0.25">
      <c r="C112" s="357">
        <v>32.953940906252633</v>
      </c>
      <c r="D112" s="357">
        <v>26.472483123256296</v>
      </c>
    </row>
    <row r="113" spans="3:4" ht="15" x14ac:dyDescent="0.25">
      <c r="C113" s="357">
        <v>24.091164391156344</v>
      </c>
      <c r="D113" s="357">
        <v>16.360275068725652</v>
      </c>
    </row>
    <row r="114" spans="3:4" ht="15" x14ac:dyDescent="0.25">
      <c r="C114" s="357">
        <v>35.330517598883262</v>
      </c>
      <c r="D114" s="357">
        <v>30.216463755784535</v>
      </c>
    </row>
    <row r="115" spans="3:4" ht="15" x14ac:dyDescent="0.25">
      <c r="C115" s="357">
        <v>10.940622714295472</v>
      </c>
      <c r="D115" s="357">
        <v>16.533108779678816</v>
      </c>
    </row>
    <row r="116" spans="3:4" ht="15" x14ac:dyDescent="0.25">
      <c r="C116" s="357">
        <v>23.363972813135174</v>
      </c>
      <c r="D116" s="357">
        <v>12.943426195394036</v>
      </c>
    </row>
    <row r="117" spans="3:4" ht="15" x14ac:dyDescent="0.25">
      <c r="C117" s="357">
        <v>19.241649270166956</v>
      </c>
      <c r="D117" s="357">
        <v>13.251798142786908</v>
      </c>
    </row>
    <row r="118" spans="3:4" ht="15" x14ac:dyDescent="0.25">
      <c r="C118" s="357">
        <v>23.120417170785039</v>
      </c>
      <c r="D118" s="357">
        <v>17.703912478402</v>
      </c>
    </row>
    <row r="119" spans="3:4" ht="15" x14ac:dyDescent="0.25">
      <c r="C119" s="357">
        <v>19.33932517444871</v>
      </c>
      <c r="D119" s="357">
        <v>14.093062063722309</v>
      </c>
    </row>
    <row r="120" spans="3:4" ht="15" x14ac:dyDescent="0.25">
      <c r="C120" s="357">
        <v>18.517766497461928</v>
      </c>
      <c r="D120" s="357">
        <v>13.13156044166762</v>
      </c>
    </row>
    <row r="121" spans="3:4" ht="15" x14ac:dyDescent="0.25">
      <c r="C121" s="357">
        <v>28.297570627658363</v>
      </c>
      <c r="D121" s="357">
        <v>13.693784188724248</v>
      </c>
    </row>
    <row r="122" spans="3:4" ht="15" x14ac:dyDescent="0.25">
      <c r="C122" s="357">
        <v>26.75487603618517</v>
      </c>
      <c r="D122" s="357">
        <v>21.353244776023462</v>
      </c>
    </row>
    <row r="123" spans="3:4" ht="15" x14ac:dyDescent="0.25">
      <c r="C123" s="357">
        <v>25.000564615203018</v>
      </c>
      <c r="D123" s="357">
        <v>21.243938065236875</v>
      </c>
    </row>
    <row r="124" spans="3:4" ht="15" x14ac:dyDescent="0.25">
      <c r="C124" s="357">
        <v>20.242688222966915</v>
      </c>
      <c r="D124" s="357">
        <v>19.802798154554136</v>
      </c>
    </row>
    <row r="125" spans="3:4" ht="15" x14ac:dyDescent="0.25">
      <c r="C125" s="357">
        <v>15.981534403165531</v>
      </c>
      <c r="D125" s="357">
        <v>9.6815999967245574</v>
      </c>
    </row>
    <row r="126" spans="3:4" ht="15" x14ac:dyDescent="0.25">
      <c r="C126" s="357">
        <v>20.5271751807791</v>
      </c>
      <c r="D126" s="357">
        <v>13.815727007633757</v>
      </c>
    </row>
    <row r="127" spans="3:4" ht="15" x14ac:dyDescent="0.25">
      <c r="C127" s="357">
        <v>11.871539313399779</v>
      </c>
      <c r="D127" s="357">
        <v>8.4306036568628837</v>
      </c>
    </row>
    <row r="128" spans="3:4" ht="15" x14ac:dyDescent="0.25">
      <c r="C128" s="357">
        <v>24.105600789538613</v>
      </c>
      <c r="D128" s="357">
        <v>17.970020235028723</v>
      </c>
    </row>
    <row r="129" spans="3:6" ht="15" x14ac:dyDescent="0.25">
      <c r="C129" s="357">
        <v>15.543905635648755</v>
      </c>
      <c r="D129" s="357">
        <v>10.103236929863458</v>
      </c>
    </row>
    <row r="130" spans="3:6" ht="15" x14ac:dyDescent="0.25">
      <c r="C130" s="357">
        <v>16.434540389972145</v>
      </c>
      <c r="D130" s="357">
        <v>14.711441535122823</v>
      </c>
    </row>
    <row r="131" spans="3:6" ht="15" x14ac:dyDescent="0.25">
      <c r="C131" s="357">
        <v>13.117462415331241</v>
      </c>
      <c r="D131" s="357">
        <v>10.317732845706308</v>
      </c>
    </row>
    <row r="132" spans="3:6" ht="15" x14ac:dyDescent="0.25">
      <c r="C132" s="357">
        <v>10.321038207913109</v>
      </c>
      <c r="D132" s="357">
        <v>8.7729652486037555</v>
      </c>
    </row>
    <row r="133" spans="3:6" ht="15" x14ac:dyDescent="0.25">
      <c r="C133" s="357">
        <v>20.776031434184674</v>
      </c>
      <c r="D133" s="357">
        <v>14.953800094105157</v>
      </c>
    </row>
    <row r="134" spans="3:6" ht="15" x14ac:dyDescent="0.25">
      <c r="C134" s="357">
        <v>20.10543826220534</v>
      </c>
      <c r="D134" s="357">
        <v>13.094767997630491</v>
      </c>
    </row>
    <row r="135" spans="3:6" ht="15" x14ac:dyDescent="0.25">
      <c r="C135" s="357">
        <v>11.960478419136765</v>
      </c>
      <c r="D135" s="357">
        <v>10.45725</v>
      </c>
    </row>
    <row r="136" spans="3:6" ht="15" x14ac:dyDescent="0.25">
      <c r="C136" s="357">
        <v>4.0660000366615954</v>
      </c>
      <c r="D136" s="357">
        <v>6.3676899999999996</v>
      </c>
    </row>
    <row r="137" spans="3:6" ht="15" x14ac:dyDescent="0.25">
      <c r="C137" s="357">
        <v>4.989270386266095</v>
      </c>
      <c r="D137" s="357">
        <v>5.038938450516981</v>
      </c>
    </row>
    <row r="138" spans="3:6" ht="15" x14ac:dyDescent="0.25">
      <c r="C138" s="357">
        <f>0.0698021302058401*100</f>
        <v>6.9802130205840101</v>
      </c>
      <c r="D138" s="357">
        <v>6.6785793100720694</v>
      </c>
    </row>
    <row r="141" spans="3:6" x14ac:dyDescent="0.2">
      <c r="C141">
        <f>Z44</f>
        <v>5.6733232671714928</v>
      </c>
      <c r="F141" s="383">
        <f>C141^2*-35.669567+417.44703*C141-1222.691019</f>
        <v>-2.4610452958047517</v>
      </c>
    </row>
    <row r="142" spans="3:6" x14ac:dyDescent="0.2">
      <c r="C142">
        <v>5.6845212392425237</v>
      </c>
      <c r="D142">
        <v>-2.3021176940605539</v>
      </c>
      <c r="E142">
        <v>-2.3156757247161739</v>
      </c>
      <c r="F142" s="383">
        <f>C142^2*-35.669567+417.44703*C142-1222.691019</f>
        <v>-2.323112769779982</v>
      </c>
    </row>
    <row r="143" spans="3:6" x14ac:dyDescent="0.2">
      <c r="C143">
        <v>5.7000500275375154</v>
      </c>
      <c r="D143">
        <v>-2.2713528037349628</v>
      </c>
      <c r="E143">
        <v>-2.1407351537731749</v>
      </c>
      <c r="F143" s="383">
        <f t="shared" ref="F143:F175" si="17">C143^2*-35.669567+417.44703*C143-1222.691019</f>
        <v>-2.1466389231723042</v>
      </c>
    </row>
    <row r="144" spans="3:6" x14ac:dyDescent="0.2">
      <c r="C144">
        <v>5.7040925041114825</v>
      </c>
      <c r="D144">
        <v>-2.0153814034699842</v>
      </c>
      <c r="E144">
        <v>-2.0971738874158738</v>
      </c>
      <c r="F144" s="383">
        <f t="shared" si="17"/>
        <v>-2.1035210438151353</v>
      </c>
    </row>
    <row r="145" spans="3:6" x14ac:dyDescent="0.2">
      <c r="C145">
        <v>5.7093226550318166</v>
      </c>
      <c r="D145">
        <v>-2.0975120372967022</v>
      </c>
      <c r="E145">
        <v>-2.0422046117641663</v>
      </c>
      <c r="F145" s="383">
        <f t="shared" si="17"/>
        <v>-2.0494650633193032</v>
      </c>
    </row>
    <row r="146" spans="3:6" x14ac:dyDescent="0.2">
      <c r="C146">
        <v>5.7129193499533519</v>
      </c>
      <c r="D146">
        <v>-1.7057935220887233</v>
      </c>
      <c r="E146">
        <v>-2.0053360277242787</v>
      </c>
      <c r="F146" s="383">
        <f t="shared" si="17"/>
        <v>-2.0134240095535461</v>
      </c>
    </row>
    <row r="147" spans="3:6" x14ac:dyDescent="0.2">
      <c r="C147">
        <v>5.7138506674931229</v>
      </c>
      <c r="D147">
        <v>-1.8049175538055664</v>
      </c>
      <c r="E147">
        <v>-1.99609706952612</v>
      </c>
      <c r="F147" s="383">
        <f t="shared" si="17"/>
        <v>-2.0042420649283486</v>
      </c>
    </row>
    <row r="148" spans="3:6" x14ac:dyDescent="0.2">
      <c r="C148">
        <v>5.7153031575908715</v>
      </c>
      <c r="D148">
        <v>-2.5069285670812755</v>
      </c>
      <c r="E148">
        <v>-1.9823561969743098</v>
      </c>
      <c r="F148" s="383">
        <f t="shared" si="17"/>
        <v>-1.9900453368286435</v>
      </c>
    </row>
    <row r="149" spans="3:6" x14ac:dyDescent="0.2">
      <c r="C149">
        <v>5.7181235919268589</v>
      </c>
      <c r="D149">
        <v>-1.9337040220618156</v>
      </c>
      <c r="E149">
        <v>-1.9694422500031208</v>
      </c>
      <c r="F149" s="383">
        <f t="shared" si="17"/>
        <v>-1.9629081089788087</v>
      </c>
    </row>
    <row r="150" spans="3:6" x14ac:dyDescent="0.2">
      <c r="C150">
        <v>5.7259976483577644</v>
      </c>
      <c r="D150">
        <v>-1.5218702925793259</v>
      </c>
      <c r="E150">
        <v>-1.94200285561547</v>
      </c>
      <c r="F150" s="383">
        <f t="shared" si="17"/>
        <v>-1.8901504050022595</v>
      </c>
    </row>
    <row r="151" spans="3:6" x14ac:dyDescent="0.2">
      <c r="C151">
        <v>5.7356589163835716</v>
      </c>
      <c r="D151">
        <v>-1.6158459112728634</v>
      </c>
      <c r="E151">
        <v>-1.9040124235875</v>
      </c>
      <c r="F151" s="383">
        <f t="shared" si="17"/>
        <v>-1.8069214481056406</v>
      </c>
    </row>
    <row r="152" spans="3:6" x14ac:dyDescent="0.2">
      <c r="C152">
        <v>5.7358436241528263</v>
      </c>
      <c r="D152">
        <v>-2.0810004982667616</v>
      </c>
      <c r="E152">
        <v>-1.9029757037378485</v>
      </c>
      <c r="F152" s="383">
        <f t="shared" si="17"/>
        <v>-1.805395115169631</v>
      </c>
    </row>
    <row r="153" spans="3:6" x14ac:dyDescent="0.2">
      <c r="C153">
        <v>5.7404357923042362</v>
      </c>
      <c r="D153">
        <v>-2.0574206854089123</v>
      </c>
      <c r="E153">
        <v>-1.8630781711163609</v>
      </c>
      <c r="F153" s="383">
        <f t="shared" si="17"/>
        <v>-1.7682301819590975</v>
      </c>
    </row>
    <row r="154" spans="3:6" x14ac:dyDescent="0.2">
      <c r="C154">
        <v>5.7406499938687272</v>
      </c>
      <c r="D154">
        <v>-2.3240511528889236</v>
      </c>
      <c r="E154">
        <v>-1.8624122752422161</v>
      </c>
      <c r="F154" s="383">
        <f t="shared" si="17"/>
        <v>-1.7665333475695206</v>
      </c>
    </row>
    <row r="155" spans="3:6" x14ac:dyDescent="0.2">
      <c r="C155">
        <v>5.7409053280902533</v>
      </c>
      <c r="D155">
        <v>-1.8548765260182485</v>
      </c>
      <c r="E155">
        <v>-1.8594961935167607</v>
      </c>
      <c r="F155" s="383">
        <f t="shared" si="17"/>
        <v>-1.7645149501634023</v>
      </c>
    </row>
    <row r="156" spans="3:6" x14ac:dyDescent="0.2">
      <c r="C156">
        <v>5.7487041620477131</v>
      </c>
      <c r="D156">
        <v>-1.7236834352777373</v>
      </c>
      <c r="E156">
        <v>-1.73768454607595</v>
      </c>
      <c r="F156" s="383">
        <f t="shared" si="17"/>
        <v>-1.7051062836453639</v>
      </c>
    </row>
    <row r="157" spans="3:6" x14ac:dyDescent="0.2">
      <c r="C157">
        <v>5.7582836766211472</v>
      </c>
      <c r="D157">
        <v>-1.3445250527522796</v>
      </c>
      <c r="E157">
        <v>-1.5501262286047888</v>
      </c>
      <c r="F157" s="383">
        <f t="shared" si="17"/>
        <v>-1.638071174992092</v>
      </c>
    </row>
    <row r="158" spans="3:6" x14ac:dyDescent="0.2">
      <c r="C158">
        <v>5.7613940749016823</v>
      </c>
      <c r="D158">
        <v>-1.4341178517968143</v>
      </c>
      <c r="E158">
        <v>-1.4799415749314684</v>
      </c>
      <c r="F158" s="383">
        <f t="shared" si="17"/>
        <v>-1.6177132679420083</v>
      </c>
    </row>
    <row r="159" spans="3:6" x14ac:dyDescent="0.2">
      <c r="C159">
        <v>5.762519625873785</v>
      </c>
      <c r="D159">
        <v>-1.647720925236398</v>
      </c>
      <c r="E159">
        <v>-1.4536694181102368</v>
      </c>
      <c r="F159" s="383">
        <f t="shared" si="17"/>
        <v>-1.61051647459999</v>
      </c>
    </row>
    <row r="160" spans="3:6" x14ac:dyDescent="0.2">
      <c r="C160">
        <v>5.7650029973198258</v>
      </c>
      <c r="D160">
        <v>-1.2154115564143602</v>
      </c>
      <c r="E160">
        <v>-1.4431126213645011</v>
      </c>
      <c r="F160" s="383">
        <f t="shared" si="17"/>
        <v>-1.5949574336832484</v>
      </c>
    </row>
    <row r="161" spans="3:6" x14ac:dyDescent="0.2">
      <c r="C161">
        <v>5.7676958003998537</v>
      </c>
      <c r="D161">
        <v>-1.5401983048090619</v>
      </c>
      <c r="E161">
        <v>-1.445217533532462</v>
      </c>
      <c r="F161" s="383">
        <f t="shared" si="17"/>
        <v>-1.5785834203204558</v>
      </c>
    </row>
    <row r="162" spans="3:6" x14ac:dyDescent="0.2">
      <c r="C162">
        <v>5.7759874289750677</v>
      </c>
      <c r="D162">
        <v>-1.2230327529130853</v>
      </c>
      <c r="E162">
        <v>-1.4493147385140928</v>
      </c>
      <c r="F162" s="383">
        <f t="shared" si="17"/>
        <v>-1.5314136088095438</v>
      </c>
    </row>
    <row r="163" spans="3:6" x14ac:dyDescent="0.2">
      <c r="C163">
        <v>5.7794079563283649</v>
      </c>
      <c r="D163">
        <v>-1.4900911548015343</v>
      </c>
      <c r="E163">
        <v>-1.4490373924897939</v>
      </c>
      <c r="F163" s="383">
        <f t="shared" si="17"/>
        <v>-1.5133837351718284</v>
      </c>
    </row>
    <row r="164" spans="3:6" x14ac:dyDescent="0.2">
      <c r="C164">
        <v>5.7802428899996459</v>
      </c>
      <c r="D164">
        <v>-1.2631653721946752</v>
      </c>
      <c r="E164">
        <v>-1.4487470692948206</v>
      </c>
      <c r="F164" s="383">
        <f t="shared" si="17"/>
        <v>-1.5091094678780337</v>
      </c>
    </row>
    <row r="165" spans="3:6" x14ac:dyDescent="0.2">
      <c r="C165">
        <v>5.7821314410671771</v>
      </c>
      <c r="D165">
        <v>-1.54934162170251</v>
      </c>
      <c r="E165">
        <v>-1.4457691062129481</v>
      </c>
      <c r="F165" s="383">
        <f t="shared" si="17"/>
        <v>-1.499624892240945</v>
      </c>
    </row>
    <row r="166" spans="3:6" x14ac:dyDescent="0.2">
      <c r="C166">
        <v>5.7842921062708186</v>
      </c>
      <c r="D166">
        <v>-1.9262415493112972</v>
      </c>
      <c r="E166">
        <v>-1.4416626425649661</v>
      </c>
      <c r="F166" s="383">
        <f t="shared" si="17"/>
        <v>-1.4890857932618928</v>
      </c>
    </row>
    <row r="167" spans="3:6" x14ac:dyDescent="0.2">
      <c r="C167">
        <v>5.7852984555040123</v>
      </c>
      <c r="D167">
        <v>-1.4390799043819162</v>
      </c>
      <c r="E167">
        <v>-1.4410257613803441</v>
      </c>
      <c r="F167" s="383">
        <f t="shared" si="17"/>
        <v>-1.484290796495543</v>
      </c>
    </row>
    <row r="168" spans="3:6" x14ac:dyDescent="0.2">
      <c r="C168">
        <v>5.7901640237162244</v>
      </c>
      <c r="D168">
        <v>-1.4631989329613786</v>
      </c>
      <c r="E168">
        <v>-1.4591281666226719</v>
      </c>
      <c r="F168" s="383">
        <f t="shared" si="17"/>
        <v>-1.4621266953115537</v>
      </c>
    </row>
    <row r="169" spans="3:6" x14ac:dyDescent="0.2">
      <c r="C169">
        <v>5.7944300202889716</v>
      </c>
      <c r="D169">
        <v>-1.0629809890219124</v>
      </c>
      <c r="E169">
        <v>-1.4905844472448027</v>
      </c>
      <c r="F169" s="383">
        <f t="shared" si="17"/>
        <v>-1.4440833361188652</v>
      </c>
    </row>
    <row r="170" spans="3:6" x14ac:dyDescent="0.2">
      <c r="C170">
        <v>5.8038939440253587</v>
      </c>
      <c r="D170">
        <v>-1.5788598165208125</v>
      </c>
      <c r="E170">
        <v>-1.5554448866208355</v>
      </c>
      <c r="F170" s="383">
        <f t="shared" si="17"/>
        <v>-1.4086898108998867</v>
      </c>
    </row>
    <row r="171" spans="3:6" x14ac:dyDescent="0.2">
      <c r="C171">
        <v>5.8051349689164882</v>
      </c>
      <c r="D171">
        <v>-1.5205494543401712</v>
      </c>
      <c r="E171">
        <v>-1.5634937465902057</v>
      </c>
      <c r="F171" s="383">
        <f t="shared" si="17"/>
        <v>-1.4045224550432067</v>
      </c>
    </row>
    <row r="172" spans="3:6" x14ac:dyDescent="0.2">
      <c r="C172">
        <v>5.8065508177463192</v>
      </c>
      <c r="D172">
        <v>-1.4718240646117786</v>
      </c>
      <c r="E172">
        <v>-1.5728348464056963</v>
      </c>
      <c r="F172" s="383">
        <f t="shared" si="17"/>
        <v>-1.399902220542117</v>
      </c>
    </row>
    <row r="173" spans="3:6" x14ac:dyDescent="0.2">
      <c r="C173">
        <v>5.8135333386153203</v>
      </c>
      <c r="D173">
        <v>-1.847331502415652</v>
      </c>
      <c r="E173">
        <v>-1.5593010759493584</v>
      </c>
      <c r="F173" s="383">
        <f t="shared" si="17"/>
        <v>-1.3792084052640803</v>
      </c>
    </row>
    <row r="174" spans="3:6" x14ac:dyDescent="0.2">
      <c r="C174">
        <v>5.846484649773882</v>
      </c>
      <c r="D174">
        <v>-1.402521947818931</v>
      </c>
      <c r="E174">
        <v>-1.3141049841529988</v>
      </c>
      <c r="F174" s="383">
        <f t="shared" si="17"/>
        <v>-1.3284885232528723</v>
      </c>
    </row>
    <row r="175" spans="3:6" x14ac:dyDescent="0.2">
      <c r="C175">
        <v>5.8562173976999565</v>
      </c>
      <c r="D175">
        <v>-1.08587326289068</v>
      </c>
      <c r="E175">
        <v>-1.2575235276839374</v>
      </c>
      <c r="F175" s="383">
        <f t="shared" si="17"/>
        <v>-1.3283258380683947</v>
      </c>
    </row>
    <row r="178" spans="3:7" x14ac:dyDescent="0.2">
      <c r="C178" s="552">
        <f>C141</f>
        <v>5.6733232671714928</v>
      </c>
      <c r="F178" s="383">
        <f t="shared" ref="F178:F215" si="18">C178^2*-35.669567+417.44703*C178-1222.691019</f>
        <v>-2.4610452958047517</v>
      </c>
      <c r="G178" s="383"/>
    </row>
    <row r="179" spans="3:7" x14ac:dyDescent="0.2">
      <c r="C179">
        <f>C178+0.005</f>
        <v>5.6783232671714927</v>
      </c>
      <c r="F179" s="383">
        <f t="shared" si="18"/>
        <v>-2.3983517288897929</v>
      </c>
      <c r="G179" s="383">
        <f>C179*6.1087326-36.8731627</f>
        <v>-2.1858042444909955</v>
      </c>
    </row>
    <row r="180" spans="3:7" x14ac:dyDescent="0.2">
      <c r="C180">
        <f t="shared" ref="C180:C214" si="19">C179+0.005</f>
        <v>5.6833232671714926</v>
      </c>
      <c r="F180" s="383">
        <f t="shared" si="18"/>
        <v>-2.3374416403253235</v>
      </c>
      <c r="G180" s="383">
        <f t="shared" ref="G180:G215" si="20">C180*6.1087326-36.8731627</f>
        <v>-2.1552605814909995</v>
      </c>
    </row>
    <row r="181" spans="3:7" x14ac:dyDescent="0.2">
      <c r="C181">
        <f t="shared" si="19"/>
        <v>5.6883232671714925</v>
      </c>
      <c r="F181" s="383">
        <f t="shared" si="18"/>
        <v>-2.2783150301104342</v>
      </c>
      <c r="G181" s="383">
        <f t="shared" si="20"/>
        <v>-2.1247169184909964</v>
      </c>
    </row>
    <row r="182" spans="3:7" x14ac:dyDescent="0.2">
      <c r="C182">
        <f t="shared" si="19"/>
        <v>5.6933232671714924</v>
      </c>
      <c r="F182" s="383">
        <f t="shared" si="18"/>
        <v>-2.2209718982458071</v>
      </c>
      <c r="G182" s="383">
        <f t="shared" si="20"/>
        <v>-2.0941732554910004</v>
      </c>
    </row>
    <row r="183" spans="3:7" x14ac:dyDescent="0.2">
      <c r="C183">
        <f t="shared" si="19"/>
        <v>5.6983232671714923</v>
      </c>
      <c r="F183" s="383">
        <f t="shared" si="18"/>
        <v>-2.1654122447309874</v>
      </c>
      <c r="G183" s="383">
        <f t="shared" si="20"/>
        <v>-2.0636295924909973</v>
      </c>
    </row>
    <row r="184" spans="3:7" x14ac:dyDescent="0.2">
      <c r="C184">
        <f t="shared" si="19"/>
        <v>5.7033232671714922</v>
      </c>
      <c r="F184" s="383">
        <f t="shared" si="18"/>
        <v>-2.1116360695664298</v>
      </c>
      <c r="G184" s="383">
        <f t="shared" si="20"/>
        <v>-2.0330859294910013</v>
      </c>
    </row>
    <row r="185" spans="3:7" x14ac:dyDescent="0.2">
      <c r="C185">
        <f t="shared" si="19"/>
        <v>5.7083232671714921</v>
      </c>
      <c r="F185" s="383">
        <f t="shared" si="18"/>
        <v>-2.0596433727516796</v>
      </c>
      <c r="G185" s="383">
        <f t="shared" si="20"/>
        <v>-2.0025422664909982</v>
      </c>
    </row>
    <row r="186" spans="3:7" x14ac:dyDescent="0.2">
      <c r="C186">
        <f t="shared" si="19"/>
        <v>5.713323267171492</v>
      </c>
      <c r="F186" s="383">
        <f t="shared" si="18"/>
        <v>-2.0094341542871916</v>
      </c>
      <c r="G186" s="383">
        <f t="shared" si="20"/>
        <v>-1.9719986034910022</v>
      </c>
    </row>
    <row r="187" spans="3:7" x14ac:dyDescent="0.2">
      <c r="C187">
        <f t="shared" si="19"/>
        <v>5.7183232671714919</v>
      </c>
      <c r="F187" s="383">
        <f t="shared" si="18"/>
        <v>-1.9610084141727384</v>
      </c>
      <c r="G187" s="383">
        <f t="shared" si="20"/>
        <v>-1.9414549404909991</v>
      </c>
    </row>
    <row r="188" spans="3:7" x14ac:dyDescent="0.2">
      <c r="C188">
        <f t="shared" si="19"/>
        <v>5.7233232671714918</v>
      </c>
      <c r="F188" s="383">
        <f t="shared" si="18"/>
        <v>-1.9143661524076379</v>
      </c>
      <c r="G188" s="383">
        <f t="shared" si="20"/>
        <v>-1.9109112774910031</v>
      </c>
    </row>
    <row r="189" spans="3:7" x14ac:dyDescent="0.2">
      <c r="C189">
        <f t="shared" si="19"/>
        <v>5.7283232671714917</v>
      </c>
      <c r="F189" s="383">
        <f t="shared" si="18"/>
        <v>-1.8695073689932542</v>
      </c>
      <c r="G189" s="383">
        <f t="shared" si="20"/>
        <v>-1.880367614491</v>
      </c>
    </row>
    <row r="190" spans="3:7" x14ac:dyDescent="0.2">
      <c r="C190">
        <f t="shared" si="19"/>
        <v>5.7333232671714915</v>
      </c>
      <c r="F190" s="383">
        <f t="shared" si="18"/>
        <v>-1.8264320639284506</v>
      </c>
      <c r="G190" s="383">
        <f t="shared" si="20"/>
        <v>-1.849823951491004</v>
      </c>
    </row>
    <row r="191" spans="3:7" x14ac:dyDescent="0.2">
      <c r="C191">
        <f t="shared" si="19"/>
        <v>5.7383232671714914</v>
      </c>
      <c r="F191" s="383">
        <f t="shared" si="18"/>
        <v>-1.7851402372136818</v>
      </c>
      <c r="G191" s="383">
        <f t="shared" si="20"/>
        <v>-1.8192802884910009</v>
      </c>
    </row>
    <row r="192" spans="3:7" x14ac:dyDescent="0.2">
      <c r="C192">
        <f t="shared" si="19"/>
        <v>5.7433232671714913</v>
      </c>
      <c r="F192" s="383">
        <f t="shared" si="18"/>
        <v>-1.7456318888489477</v>
      </c>
      <c r="G192" s="383">
        <f t="shared" si="20"/>
        <v>-1.7887366254910049</v>
      </c>
    </row>
    <row r="193" spans="3:7" x14ac:dyDescent="0.2">
      <c r="C193">
        <f t="shared" si="19"/>
        <v>5.7483232671714912</v>
      </c>
      <c r="F193" s="383">
        <f t="shared" si="18"/>
        <v>-1.7079070188344758</v>
      </c>
      <c r="G193" s="383">
        <f t="shared" si="20"/>
        <v>-1.7581929624910018</v>
      </c>
    </row>
    <row r="194" spans="3:7" x14ac:dyDescent="0.2">
      <c r="C194">
        <f t="shared" si="19"/>
        <v>5.7533232671714911</v>
      </c>
      <c r="F194" s="383">
        <f t="shared" si="18"/>
        <v>-1.6719656271693566</v>
      </c>
      <c r="G194" s="383">
        <f t="shared" si="20"/>
        <v>-1.7276492994910058</v>
      </c>
    </row>
    <row r="195" spans="3:7" x14ac:dyDescent="0.2">
      <c r="C195">
        <f t="shared" si="19"/>
        <v>5.758323267171491</v>
      </c>
      <c r="F195" s="383">
        <f t="shared" si="18"/>
        <v>-1.6378077138551816</v>
      </c>
      <c r="G195" s="383">
        <f t="shared" si="20"/>
        <v>-1.6971056364910098</v>
      </c>
    </row>
    <row r="196" spans="3:7" x14ac:dyDescent="0.2">
      <c r="C196">
        <f t="shared" si="19"/>
        <v>5.7633232671714909</v>
      </c>
      <c r="F196" s="383">
        <f t="shared" si="18"/>
        <v>-1.605433278890132</v>
      </c>
      <c r="G196" s="383">
        <f t="shared" si="20"/>
        <v>-1.6665619734910067</v>
      </c>
    </row>
    <row r="197" spans="3:7" x14ac:dyDescent="0.2">
      <c r="C197">
        <f t="shared" si="19"/>
        <v>5.7683232671714908</v>
      </c>
      <c r="F197" s="383">
        <f t="shared" si="18"/>
        <v>-1.5748423222755719</v>
      </c>
      <c r="G197" s="383">
        <f t="shared" si="20"/>
        <v>-1.6360183104910107</v>
      </c>
    </row>
    <row r="198" spans="3:7" x14ac:dyDescent="0.2">
      <c r="C198">
        <f t="shared" si="19"/>
        <v>5.7733232671714907</v>
      </c>
      <c r="F198" s="383">
        <f t="shared" si="18"/>
        <v>-1.5460348440108191</v>
      </c>
      <c r="G198" s="383">
        <f t="shared" si="20"/>
        <v>-1.6054746474910075</v>
      </c>
    </row>
    <row r="199" spans="3:7" x14ac:dyDescent="0.2">
      <c r="C199">
        <f t="shared" si="19"/>
        <v>5.7783232671714906</v>
      </c>
      <c r="F199" s="383">
        <f t="shared" si="18"/>
        <v>-1.5190108440963286</v>
      </c>
      <c r="G199" s="383">
        <f t="shared" si="20"/>
        <v>-1.5749309844910115</v>
      </c>
    </row>
    <row r="200" spans="3:7" x14ac:dyDescent="0.2">
      <c r="C200">
        <f t="shared" si="19"/>
        <v>5.7833232671714905</v>
      </c>
      <c r="F200" s="383">
        <f t="shared" si="18"/>
        <v>-1.4937703225314181</v>
      </c>
      <c r="G200" s="383">
        <f t="shared" si="20"/>
        <v>-1.5443873214910084</v>
      </c>
    </row>
    <row r="201" spans="3:7" x14ac:dyDescent="0.2">
      <c r="C201">
        <f t="shared" si="19"/>
        <v>5.7883232671714904</v>
      </c>
      <c r="F201" s="383">
        <f t="shared" si="18"/>
        <v>-1.4703132793167697</v>
      </c>
      <c r="G201" s="383">
        <f t="shared" si="20"/>
        <v>-1.5138436584910124</v>
      </c>
    </row>
    <row r="202" spans="3:7" x14ac:dyDescent="0.2">
      <c r="C202">
        <f t="shared" si="19"/>
        <v>5.7933232671714903</v>
      </c>
      <c r="F202" s="383">
        <f t="shared" si="18"/>
        <v>-1.4486397144519287</v>
      </c>
      <c r="G202" s="383">
        <f t="shared" si="20"/>
        <v>-1.4832999954910093</v>
      </c>
    </row>
    <row r="203" spans="3:7" x14ac:dyDescent="0.2">
      <c r="C203">
        <f t="shared" si="19"/>
        <v>5.7983232671714902</v>
      </c>
      <c r="F203" s="383">
        <f t="shared" si="18"/>
        <v>-1.4287496279375773</v>
      </c>
      <c r="G203" s="383">
        <f t="shared" si="20"/>
        <v>-1.4527563324910133</v>
      </c>
    </row>
    <row r="204" spans="3:7" x14ac:dyDescent="0.2">
      <c r="C204">
        <f t="shared" si="19"/>
        <v>5.8033232671714901</v>
      </c>
      <c r="F204" s="383">
        <f t="shared" si="18"/>
        <v>-1.4106430197732607</v>
      </c>
      <c r="G204" s="383">
        <f t="shared" si="20"/>
        <v>-1.4222126694910102</v>
      </c>
    </row>
    <row r="205" spans="3:7" x14ac:dyDescent="0.2">
      <c r="C205">
        <f t="shared" si="19"/>
        <v>5.8083232671714899</v>
      </c>
      <c r="F205" s="383">
        <f t="shared" si="18"/>
        <v>-1.3943198899582967</v>
      </c>
      <c r="G205" s="383">
        <f t="shared" si="20"/>
        <v>-1.3916690064910142</v>
      </c>
    </row>
    <row r="206" spans="3:7" x14ac:dyDescent="0.2">
      <c r="C206">
        <f t="shared" si="19"/>
        <v>5.8133232671714898</v>
      </c>
      <c r="F206" s="383">
        <f t="shared" si="18"/>
        <v>-1.3797802384938223</v>
      </c>
      <c r="G206" s="383">
        <f t="shared" si="20"/>
        <v>-1.3611253434910111</v>
      </c>
    </row>
    <row r="207" spans="3:7" x14ac:dyDescent="0.2">
      <c r="C207">
        <f t="shared" si="19"/>
        <v>5.8183232671714897</v>
      </c>
      <c r="F207" s="383">
        <f t="shared" si="18"/>
        <v>-1.3670240653789278</v>
      </c>
      <c r="G207" s="383">
        <f t="shared" si="20"/>
        <v>-1.3305816804910151</v>
      </c>
    </row>
    <row r="208" spans="3:7" x14ac:dyDescent="0.2">
      <c r="C208">
        <f t="shared" si="19"/>
        <v>5.8233232671714896</v>
      </c>
      <c r="F208" s="383">
        <f t="shared" si="18"/>
        <v>-1.3560513706142956</v>
      </c>
      <c r="G208" s="383">
        <f t="shared" si="20"/>
        <v>-1.300038017491012</v>
      </c>
    </row>
    <row r="209" spans="3:7" x14ac:dyDescent="0.2">
      <c r="C209">
        <f t="shared" si="19"/>
        <v>5.8283232671714895</v>
      </c>
      <c r="F209" s="383">
        <f t="shared" si="18"/>
        <v>-1.3468621541994708</v>
      </c>
      <c r="G209" s="383">
        <f t="shared" si="20"/>
        <v>-1.269494354491016</v>
      </c>
    </row>
    <row r="210" spans="3:7" x14ac:dyDescent="0.2">
      <c r="C210">
        <f t="shared" si="19"/>
        <v>5.8333232671714894</v>
      </c>
      <c r="F210" s="383">
        <f t="shared" si="18"/>
        <v>-1.3394564161349081</v>
      </c>
      <c r="G210" s="383">
        <f t="shared" si="20"/>
        <v>-1.2389506914910129</v>
      </c>
    </row>
    <row r="211" spans="3:7" x14ac:dyDescent="0.2">
      <c r="C211">
        <f t="shared" si="19"/>
        <v>5.8383232671714893</v>
      </c>
      <c r="F211" s="383">
        <f t="shared" si="18"/>
        <v>-1.3338341564199254</v>
      </c>
      <c r="G211" s="383">
        <f t="shared" si="20"/>
        <v>-1.2084070284910169</v>
      </c>
    </row>
    <row r="212" spans="3:7" x14ac:dyDescent="0.2">
      <c r="C212">
        <f t="shared" si="19"/>
        <v>5.8433232671714892</v>
      </c>
      <c r="F212" s="383">
        <f t="shared" si="18"/>
        <v>-1.3299953750556597</v>
      </c>
      <c r="G212" s="383">
        <f t="shared" si="20"/>
        <v>-1.1778633654910209</v>
      </c>
    </row>
    <row r="213" spans="3:7" x14ac:dyDescent="0.2">
      <c r="C213">
        <f t="shared" si="19"/>
        <v>5.8483232671714891</v>
      </c>
      <c r="F213" s="383">
        <f t="shared" si="18"/>
        <v>-1.3279400720407466</v>
      </c>
      <c r="G213" s="383">
        <f t="shared" si="20"/>
        <v>-1.1473197024910178</v>
      </c>
    </row>
    <row r="214" spans="3:7" x14ac:dyDescent="0.2">
      <c r="C214">
        <f t="shared" si="19"/>
        <v>5.853323267171489</v>
      </c>
      <c r="F214" s="383">
        <f t="shared" si="18"/>
        <v>-1.3276682473760957</v>
      </c>
      <c r="G214" s="383">
        <f t="shared" si="20"/>
        <v>-1.1167760394910218</v>
      </c>
    </row>
    <row r="215" spans="3:7" x14ac:dyDescent="0.2">
      <c r="C215" s="552">
        <f>C175</f>
        <v>5.8562173976999565</v>
      </c>
      <c r="F215" s="383">
        <f t="shared" si="18"/>
        <v>-1.3283258380683947</v>
      </c>
      <c r="G215" s="383">
        <f t="shared" si="20"/>
        <v>-1.0990965699831108</v>
      </c>
    </row>
  </sheetData>
  <sortState ref="C142:D178">
    <sortCondition ref="C142:C178"/>
  </sortState>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2:BI122"/>
  <sheetViews>
    <sheetView topLeftCell="AV90" zoomScaleNormal="100" workbookViewId="0">
      <selection activeCell="BQ113" sqref="BQ113"/>
    </sheetView>
  </sheetViews>
  <sheetFormatPr defaultRowHeight="12.75" x14ac:dyDescent="0.2"/>
  <cols>
    <col min="2" max="2" width="12.140625" style="284" bestFit="1" customWidth="1"/>
    <col min="3" max="3" width="13.28515625" style="284" bestFit="1" customWidth="1"/>
    <col min="4" max="5" width="14.7109375" style="284" bestFit="1" customWidth="1"/>
    <col min="6" max="6" width="12.140625" style="284" bestFit="1" customWidth="1"/>
    <col min="7" max="7" width="13.28515625" style="284" bestFit="1" customWidth="1"/>
    <col min="8" max="8" width="13.28515625" style="284" customWidth="1"/>
    <col min="12" max="12" width="12.28515625" customWidth="1"/>
    <col min="13" max="13" width="11.85546875" customWidth="1"/>
    <col min="18" max="18" width="10.5703125" bestFit="1" customWidth="1"/>
    <col min="26" max="26" width="9.7109375" customWidth="1"/>
  </cols>
  <sheetData>
    <row r="2" spans="1:60" x14ac:dyDescent="0.2">
      <c r="BB2" s="399" t="s">
        <v>3</v>
      </c>
      <c r="BC2" s="402" t="s">
        <v>324</v>
      </c>
      <c r="BD2" s="398" t="s">
        <v>325</v>
      </c>
      <c r="BE2" s="398"/>
    </row>
    <row r="3" spans="1:60" ht="15.75" thickBot="1" x14ac:dyDescent="0.25">
      <c r="M3" s="347" t="s">
        <v>293</v>
      </c>
      <c r="BB3" s="400">
        <v>1978</v>
      </c>
      <c r="BC3" s="401">
        <v>10000</v>
      </c>
      <c r="BD3" s="405">
        <f t="shared" ref="BD3:BD38" si="0">BC3/1000</f>
        <v>10</v>
      </c>
      <c r="BE3" s="405"/>
    </row>
    <row r="4" spans="1:60" ht="15" x14ac:dyDescent="0.2">
      <c r="A4" s="305"/>
      <c r="B4" s="309" t="s">
        <v>274</v>
      </c>
      <c r="C4" s="309" t="s">
        <v>205</v>
      </c>
      <c r="D4" s="309" t="s">
        <v>92</v>
      </c>
      <c r="E4" s="309" t="s">
        <v>275</v>
      </c>
      <c r="F4" s="309" t="s">
        <v>152</v>
      </c>
      <c r="G4" s="309" t="s">
        <v>276</v>
      </c>
      <c r="H4" s="341"/>
      <c r="J4" s="342" t="s">
        <v>296</v>
      </c>
      <c r="K4" s="342"/>
      <c r="L4" s="346"/>
      <c r="M4" s="347" t="s">
        <v>290</v>
      </c>
      <c r="N4" t="s">
        <v>184</v>
      </c>
      <c r="Q4" t="s">
        <v>184</v>
      </c>
      <c r="T4" t="s">
        <v>152</v>
      </c>
      <c r="W4" t="s">
        <v>2</v>
      </c>
      <c r="AC4">
        <f>(AC36-AC7)/AC7</f>
        <v>-0.50004455773451773</v>
      </c>
      <c r="BB4" s="404">
        <v>1979</v>
      </c>
      <c r="BC4" s="401">
        <v>35000</v>
      </c>
      <c r="BD4" s="405">
        <f t="shared" si="0"/>
        <v>35</v>
      </c>
      <c r="BE4" s="405"/>
    </row>
    <row r="5" spans="1:60" ht="15" x14ac:dyDescent="0.2">
      <c r="A5" s="306" t="s">
        <v>24</v>
      </c>
      <c r="B5" s="310" t="s">
        <v>125</v>
      </c>
      <c r="C5" s="310" t="s">
        <v>124</v>
      </c>
      <c r="D5" s="310" t="s">
        <v>277</v>
      </c>
      <c r="E5" s="310" t="s">
        <v>278</v>
      </c>
      <c r="F5" s="310" t="s">
        <v>279</v>
      </c>
      <c r="G5" s="310" t="s">
        <v>125</v>
      </c>
      <c r="H5" s="310"/>
      <c r="I5" s="310" t="s">
        <v>287</v>
      </c>
      <c r="J5" s="310" t="s">
        <v>113</v>
      </c>
      <c r="K5" s="345" t="s">
        <v>295</v>
      </c>
      <c r="L5" s="346"/>
      <c r="M5" s="310" t="s">
        <v>291</v>
      </c>
      <c r="N5" t="s">
        <v>323</v>
      </c>
      <c r="O5" t="s">
        <v>7</v>
      </c>
      <c r="P5" t="s">
        <v>6</v>
      </c>
      <c r="Q5" t="s">
        <v>323</v>
      </c>
      <c r="R5" t="s">
        <v>7</v>
      </c>
      <c r="S5" t="s">
        <v>6</v>
      </c>
      <c r="T5" t="s">
        <v>18</v>
      </c>
      <c r="U5" t="s">
        <v>7</v>
      </c>
      <c r="V5" t="s">
        <v>6</v>
      </c>
      <c r="W5" t="s">
        <v>328</v>
      </c>
      <c r="Y5" t="s">
        <v>287</v>
      </c>
      <c r="BB5" s="404">
        <v>1980</v>
      </c>
      <c r="BC5" s="401">
        <v>300</v>
      </c>
      <c r="BD5" s="405">
        <f t="shared" si="0"/>
        <v>0.3</v>
      </c>
      <c r="BE5">
        <f t="shared" ref="BE5:BE39" si="1">(BD5+BD4)/2</f>
        <v>17.649999999999999</v>
      </c>
      <c r="BF5" s="404">
        <v>1980</v>
      </c>
      <c r="BG5">
        <f>BD5</f>
        <v>0.3</v>
      </c>
      <c r="BH5">
        <v>10.685345078741184</v>
      </c>
    </row>
    <row r="6" spans="1:60" ht="15.75" thickBot="1" x14ac:dyDescent="0.25">
      <c r="A6" s="307" t="s">
        <v>3</v>
      </c>
      <c r="B6" s="311" t="s">
        <v>18</v>
      </c>
      <c r="C6" s="311" t="s">
        <v>18</v>
      </c>
      <c r="D6" s="311" t="s">
        <v>18</v>
      </c>
      <c r="E6" s="311" t="s">
        <v>280</v>
      </c>
      <c r="F6" s="311" t="s">
        <v>18</v>
      </c>
      <c r="G6" s="311" t="s">
        <v>281</v>
      </c>
      <c r="H6" s="341"/>
      <c r="I6" s="347" t="s">
        <v>3</v>
      </c>
      <c r="J6" s="347" t="s">
        <v>297</v>
      </c>
      <c r="K6" s="347" t="s">
        <v>7</v>
      </c>
      <c r="L6" s="347" t="s">
        <v>6</v>
      </c>
      <c r="M6" s="347" t="s">
        <v>292</v>
      </c>
      <c r="Y6" t="s">
        <v>3</v>
      </c>
      <c r="Z6" t="s">
        <v>203</v>
      </c>
      <c r="AA6" t="s">
        <v>288</v>
      </c>
      <c r="BB6" s="404">
        <v>1981</v>
      </c>
      <c r="BC6" s="401">
        <v>34000</v>
      </c>
      <c r="BD6" s="405">
        <f t="shared" si="0"/>
        <v>34</v>
      </c>
      <c r="BE6">
        <f t="shared" si="1"/>
        <v>17.149999999999999</v>
      </c>
      <c r="BF6" s="404">
        <v>1981</v>
      </c>
      <c r="BG6">
        <f t="shared" ref="BG6:BG39" si="2">BD6</f>
        <v>34</v>
      </c>
      <c r="BH6">
        <v>12.992107304858353</v>
      </c>
    </row>
    <row r="7" spans="1:60" ht="15" x14ac:dyDescent="0.25">
      <c r="A7" s="306">
        <v>1980</v>
      </c>
      <c r="B7" s="312">
        <v>8789</v>
      </c>
      <c r="C7" s="310" t="s">
        <v>84</v>
      </c>
      <c r="D7" s="310" t="s">
        <v>84</v>
      </c>
      <c r="E7" s="310" t="s">
        <v>84</v>
      </c>
      <c r="F7" s="310" t="s">
        <v>84</v>
      </c>
      <c r="G7" s="310" t="s">
        <v>84</v>
      </c>
      <c r="H7" s="310"/>
      <c r="I7" s="352">
        <v>1979</v>
      </c>
      <c r="W7">
        <f t="shared" ref="W7:W43" si="3">A7-1</f>
        <v>1979</v>
      </c>
      <c r="X7">
        <f>B7</f>
        <v>8789</v>
      </c>
      <c r="Y7" s="349">
        <v>1979</v>
      </c>
      <c r="Z7" s="312">
        <f>B7</f>
        <v>8789</v>
      </c>
      <c r="AA7">
        <v>9421.5996879545546</v>
      </c>
      <c r="AB7" s="409">
        <f>Z7/1000</f>
        <v>8.7889999999999997</v>
      </c>
      <c r="AC7" s="351">
        <v>8227.3354778442481</v>
      </c>
      <c r="BB7" s="404">
        <v>1982</v>
      </c>
      <c r="BC7" s="401">
        <v>4500</v>
      </c>
      <c r="BD7" s="405">
        <f t="shared" si="0"/>
        <v>4.5</v>
      </c>
      <c r="BE7">
        <f t="shared" si="1"/>
        <v>19.25</v>
      </c>
      <c r="BF7" s="404">
        <v>1982</v>
      </c>
      <c r="BG7">
        <f t="shared" si="2"/>
        <v>4.5</v>
      </c>
      <c r="BH7">
        <v>15.590629384361502</v>
      </c>
    </row>
    <row r="8" spans="1:60" ht="15" x14ac:dyDescent="0.25">
      <c r="A8" s="306">
        <v>1981</v>
      </c>
      <c r="B8" s="312">
        <v>10714</v>
      </c>
      <c r="C8" s="310" t="s">
        <v>84</v>
      </c>
      <c r="D8" s="310" t="s">
        <v>84</v>
      </c>
      <c r="E8" s="310" t="s">
        <v>84</v>
      </c>
      <c r="F8" s="310" t="s">
        <v>84</v>
      </c>
      <c r="G8" s="310" t="s">
        <v>84</v>
      </c>
      <c r="H8" s="310"/>
      <c r="I8" s="352">
        <v>1980</v>
      </c>
      <c r="W8">
        <f t="shared" si="3"/>
        <v>1980</v>
      </c>
      <c r="X8">
        <f t="shared" ref="X8:X43" si="4">B8</f>
        <v>10714</v>
      </c>
      <c r="Y8" s="349">
        <v>1980</v>
      </c>
      <c r="Z8" s="312">
        <f t="shared" ref="Z8:Z45" si="5">B8</f>
        <v>10714</v>
      </c>
      <c r="AA8">
        <v>8764.1128426364194</v>
      </c>
      <c r="AB8" s="409">
        <f t="shared" ref="AB8:AB45" si="6">Z8/1000</f>
        <v>10.714</v>
      </c>
      <c r="AC8" s="351">
        <v>8032.9955644038509</v>
      </c>
      <c r="BB8" s="404">
        <v>1983</v>
      </c>
      <c r="BC8" s="401">
        <v>17000</v>
      </c>
      <c r="BD8" s="405">
        <f t="shared" si="0"/>
        <v>17</v>
      </c>
      <c r="BE8">
        <f t="shared" si="1"/>
        <v>10.75</v>
      </c>
      <c r="BF8" s="404">
        <v>1983</v>
      </c>
      <c r="BG8">
        <f t="shared" si="2"/>
        <v>17</v>
      </c>
      <c r="BH8">
        <v>17.94877696759788</v>
      </c>
    </row>
    <row r="9" spans="1:60" ht="15" x14ac:dyDescent="0.25">
      <c r="A9" s="306">
        <v>1982</v>
      </c>
      <c r="B9" s="312">
        <v>6967</v>
      </c>
      <c r="C9" s="310" t="s">
        <v>84</v>
      </c>
      <c r="D9" s="310" t="s">
        <v>84</v>
      </c>
      <c r="E9" s="310" t="s">
        <v>84</v>
      </c>
      <c r="F9" s="310" t="s">
        <v>84</v>
      </c>
      <c r="G9" s="312">
        <v>79059.283687943258</v>
      </c>
      <c r="H9" s="312"/>
      <c r="I9" s="352">
        <v>1981</v>
      </c>
      <c r="N9" s="406">
        <v>79059.283687943258</v>
      </c>
      <c r="O9" s="407">
        <v>67885.750360646896</v>
      </c>
      <c r="P9" s="407">
        <v>94635.67246851114</v>
      </c>
      <c r="Q9" s="409">
        <f>N9/1000</f>
        <v>79.059283687943264</v>
      </c>
      <c r="R9" s="409">
        <f t="shared" ref="R9:R10" si="7">O9/1000</f>
        <v>67.885750360646895</v>
      </c>
      <c r="S9" s="409">
        <f t="shared" ref="S9:S10" si="8">P9/1000</f>
        <v>94.635672468511146</v>
      </c>
      <c r="W9">
        <f t="shared" si="3"/>
        <v>1981</v>
      </c>
      <c r="X9">
        <f t="shared" si="4"/>
        <v>6967</v>
      </c>
      <c r="Y9" s="349">
        <v>1981</v>
      </c>
      <c r="Z9" s="312">
        <f t="shared" si="5"/>
        <v>6967</v>
      </c>
      <c r="AA9">
        <v>8147.0929847668913</v>
      </c>
      <c r="AB9" s="409">
        <f t="shared" si="6"/>
        <v>6.9669999999999996</v>
      </c>
      <c r="AC9" s="351">
        <v>7843.2462018237829</v>
      </c>
      <c r="BB9" s="404">
        <v>1984</v>
      </c>
      <c r="BC9" s="401">
        <v>19000</v>
      </c>
      <c r="BD9" s="405">
        <f t="shared" si="0"/>
        <v>19</v>
      </c>
      <c r="BE9">
        <f t="shared" si="1"/>
        <v>18</v>
      </c>
      <c r="BF9" s="404">
        <v>1984</v>
      </c>
      <c r="BG9">
        <f t="shared" si="2"/>
        <v>19</v>
      </c>
      <c r="BH9">
        <v>18.645917322874567</v>
      </c>
    </row>
    <row r="10" spans="1:60" ht="15" x14ac:dyDescent="0.25">
      <c r="A10" s="306">
        <v>1983</v>
      </c>
      <c r="B10" s="312">
        <v>6849</v>
      </c>
      <c r="C10" s="310" t="s">
        <v>84</v>
      </c>
      <c r="D10" s="310" t="s">
        <v>84</v>
      </c>
      <c r="E10" s="310" t="s">
        <v>84</v>
      </c>
      <c r="F10" s="312">
        <v>29117</v>
      </c>
      <c r="G10" s="312">
        <v>63685.573625747653</v>
      </c>
      <c r="H10" s="312"/>
      <c r="I10" s="352">
        <v>1982</v>
      </c>
      <c r="N10" s="406">
        <v>63685.573625747653</v>
      </c>
      <c r="O10" s="407">
        <v>52707.014702480643</v>
      </c>
      <c r="P10" s="407">
        <v>80440.946178033992</v>
      </c>
      <c r="Q10" s="409">
        <f t="shared" ref="Q10" si="9">N10/1000</f>
        <v>63.685573625747651</v>
      </c>
      <c r="R10" s="409">
        <f t="shared" si="7"/>
        <v>52.707014702480642</v>
      </c>
      <c r="S10" s="409">
        <f t="shared" si="8"/>
        <v>80.440946178033997</v>
      </c>
      <c r="T10" s="409">
        <f t="shared" ref="T10:V29" si="10">T49/1000</f>
        <v>29.117227190917898</v>
      </c>
      <c r="U10" s="409">
        <f t="shared" si="10"/>
        <v>25.73762634206722</v>
      </c>
      <c r="V10" s="409">
        <f t="shared" si="10"/>
        <v>33.518537394292544</v>
      </c>
      <c r="W10">
        <f t="shared" si="3"/>
        <v>1982</v>
      </c>
      <c r="X10">
        <f t="shared" si="4"/>
        <v>6849</v>
      </c>
      <c r="Y10" s="349">
        <v>1982</v>
      </c>
      <c r="Z10" s="312">
        <f t="shared" si="5"/>
        <v>6849</v>
      </c>
      <c r="AA10">
        <v>7540.018105717294</v>
      </c>
      <c r="AB10" s="409">
        <f t="shared" si="6"/>
        <v>6.8490000000000002</v>
      </c>
      <c r="AC10" s="351">
        <v>7657.9789555739017</v>
      </c>
      <c r="BB10" s="404">
        <v>1985</v>
      </c>
      <c r="BC10" s="401">
        <v>27100</v>
      </c>
      <c r="BD10" s="405">
        <f t="shared" si="0"/>
        <v>27.1</v>
      </c>
      <c r="BE10">
        <f t="shared" si="1"/>
        <v>23.05</v>
      </c>
      <c r="BF10" s="404">
        <v>1985</v>
      </c>
      <c r="BG10">
        <f t="shared" si="2"/>
        <v>27.1</v>
      </c>
      <c r="BH10">
        <v>23.900393568336906</v>
      </c>
    </row>
    <row r="11" spans="1:60" ht="15" x14ac:dyDescent="0.25">
      <c r="A11" s="306">
        <v>1984</v>
      </c>
      <c r="B11" s="312">
        <v>6901</v>
      </c>
      <c r="C11" s="310" t="s">
        <v>84</v>
      </c>
      <c r="D11" s="310" t="s">
        <v>84</v>
      </c>
      <c r="E11" s="310" t="s">
        <v>84</v>
      </c>
      <c r="F11" s="312">
        <v>53227</v>
      </c>
      <c r="G11" s="310"/>
      <c r="H11" s="310"/>
      <c r="I11" s="352">
        <v>1983</v>
      </c>
      <c r="N11" s="406"/>
      <c r="O11" s="407"/>
      <c r="P11" s="407"/>
      <c r="Q11" s="409"/>
      <c r="R11" s="397"/>
      <c r="S11" s="397"/>
      <c r="T11" s="409">
        <f t="shared" si="10"/>
        <v>53.226840988035505</v>
      </c>
      <c r="U11" s="409">
        <f t="shared" si="10"/>
        <v>47.086554342464467</v>
      </c>
      <c r="V11" s="409">
        <f t="shared" si="10"/>
        <v>61.208717708134301</v>
      </c>
      <c r="W11">
        <f t="shared" si="3"/>
        <v>1983</v>
      </c>
      <c r="X11">
        <f t="shared" si="4"/>
        <v>6901</v>
      </c>
      <c r="Y11" s="349">
        <v>1983</v>
      </c>
      <c r="Z11" s="312">
        <f t="shared" si="5"/>
        <v>6901</v>
      </c>
      <c r="AA11">
        <v>6840.6724201364832</v>
      </c>
      <c r="AB11" s="409">
        <f t="shared" si="6"/>
        <v>6.9009999999999998</v>
      </c>
      <c r="AC11" s="351">
        <v>7477.0879524827578</v>
      </c>
      <c r="BB11" s="404">
        <v>1986</v>
      </c>
      <c r="BC11" s="401">
        <v>14330</v>
      </c>
      <c r="BD11" s="405">
        <f t="shared" si="0"/>
        <v>14.33</v>
      </c>
      <c r="BE11">
        <f t="shared" si="1"/>
        <v>20.715</v>
      </c>
      <c r="BF11" s="404">
        <v>1986</v>
      </c>
      <c r="BG11">
        <f t="shared" si="2"/>
        <v>14.33</v>
      </c>
      <c r="BH11">
        <v>30.288777554954329</v>
      </c>
    </row>
    <row r="12" spans="1:60" ht="15" x14ac:dyDescent="0.25">
      <c r="A12" s="306">
        <v>1985</v>
      </c>
      <c r="B12" s="312">
        <v>6838</v>
      </c>
      <c r="C12" s="310" t="s">
        <v>84</v>
      </c>
      <c r="D12" s="310" t="s">
        <v>84</v>
      </c>
      <c r="E12" s="310" t="s">
        <v>84</v>
      </c>
      <c r="F12" s="312">
        <v>32283</v>
      </c>
      <c r="G12" s="312">
        <v>38508.972527472528</v>
      </c>
      <c r="H12" s="312"/>
      <c r="I12" s="352">
        <v>1984</v>
      </c>
      <c r="N12" s="406">
        <v>38508.972527472528</v>
      </c>
      <c r="O12" s="407">
        <v>33632.317645990595</v>
      </c>
      <c r="P12" s="407">
        <v>45039.685117715315</v>
      </c>
      <c r="Q12" s="409">
        <f t="shared" ref="Q12:Q42" si="11">N12/1000</f>
        <v>38.50897252747253</v>
      </c>
      <c r="R12" s="409">
        <f t="shared" ref="R12:R42" si="12">O12/1000</f>
        <v>33.632317645990597</v>
      </c>
      <c r="S12" s="409">
        <f t="shared" ref="S12:S42" si="13">P12/1000</f>
        <v>45.039685117715315</v>
      </c>
      <c r="T12" s="409">
        <f t="shared" si="10"/>
        <v>32.28273165274463</v>
      </c>
      <c r="U12" s="409">
        <f t="shared" si="10"/>
        <v>29.474228517565212</v>
      </c>
      <c r="V12" s="409">
        <f t="shared" si="10"/>
        <v>35.682832409755328</v>
      </c>
      <c r="W12">
        <f t="shared" si="3"/>
        <v>1984</v>
      </c>
      <c r="X12">
        <f t="shared" si="4"/>
        <v>6838</v>
      </c>
      <c r="Y12" s="349">
        <v>1984</v>
      </c>
      <c r="Z12" s="312">
        <f t="shared" si="5"/>
        <v>6838</v>
      </c>
      <c r="AA12">
        <v>6485.8037300704218</v>
      </c>
      <c r="AB12" s="409">
        <f t="shared" si="6"/>
        <v>6.8380000000000001</v>
      </c>
      <c r="AC12" s="351">
        <v>7300.469820235101</v>
      </c>
      <c r="BB12" s="404">
        <v>1987</v>
      </c>
      <c r="BC12" s="401">
        <v>58700</v>
      </c>
      <c r="BD12" s="405">
        <f t="shared" si="0"/>
        <v>58.7</v>
      </c>
      <c r="BE12">
        <f t="shared" si="1"/>
        <v>36.515000000000001</v>
      </c>
      <c r="BF12" s="404">
        <v>1987</v>
      </c>
      <c r="BG12">
        <f t="shared" si="2"/>
        <v>58.7</v>
      </c>
      <c r="BH12">
        <v>34.703224833821864</v>
      </c>
    </row>
    <row r="13" spans="1:60" ht="15" x14ac:dyDescent="0.25">
      <c r="A13" s="306">
        <v>1986</v>
      </c>
      <c r="B13" s="312">
        <v>5852</v>
      </c>
      <c r="C13" s="310" t="s">
        <v>84</v>
      </c>
      <c r="D13" s="310" t="s">
        <v>84</v>
      </c>
      <c r="E13" s="310" t="s">
        <v>84</v>
      </c>
      <c r="F13" s="312">
        <v>23572</v>
      </c>
      <c r="G13" s="312">
        <v>45748.407417360926</v>
      </c>
      <c r="H13" s="312"/>
      <c r="I13" s="352">
        <v>1985</v>
      </c>
      <c r="N13" s="406">
        <v>45748.407417360926</v>
      </c>
      <c r="O13" s="407">
        <v>40690.941082801037</v>
      </c>
      <c r="P13" s="407">
        <v>52241.488207480979</v>
      </c>
      <c r="Q13" s="409">
        <f t="shared" si="11"/>
        <v>45.748407417360923</v>
      </c>
      <c r="R13" s="409">
        <f t="shared" si="12"/>
        <v>40.690941082801039</v>
      </c>
      <c r="S13" s="409">
        <f t="shared" si="13"/>
        <v>52.241488207480977</v>
      </c>
      <c r="T13" s="409">
        <f t="shared" si="10"/>
        <v>23.572281447611633</v>
      </c>
      <c r="U13" s="409">
        <f t="shared" si="10"/>
        <v>21.13635121182838</v>
      </c>
      <c r="V13" s="409">
        <f t="shared" si="10"/>
        <v>26.642823719263397</v>
      </c>
      <c r="W13">
        <f t="shared" si="3"/>
        <v>1985</v>
      </c>
      <c r="X13">
        <f t="shared" si="4"/>
        <v>5852</v>
      </c>
      <c r="Y13" s="349">
        <v>1985</v>
      </c>
      <c r="Z13" s="312">
        <f t="shared" si="5"/>
        <v>5852</v>
      </c>
      <c r="AA13">
        <v>6444.2246264773685</v>
      </c>
      <c r="AB13" s="409">
        <f t="shared" si="6"/>
        <v>5.8520000000000003</v>
      </c>
      <c r="AC13" s="351">
        <v>7128.0236282985516</v>
      </c>
      <c r="BB13" s="404">
        <v>1988</v>
      </c>
      <c r="BC13" s="401">
        <v>22742</v>
      </c>
      <c r="BD13" s="405">
        <f t="shared" si="0"/>
        <v>22.742000000000001</v>
      </c>
      <c r="BE13">
        <f t="shared" si="1"/>
        <v>40.721000000000004</v>
      </c>
      <c r="BF13" s="404">
        <v>1988</v>
      </c>
      <c r="BG13">
        <f t="shared" si="2"/>
        <v>22.742000000000001</v>
      </c>
      <c r="BH13">
        <v>41.574643996861397</v>
      </c>
    </row>
    <row r="14" spans="1:60" ht="15" x14ac:dyDescent="0.25">
      <c r="A14" s="306">
        <v>1987</v>
      </c>
      <c r="B14" s="312">
        <v>5617</v>
      </c>
      <c r="C14" s="310" t="s">
        <v>84</v>
      </c>
      <c r="D14" s="310" t="s">
        <v>84</v>
      </c>
      <c r="E14" s="310" t="s">
        <v>84</v>
      </c>
      <c r="F14" s="312">
        <v>21878</v>
      </c>
      <c r="G14" s="312">
        <v>70321.670599675854</v>
      </c>
      <c r="H14" s="312"/>
      <c r="I14" s="352">
        <v>1986</v>
      </c>
      <c r="N14" s="406">
        <v>70321.670599675854</v>
      </c>
      <c r="O14" s="407">
        <v>61225.895266812469</v>
      </c>
      <c r="P14" s="407">
        <v>82591.546779065306</v>
      </c>
      <c r="Q14" s="409">
        <f t="shared" si="11"/>
        <v>70.321670599675855</v>
      </c>
      <c r="R14" s="409">
        <f t="shared" si="12"/>
        <v>61.225895266812472</v>
      </c>
      <c r="S14" s="409">
        <f t="shared" si="13"/>
        <v>82.591546779065311</v>
      </c>
      <c r="T14" s="409">
        <f t="shared" si="10"/>
        <v>21.878345864661654</v>
      </c>
      <c r="U14" s="409">
        <f t="shared" si="10"/>
        <v>18.704738288593546</v>
      </c>
      <c r="V14" s="409">
        <f t="shared" si="10"/>
        <v>26.348933710009732</v>
      </c>
      <c r="W14">
        <f t="shared" si="3"/>
        <v>1986</v>
      </c>
      <c r="X14">
        <f t="shared" si="4"/>
        <v>5617</v>
      </c>
      <c r="Y14" s="349">
        <v>1986</v>
      </c>
      <c r="Z14" s="312">
        <f t="shared" si="5"/>
        <v>5617</v>
      </c>
      <c r="AA14">
        <v>6540.072617014046</v>
      </c>
      <c r="AB14" s="409">
        <f t="shared" si="6"/>
        <v>5.617</v>
      </c>
      <c r="AC14" s="351">
        <v>6959.6508302456377</v>
      </c>
      <c r="BB14" s="404">
        <v>1989</v>
      </c>
      <c r="BC14" s="401">
        <v>56300</v>
      </c>
      <c r="BD14" s="405">
        <f t="shared" si="0"/>
        <v>56.3</v>
      </c>
      <c r="BE14">
        <f t="shared" si="1"/>
        <v>39.521000000000001</v>
      </c>
      <c r="BF14" s="404">
        <v>1989</v>
      </c>
      <c r="BG14">
        <f t="shared" si="2"/>
        <v>56.3</v>
      </c>
      <c r="BH14">
        <v>47.118354970655865</v>
      </c>
    </row>
    <row r="15" spans="1:60" ht="15" x14ac:dyDescent="0.25">
      <c r="A15" s="306">
        <v>1988</v>
      </c>
      <c r="B15" s="312">
        <v>7014</v>
      </c>
      <c r="C15" s="310" t="s">
        <v>84</v>
      </c>
      <c r="D15" s="310" t="s">
        <v>84</v>
      </c>
      <c r="E15" s="310" t="s">
        <v>84</v>
      </c>
      <c r="F15" s="312">
        <v>36218</v>
      </c>
      <c r="G15" s="312">
        <v>88982.830344736329</v>
      </c>
      <c r="H15" s="312"/>
      <c r="I15" s="352">
        <v>1987</v>
      </c>
      <c r="N15" s="406">
        <v>88982.830344736329</v>
      </c>
      <c r="O15" s="407">
        <v>79610.532262524022</v>
      </c>
      <c r="P15" s="407">
        <v>100856.32944280397</v>
      </c>
      <c r="Q15" s="409">
        <f t="shared" si="11"/>
        <v>88.982830344736328</v>
      </c>
      <c r="R15" s="409">
        <f t="shared" si="12"/>
        <v>79.610532262524018</v>
      </c>
      <c r="S15" s="409">
        <f t="shared" si="13"/>
        <v>100.85632944280397</v>
      </c>
      <c r="T15" s="409">
        <f t="shared" si="10"/>
        <v>36.217857142857142</v>
      </c>
      <c r="U15" s="409">
        <f t="shared" si="10"/>
        <v>27.275798137483434</v>
      </c>
      <c r="V15" s="409">
        <f t="shared" si="10"/>
        <v>53.88267790232851</v>
      </c>
      <c r="W15">
        <f t="shared" si="3"/>
        <v>1987</v>
      </c>
      <c r="X15">
        <f t="shared" si="4"/>
        <v>7014</v>
      </c>
      <c r="Y15" s="349">
        <v>1987</v>
      </c>
      <c r="Z15" s="312">
        <f t="shared" si="5"/>
        <v>7014</v>
      </c>
      <c r="AA15">
        <v>6610.5368348161555</v>
      </c>
      <c r="AB15" s="409">
        <f t="shared" si="6"/>
        <v>7.0140000000000002</v>
      </c>
      <c r="AC15" s="351">
        <v>6795.2552074382747</v>
      </c>
      <c r="BB15" s="404">
        <v>1990</v>
      </c>
      <c r="BC15" s="401">
        <v>41246</v>
      </c>
      <c r="BD15" s="405">
        <f t="shared" si="0"/>
        <v>41.246000000000002</v>
      </c>
      <c r="BE15">
        <f t="shared" si="1"/>
        <v>48.772999999999996</v>
      </c>
      <c r="BF15" s="404">
        <v>1990</v>
      </c>
      <c r="BG15">
        <f t="shared" si="2"/>
        <v>41.246000000000002</v>
      </c>
      <c r="BH15">
        <v>58.782769591841486</v>
      </c>
    </row>
    <row r="16" spans="1:60" ht="15" x14ac:dyDescent="0.25">
      <c r="A16" s="306">
        <v>1989</v>
      </c>
      <c r="B16" s="312">
        <v>7685</v>
      </c>
      <c r="C16" s="310" t="s">
        <v>84</v>
      </c>
      <c r="D16" s="310" t="s">
        <v>84</v>
      </c>
      <c r="E16" s="310" t="s">
        <v>84</v>
      </c>
      <c r="F16" s="312">
        <v>27904</v>
      </c>
      <c r="G16" s="312">
        <v>51657.707251928063</v>
      </c>
      <c r="H16" s="312"/>
      <c r="I16" s="352">
        <v>1988</v>
      </c>
      <c r="N16" s="406">
        <v>51657.707251928063</v>
      </c>
      <c r="O16" s="407">
        <v>47036.114689399306</v>
      </c>
      <c r="P16" s="407">
        <v>57286.460416202222</v>
      </c>
      <c r="Q16" s="409">
        <f t="shared" si="11"/>
        <v>51.657707251928066</v>
      </c>
      <c r="R16" s="409">
        <f t="shared" si="12"/>
        <v>47.036114689399305</v>
      </c>
      <c r="S16" s="409">
        <f t="shared" si="13"/>
        <v>57.286460416202225</v>
      </c>
      <c r="T16" s="409">
        <f t="shared" si="10"/>
        <v>27.904320375335118</v>
      </c>
      <c r="U16" s="409">
        <f t="shared" si="10"/>
        <v>22.463365644263337</v>
      </c>
      <c r="V16" s="409">
        <f t="shared" si="10"/>
        <v>36.823511948008552</v>
      </c>
      <c r="W16">
        <f t="shared" si="3"/>
        <v>1988</v>
      </c>
      <c r="X16">
        <f t="shared" si="4"/>
        <v>7685</v>
      </c>
      <c r="Y16" s="349">
        <v>1988</v>
      </c>
      <c r="Z16" s="312">
        <f t="shared" si="5"/>
        <v>7685</v>
      </c>
      <c r="AA16">
        <v>6581.2110257368486</v>
      </c>
      <c r="AB16" s="409">
        <f t="shared" si="6"/>
        <v>7.6849999999999996</v>
      </c>
      <c r="AC16" s="351">
        <v>6634.7428140424754</v>
      </c>
      <c r="BB16" s="404">
        <v>1991</v>
      </c>
      <c r="BC16" s="401">
        <v>86700</v>
      </c>
      <c r="BD16" s="405">
        <f t="shared" si="0"/>
        <v>86.7</v>
      </c>
      <c r="BE16">
        <f t="shared" si="1"/>
        <v>63.972999999999999</v>
      </c>
      <c r="BF16" s="404">
        <v>1991</v>
      </c>
      <c r="BG16">
        <f t="shared" si="2"/>
        <v>86.7</v>
      </c>
      <c r="BH16">
        <v>64.646865110546912</v>
      </c>
    </row>
    <row r="17" spans="1:60" ht="15" x14ac:dyDescent="0.25">
      <c r="A17" s="306">
        <v>1990</v>
      </c>
      <c r="B17" s="312">
        <v>7011</v>
      </c>
      <c r="C17" s="312">
        <v>163998</v>
      </c>
      <c r="D17" s="310" t="s">
        <v>84</v>
      </c>
      <c r="E17" s="310" t="s">
        <v>84</v>
      </c>
      <c r="F17" s="312">
        <v>26620</v>
      </c>
      <c r="G17" s="312">
        <v>54851.125734919682</v>
      </c>
      <c r="H17" s="312"/>
      <c r="I17" s="352">
        <v>1989</v>
      </c>
      <c r="J17" s="88">
        <f>C17/1000</f>
        <v>163.99799999999999</v>
      </c>
      <c r="K17" s="88">
        <v>130.80497667317852</v>
      </c>
      <c r="L17" s="88">
        <v>219.76733605957446</v>
      </c>
      <c r="M17" s="344">
        <v>87.70620000000001</v>
      </c>
      <c r="N17" s="406">
        <v>54851.125734919682</v>
      </c>
      <c r="O17" s="407">
        <v>50170.293182418791</v>
      </c>
      <c r="P17" s="407">
        <v>60495.266846420804</v>
      </c>
      <c r="Q17" s="409">
        <f t="shared" si="11"/>
        <v>54.851125734919684</v>
      </c>
      <c r="R17" s="409">
        <f t="shared" si="12"/>
        <v>50.170293182418789</v>
      </c>
      <c r="S17" s="409">
        <f t="shared" si="13"/>
        <v>60.495266846420805</v>
      </c>
      <c r="T17" s="409">
        <f t="shared" si="10"/>
        <v>26.619884422110555</v>
      </c>
      <c r="U17" s="409">
        <f t="shared" si="10"/>
        <v>23.375513287117379</v>
      </c>
      <c r="V17" s="409">
        <f t="shared" si="10"/>
        <v>30.909992950644142</v>
      </c>
      <c r="W17">
        <f t="shared" si="3"/>
        <v>1989</v>
      </c>
      <c r="X17">
        <f t="shared" si="4"/>
        <v>7011</v>
      </c>
      <c r="Y17" s="349">
        <v>1989</v>
      </c>
      <c r="Z17" s="312">
        <f t="shared" si="5"/>
        <v>7011</v>
      </c>
      <c r="AA17">
        <v>6498.0251272941241</v>
      </c>
      <c r="AB17" s="409">
        <f t="shared" si="6"/>
        <v>7.0110000000000001</v>
      </c>
      <c r="AC17" s="351">
        <v>6478.0219233418866</v>
      </c>
      <c r="BB17" s="404">
        <v>1992</v>
      </c>
      <c r="BC17" s="401">
        <v>79973</v>
      </c>
      <c r="BD17" s="405">
        <f t="shared" si="0"/>
        <v>79.972999999999999</v>
      </c>
      <c r="BE17">
        <f t="shared" si="1"/>
        <v>83.336500000000001</v>
      </c>
      <c r="BF17" s="404">
        <v>1992</v>
      </c>
      <c r="BG17">
        <f t="shared" si="2"/>
        <v>79.972999999999999</v>
      </c>
      <c r="BH17">
        <v>64.504985616262843</v>
      </c>
    </row>
    <row r="18" spans="1:60" ht="15" x14ac:dyDescent="0.25">
      <c r="A18" s="306">
        <v>1991</v>
      </c>
      <c r="B18" s="312">
        <v>5137</v>
      </c>
      <c r="C18" s="312">
        <v>141291</v>
      </c>
      <c r="D18" s="310" t="s">
        <v>84</v>
      </c>
      <c r="E18" s="310" t="s">
        <v>84</v>
      </c>
      <c r="F18" s="312">
        <v>33101</v>
      </c>
      <c r="G18" s="312">
        <v>56283.565478211654</v>
      </c>
      <c r="H18" s="312"/>
      <c r="I18" s="352">
        <v>1990</v>
      </c>
      <c r="J18" s="88">
        <f t="shared" ref="J18:J43" si="14">C18/1000</f>
        <v>141.291</v>
      </c>
      <c r="K18" s="88">
        <v>126.56469367046927</v>
      </c>
      <c r="L18" s="88">
        <v>159.89595136670476</v>
      </c>
      <c r="M18" s="344">
        <v>67.360799999999998</v>
      </c>
      <c r="N18" s="406">
        <v>56283.565478211654</v>
      </c>
      <c r="O18" s="407">
        <v>51559.05329087242</v>
      </c>
      <c r="P18" s="407">
        <v>61961.263706553131</v>
      </c>
      <c r="Q18" s="409">
        <f t="shared" si="11"/>
        <v>56.283565478211656</v>
      </c>
      <c r="R18" s="409">
        <f t="shared" si="12"/>
        <v>51.55905329087242</v>
      </c>
      <c r="S18" s="409">
        <f t="shared" si="13"/>
        <v>61.961263706553133</v>
      </c>
      <c r="T18" s="409">
        <f t="shared" si="10"/>
        <v>33.101020619126039</v>
      </c>
      <c r="U18" s="409">
        <f t="shared" si="10"/>
        <v>30.507210429096265</v>
      </c>
      <c r="V18" s="409">
        <f t="shared" si="10"/>
        <v>36.176882529425008</v>
      </c>
      <c r="W18">
        <f t="shared" si="3"/>
        <v>1990</v>
      </c>
      <c r="X18">
        <f t="shared" si="4"/>
        <v>5137</v>
      </c>
      <c r="Y18" s="349">
        <v>1990</v>
      </c>
      <c r="Z18" s="312">
        <f t="shared" si="5"/>
        <v>5137</v>
      </c>
      <c r="AA18">
        <v>6440.4708385868944</v>
      </c>
      <c r="AB18" s="409">
        <f t="shared" si="6"/>
        <v>5.1369999999999996</v>
      </c>
      <c r="AC18" s="351">
        <v>6325.0029753194667</v>
      </c>
      <c r="BB18" s="404">
        <v>1993</v>
      </c>
      <c r="BC18" s="401">
        <v>30400</v>
      </c>
      <c r="BD18" s="405">
        <f t="shared" si="0"/>
        <v>30.4</v>
      </c>
      <c r="BE18">
        <f t="shared" si="1"/>
        <v>55.186499999999995</v>
      </c>
      <c r="BF18" s="404">
        <v>1993</v>
      </c>
      <c r="BG18">
        <f t="shared" si="2"/>
        <v>30.4</v>
      </c>
      <c r="BH18">
        <v>65.857547696092141</v>
      </c>
    </row>
    <row r="19" spans="1:60" ht="15" x14ac:dyDescent="0.25">
      <c r="A19" s="306">
        <v>1992</v>
      </c>
      <c r="B19" s="312">
        <v>5690</v>
      </c>
      <c r="C19" s="312">
        <v>187688</v>
      </c>
      <c r="D19" s="310" t="s">
        <v>84</v>
      </c>
      <c r="E19" s="312">
        <v>1080551</v>
      </c>
      <c r="F19" s="312">
        <v>23373</v>
      </c>
      <c r="G19" s="312">
        <v>61727.782651064204</v>
      </c>
      <c r="H19" s="312"/>
      <c r="I19" s="352">
        <v>1991</v>
      </c>
      <c r="J19" s="88">
        <f t="shared" si="14"/>
        <v>187.68799999999999</v>
      </c>
      <c r="K19" s="88">
        <v>163.43328983338344</v>
      </c>
      <c r="L19" s="88">
        <v>220.39751959504454</v>
      </c>
      <c r="M19" s="344">
        <v>81.559399999999997</v>
      </c>
      <c r="N19" s="406">
        <v>61727.782651064204</v>
      </c>
      <c r="O19" s="407">
        <v>56833.350091732049</v>
      </c>
      <c r="P19" s="407">
        <v>67544.663009309661</v>
      </c>
      <c r="Q19" s="409">
        <f t="shared" si="11"/>
        <v>61.727782651064203</v>
      </c>
      <c r="R19" s="409">
        <f t="shared" si="12"/>
        <v>56.833350091732051</v>
      </c>
      <c r="S19" s="409">
        <f t="shared" si="13"/>
        <v>67.544663009309659</v>
      </c>
      <c r="T19" s="409">
        <f t="shared" si="10"/>
        <v>23.372608047734502</v>
      </c>
      <c r="U19" s="409">
        <f t="shared" si="10"/>
        <v>21.643135559708064</v>
      </c>
      <c r="V19" s="409">
        <f t="shared" si="10"/>
        <v>25.40248484370505</v>
      </c>
      <c r="W19">
        <f t="shared" si="3"/>
        <v>1991</v>
      </c>
      <c r="X19">
        <f t="shared" si="4"/>
        <v>5690</v>
      </c>
      <c r="Y19" s="349">
        <v>1991</v>
      </c>
      <c r="Z19" s="312">
        <f t="shared" si="5"/>
        <v>5690</v>
      </c>
      <c r="AA19">
        <v>6539.5667010641646</v>
      </c>
      <c r="AB19" s="409">
        <f t="shared" si="6"/>
        <v>5.69</v>
      </c>
      <c r="AC19" s="351">
        <v>6175.5985254773523</v>
      </c>
      <c r="BB19" s="404">
        <v>1994</v>
      </c>
      <c r="BC19" s="401">
        <v>73895</v>
      </c>
      <c r="BD19" s="405">
        <f t="shared" si="0"/>
        <v>73.894999999999996</v>
      </c>
      <c r="BE19">
        <f t="shared" si="1"/>
        <v>52.147499999999994</v>
      </c>
      <c r="BF19" s="404">
        <v>1994</v>
      </c>
      <c r="BG19">
        <f t="shared" si="2"/>
        <v>73.894999999999996</v>
      </c>
      <c r="BH19">
        <v>75.940290682795904</v>
      </c>
    </row>
    <row r="20" spans="1:60" ht="15" x14ac:dyDescent="0.25">
      <c r="A20" s="306">
        <v>1993</v>
      </c>
      <c r="B20" s="312">
        <v>6596</v>
      </c>
      <c r="C20" s="312">
        <v>326312</v>
      </c>
      <c r="D20" s="310" t="s">
        <v>84</v>
      </c>
      <c r="E20" s="312">
        <v>1510032</v>
      </c>
      <c r="F20" s="312">
        <v>32657</v>
      </c>
      <c r="G20" s="312">
        <v>57400.521079928956</v>
      </c>
      <c r="H20" s="312">
        <f>AVERAGE(G9:G20)</f>
        <v>60747.949127180829</v>
      </c>
      <c r="I20" s="352">
        <v>1992</v>
      </c>
      <c r="J20" s="88">
        <f t="shared" si="14"/>
        <v>326.31200000000001</v>
      </c>
      <c r="K20" s="88">
        <v>290.32939665487908</v>
      </c>
      <c r="L20" s="88">
        <v>372.47685519799205</v>
      </c>
      <c r="M20" s="344">
        <v>121.539</v>
      </c>
      <c r="N20" s="406">
        <v>57400.521079928956</v>
      </c>
      <c r="O20" s="407">
        <v>52985.338522615799</v>
      </c>
      <c r="P20" s="407">
        <v>62618.412075252003</v>
      </c>
      <c r="Q20" s="409">
        <f t="shared" si="11"/>
        <v>57.400521079928957</v>
      </c>
      <c r="R20" s="409">
        <f t="shared" si="12"/>
        <v>52.985338522615798</v>
      </c>
      <c r="S20" s="409">
        <f t="shared" si="13"/>
        <v>62.618412075252003</v>
      </c>
      <c r="T20" s="409">
        <f t="shared" si="10"/>
        <v>32.657230396421028</v>
      </c>
      <c r="U20" s="409">
        <f t="shared" si="10"/>
        <v>28.041692065813724</v>
      </c>
      <c r="V20" s="409">
        <f t="shared" si="10"/>
        <v>39.091521760249435</v>
      </c>
      <c r="W20">
        <f t="shared" si="3"/>
        <v>1992</v>
      </c>
      <c r="X20">
        <f t="shared" si="4"/>
        <v>6596</v>
      </c>
      <c r="Y20" s="349">
        <v>1992</v>
      </c>
      <c r="Z20" s="312">
        <f t="shared" si="5"/>
        <v>6596</v>
      </c>
      <c r="AA20">
        <v>6696.6456449583966</v>
      </c>
      <c r="AB20" s="409">
        <f t="shared" si="6"/>
        <v>6.5960000000000001</v>
      </c>
      <c r="AC20" s="351">
        <v>6029.7231948656517</v>
      </c>
      <c r="BB20" s="404">
        <v>1995</v>
      </c>
      <c r="BC20" s="401">
        <v>90000</v>
      </c>
      <c r="BD20" s="405">
        <f t="shared" si="0"/>
        <v>90</v>
      </c>
      <c r="BE20">
        <f t="shared" si="1"/>
        <v>81.947499999999991</v>
      </c>
      <c r="BF20" s="404">
        <v>1995</v>
      </c>
      <c r="BG20">
        <f t="shared" si="2"/>
        <v>90</v>
      </c>
      <c r="BH20">
        <v>91.747124406690773</v>
      </c>
    </row>
    <row r="21" spans="1:60" ht="15" x14ac:dyDescent="0.25">
      <c r="A21" s="306">
        <v>1994</v>
      </c>
      <c r="B21" s="312">
        <v>8647</v>
      </c>
      <c r="C21" s="312">
        <v>255519</v>
      </c>
      <c r="D21" s="310" t="s">
        <v>84</v>
      </c>
      <c r="E21" s="312">
        <v>1475874</v>
      </c>
      <c r="F21" s="312">
        <v>48434</v>
      </c>
      <c r="G21" s="312">
        <v>82893.037735849051</v>
      </c>
      <c r="H21" s="312">
        <f>AVERAGE(G21:G42)</f>
        <v>95344.075843358092</v>
      </c>
      <c r="I21" s="352">
        <v>1993</v>
      </c>
      <c r="J21" s="88">
        <f t="shared" si="14"/>
        <v>255.51900000000001</v>
      </c>
      <c r="K21" s="88">
        <v>230.3036165711234</v>
      </c>
      <c r="L21" s="88">
        <v>286.93548094890104</v>
      </c>
      <c r="M21" s="344">
        <v>90.068399999999983</v>
      </c>
      <c r="N21" s="406">
        <v>82893.037735849051</v>
      </c>
      <c r="O21" s="407">
        <v>74692.470307235577</v>
      </c>
      <c r="P21" s="407">
        <v>93116.386984197685</v>
      </c>
      <c r="Q21" s="409">
        <f t="shared" si="11"/>
        <v>82.893037735849049</v>
      </c>
      <c r="R21" s="409">
        <f t="shared" si="12"/>
        <v>74.692470307235581</v>
      </c>
      <c r="S21" s="409">
        <f t="shared" si="13"/>
        <v>93.116386984197689</v>
      </c>
      <c r="T21" s="409">
        <f t="shared" si="10"/>
        <v>48.433600870827284</v>
      </c>
      <c r="U21" s="409">
        <f t="shared" si="10"/>
        <v>45.068701346659005</v>
      </c>
      <c r="V21" s="409">
        <f t="shared" si="10"/>
        <v>52.341498793843783</v>
      </c>
      <c r="W21">
        <f t="shared" si="3"/>
        <v>1993</v>
      </c>
      <c r="X21">
        <f t="shared" si="4"/>
        <v>8647</v>
      </c>
      <c r="Y21" s="349">
        <v>1993</v>
      </c>
      <c r="Z21" s="312">
        <f t="shared" si="5"/>
        <v>8647</v>
      </c>
      <c r="AA21">
        <v>6673.3359828058756</v>
      </c>
      <c r="AB21" s="409">
        <f t="shared" si="6"/>
        <v>8.6470000000000002</v>
      </c>
      <c r="AC21" s="351">
        <v>5887.2936212916338</v>
      </c>
      <c r="BB21" s="404">
        <v>1996</v>
      </c>
      <c r="BC21" s="401">
        <v>158445</v>
      </c>
      <c r="BD21" s="405">
        <f t="shared" si="0"/>
        <v>158.44499999999999</v>
      </c>
      <c r="BE21">
        <f t="shared" si="1"/>
        <v>124.2225</v>
      </c>
      <c r="BF21" s="404">
        <v>1996</v>
      </c>
      <c r="BG21">
        <f t="shared" si="2"/>
        <v>158.44499999999999</v>
      </c>
      <c r="BH21">
        <v>88.226276571850065</v>
      </c>
    </row>
    <row r="22" spans="1:60" ht="15" x14ac:dyDescent="0.25">
      <c r="A22" s="306">
        <v>1995</v>
      </c>
      <c r="B22" s="312">
        <v>7495</v>
      </c>
      <c r="C22" s="312">
        <v>181503</v>
      </c>
      <c r="D22" s="310" t="s">
        <v>84</v>
      </c>
      <c r="E22" s="312">
        <v>1525330</v>
      </c>
      <c r="F22" s="312">
        <v>49516</v>
      </c>
      <c r="G22" s="312">
        <v>134639.92171995589</v>
      </c>
      <c r="H22" s="312"/>
      <c r="I22" s="352">
        <v>1994</v>
      </c>
      <c r="J22" s="88">
        <f t="shared" si="14"/>
        <v>181.50299999999999</v>
      </c>
      <c r="K22" s="88">
        <v>161.10086219745085</v>
      </c>
      <c r="L22" s="88">
        <v>207.82298377241793</v>
      </c>
      <c r="M22" s="344">
        <v>86.233000000000004</v>
      </c>
      <c r="N22" s="406">
        <v>134639.92171995589</v>
      </c>
      <c r="O22" s="407">
        <v>110836.79337940525</v>
      </c>
      <c r="P22" s="407">
        <v>171463.04453146859</v>
      </c>
      <c r="Q22" s="409">
        <f t="shared" si="11"/>
        <v>134.63992171995588</v>
      </c>
      <c r="R22" s="409">
        <f t="shared" si="12"/>
        <v>110.83679337940525</v>
      </c>
      <c r="S22" s="409">
        <f t="shared" si="13"/>
        <v>171.4630445314686</v>
      </c>
      <c r="T22" s="409">
        <f t="shared" si="10"/>
        <v>49.515571152308524</v>
      </c>
      <c r="U22" s="409">
        <f t="shared" si="10"/>
        <v>45.8981608137411</v>
      </c>
      <c r="V22" s="409">
        <f t="shared" si="10"/>
        <v>53.751970388211546</v>
      </c>
      <c r="W22">
        <f t="shared" si="3"/>
        <v>1994</v>
      </c>
      <c r="X22">
        <f t="shared" si="4"/>
        <v>7495</v>
      </c>
      <c r="Y22" s="349">
        <v>1994</v>
      </c>
      <c r="Z22" s="312">
        <f t="shared" si="5"/>
        <v>7495</v>
      </c>
      <c r="AA22">
        <v>6416.9425222562368</v>
      </c>
      <c r="AB22" s="409">
        <f t="shared" si="6"/>
        <v>7.4950000000000001</v>
      </c>
      <c r="AC22" s="351">
        <v>5748.2284116814135</v>
      </c>
      <c r="BB22" s="404">
        <v>1997</v>
      </c>
      <c r="BC22" s="401">
        <v>32942</v>
      </c>
      <c r="BD22" s="405">
        <f t="shared" si="0"/>
        <v>32.942</v>
      </c>
      <c r="BE22">
        <f t="shared" si="1"/>
        <v>95.6935</v>
      </c>
      <c r="BF22" s="404">
        <v>1997</v>
      </c>
      <c r="BG22">
        <f t="shared" si="2"/>
        <v>32.942</v>
      </c>
      <c r="BH22">
        <v>98.889404604683548</v>
      </c>
    </row>
    <row r="23" spans="1:60" ht="15" x14ac:dyDescent="0.25">
      <c r="A23" s="306">
        <v>1996</v>
      </c>
      <c r="B23" s="312">
        <v>4884</v>
      </c>
      <c r="C23" s="312">
        <v>194019</v>
      </c>
      <c r="D23" s="310" t="s">
        <v>84</v>
      </c>
      <c r="E23" s="312">
        <v>986489</v>
      </c>
      <c r="F23" s="312">
        <v>22267</v>
      </c>
      <c r="G23" s="312">
        <v>91605.07256727459</v>
      </c>
      <c r="H23" s="312"/>
      <c r="I23" s="352">
        <v>1995</v>
      </c>
      <c r="J23" s="88">
        <f t="shared" si="14"/>
        <v>194.01900000000001</v>
      </c>
      <c r="K23" s="88">
        <v>170.93861515680797</v>
      </c>
      <c r="L23" s="88">
        <v>224.30483929384854</v>
      </c>
      <c r="M23" s="344">
        <v>93.700600000000009</v>
      </c>
      <c r="N23" s="406">
        <v>91605.07256727459</v>
      </c>
      <c r="O23" s="407">
        <v>77251.094521444058</v>
      </c>
      <c r="P23" s="407">
        <v>112510.5969250913</v>
      </c>
      <c r="Q23" s="409">
        <f t="shared" si="11"/>
        <v>91.60507256727459</v>
      </c>
      <c r="R23" s="409">
        <f t="shared" si="12"/>
        <v>77.25109452144406</v>
      </c>
      <c r="S23" s="409">
        <f t="shared" si="13"/>
        <v>112.51059692509131</v>
      </c>
      <c r="T23" s="409">
        <f t="shared" si="10"/>
        <v>22.26653846153846</v>
      </c>
      <c r="U23" s="409">
        <f t="shared" si="10"/>
        <v>20.597181404438352</v>
      </c>
      <c r="V23" s="409">
        <f t="shared" si="10"/>
        <v>24.230356512459217</v>
      </c>
      <c r="W23">
        <f t="shared" si="3"/>
        <v>1995</v>
      </c>
      <c r="X23">
        <f t="shared" si="4"/>
        <v>4884</v>
      </c>
      <c r="Y23" s="349">
        <v>1995</v>
      </c>
      <c r="Z23" s="312">
        <f t="shared" si="5"/>
        <v>4884</v>
      </c>
      <c r="AA23">
        <v>6124.4145718827531</v>
      </c>
      <c r="AB23" s="409">
        <f t="shared" si="6"/>
        <v>4.8840000000000003</v>
      </c>
      <c r="AC23" s="351">
        <v>5612.448095566906</v>
      </c>
      <c r="BB23" s="404">
        <v>1998</v>
      </c>
      <c r="BC23" s="401">
        <v>38173</v>
      </c>
      <c r="BD23" s="405">
        <f t="shared" si="0"/>
        <v>38.173000000000002</v>
      </c>
      <c r="BE23">
        <f t="shared" si="1"/>
        <v>35.557500000000005</v>
      </c>
      <c r="BF23" s="404">
        <v>1998</v>
      </c>
      <c r="BG23">
        <f t="shared" si="2"/>
        <v>38.173000000000002</v>
      </c>
      <c r="BH23">
        <v>127.28299280854358</v>
      </c>
    </row>
    <row r="24" spans="1:60" ht="15" x14ac:dyDescent="0.25">
      <c r="A24" s="306">
        <v>1997</v>
      </c>
      <c r="B24" s="312">
        <v>3934</v>
      </c>
      <c r="C24" s="312">
        <v>133629</v>
      </c>
      <c r="D24" s="310" t="s">
        <v>84</v>
      </c>
      <c r="E24" s="312">
        <v>759763</v>
      </c>
      <c r="F24" s="312">
        <v>32294</v>
      </c>
      <c r="G24" s="312">
        <v>66771.637288419413</v>
      </c>
      <c r="H24" s="312"/>
      <c r="I24" s="352">
        <v>1996</v>
      </c>
      <c r="J24" s="88">
        <f t="shared" si="14"/>
        <v>133.62899999999999</v>
      </c>
      <c r="K24" s="88">
        <v>120.63936665529452</v>
      </c>
      <c r="L24" s="88">
        <v>149.75245395253845</v>
      </c>
      <c r="M24" s="344">
        <v>65.455799999999996</v>
      </c>
      <c r="N24" s="406">
        <v>66771.637288419413</v>
      </c>
      <c r="O24" s="407">
        <v>61503.882028343651</v>
      </c>
      <c r="P24" s="407">
        <v>73026.275787961611</v>
      </c>
      <c r="Q24" s="409">
        <f t="shared" si="11"/>
        <v>66.771637288419413</v>
      </c>
      <c r="R24" s="409">
        <f t="shared" si="12"/>
        <v>61.503882028343654</v>
      </c>
      <c r="S24" s="409">
        <f t="shared" si="13"/>
        <v>73.026275787961609</v>
      </c>
      <c r="T24" s="409">
        <f t="shared" si="10"/>
        <v>32.293666666666667</v>
      </c>
      <c r="U24" s="409">
        <f t="shared" si="10"/>
        <v>29.747762434307351</v>
      </c>
      <c r="V24" s="409">
        <f t="shared" si="10"/>
        <v>35.316128663001166</v>
      </c>
      <c r="W24">
        <f t="shared" si="3"/>
        <v>1996</v>
      </c>
      <c r="X24">
        <f t="shared" si="4"/>
        <v>3934</v>
      </c>
      <c r="Y24" s="349">
        <v>1996</v>
      </c>
      <c r="Z24" s="312">
        <f t="shared" si="5"/>
        <v>3934</v>
      </c>
      <c r="AA24">
        <v>5847.1006514781757</v>
      </c>
      <c r="AB24" s="409">
        <f t="shared" si="6"/>
        <v>3.9340000000000002</v>
      </c>
      <c r="AC24" s="351">
        <v>5479.8750796714867</v>
      </c>
      <c r="BB24" s="404">
        <v>1999</v>
      </c>
      <c r="BC24" s="401">
        <v>510000</v>
      </c>
      <c r="BD24" s="405">
        <f t="shared" si="0"/>
        <v>510</v>
      </c>
      <c r="BE24">
        <f t="shared" si="1"/>
        <v>274.0865</v>
      </c>
      <c r="BF24" s="404">
        <v>1999</v>
      </c>
      <c r="BG24">
        <f t="shared" si="2"/>
        <v>510</v>
      </c>
      <c r="BH24">
        <v>155.94319466844729</v>
      </c>
    </row>
    <row r="25" spans="1:60" ht="15" x14ac:dyDescent="0.25">
      <c r="A25" s="306">
        <v>1998</v>
      </c>
      <c r="B25" s="312">
        <v>6111</v>
      </c>
      <c r="C25" s="312">
        <v>139959</v>
      </c>
      <c r="D25" s="310" t="s">
        <v>84</v>
      </c>
      <c r="E25" s="312">
        <v>853662</v>
      </c>
      <c r="F25" s="312">
        <v>37436</v>
      </c>
      <c r="G25" s="312">
        <v>80516.774227168586</v>
      </c>
      <c r="H25" s="312"/>
      <c r="I25" s="352">
        <v>1997</v>
      </c>
      <c r="J25" s="88">
        <f t="shared" si="14"/>
        <v>139.959</v>
      </c>
      <c r="K25" s="88">
        <v>119.49258726186592</v>
      </c>
      <c r="L25" s="88">
        <v>168.8839613620535</v>
      </c>
      <c r="M25" s="344">
        <v>77.977999999999994</v>
      </c>
      <c r="N25" s="406">
        <v>80516.774227168586</v>
      </c>
      <c r="O25" s="407">
        <v>74615.578839665803</v>
      </c>
      <c r="P25" s="407">
        <v>87431.559644937079</v>
      </c>
      <c r="Q25" s="409">
        <f t="shared" si="11"/>
        <v>80.516774227168582</v>
      </c>
      <c r="R25" s="409">
        <f t="shared" si="12"/>
        <v>74.615578839665801</v>
      </c>
      <c r="S25" s="409">
        <f t="shared" si="13"/>
        <v>87.431559644937082</v>
      </c>
      <c r="T25" s="409">
        <f t="shared" si="10"/>
        <v>37.435919786096257</v>
      </c>
      <c r="U25" s="409">
        <f t="shared" si="10"/>
        <v>34.931828825110003</v>
      </c>
      <c r="V25" s="409">
        <f t="shared" si="10"/>
        <v>40.326745805023791</v>
      </c>
      <c r="W25">
        <f t="shared" si="3"/>
        <v>1997</v>
      </c>
      <c r="X25">
        <f t="shared" si="4"/>
        <v>6111</v>
      </c>
      <c r="Y25" s="349">
        <v>1997</v>
      </c>
      <c r="Z25" s="312">
        <f t="shared" si="5"/>
        <v>6111</v>
      </c>
      <c r="AA25">
        <v>5638.1108014125557</v>
      </c>
      <c r="AB25" s="409">
        <f t="shared" si="6"/>
        <v>6.1109999999999998</v>
      </c>
      <c r="AC25" s="351">
        <v>5350.43360356839</v>
      </c>
      <c r="BB25" s="404">
        <v>2000</v>
      </c>
      <c r="BC25" s="401">
        <v>151000</v>
      </c>
      <c r="BD25" s="405">
        <f t="shared" si="0"/>
        <v>151</v>
      </c>
      <c r="BE25">
        <f t="shared" si="1"/>
        <v>330.5</v>
      </c>
      <c r="BF25" s="404">
        <v>2000</v>
      </c>
      <c r="BG25">
        <f t="shared" si="2"/>
        <v>151</v>
      </c>
      <c r="BH25">
        <v>179.94492735227035</v>
      </c>
    </row>
    <row r="26" spans="1:60" ht="15" x14ac:dyDescent="0.25">
      <c r="A26" s="306">
        <v>1999</v>
      </c>
      <c r="B26" s="312">
        <v>7420</v>
      </c>
      <c r="C26" s="312">
        <v>252168</v>
      </c>
      <c r="D26" s="310" t="s">
        <v>84</v>
      </c>
      <c r="E26" s="312">
        <v>1184195</v>
      </c>
      <c r="F26" s="312">
        <v>29875</v>
      </c>
      <c r="G26" s="312">
        <v>132654.51764705882</v>
      </c>
      <c r="H26" s="312"/>
      <c r="I26" s="352">
        <v>1998</v>
      </c>
      <c r="J26" s="88">
        <f t="shared" si="14"/>
        <v>252.16800000000001</v>
      </c>
      <c r="K26" s="88">
        <v>222.18477626244194</v>
      </c>
      <c r="L26" s="88">
        <v>291.50532098804331</v>
      </c>
      <c r="M26" s="344">
        <v>88.976200000000006</v>
      </c>
      <c r="N26" s="406">
        <v>132654.51764705882</v>
      </c>
      <c r="O26" s="407">
        <v>118172.27388358123</v>
      </c>
      <c r="P26" s="407">
        <v>151182.19150987864</v>
      </c>
      <c r="Q26" s="409">
        <f t="shared" si="11"/>
        <v>132.65451764705881</v>
      </c>
      <c r="R26" s="409">
        <f t="shared" si="12"/>
        <v>118.17227388358124</v>
      </c>
      <c r="S26" s="409">
        <f t="shared" si="13"/>
        <v>151.18219150987863</v>
      </c>
      <c r="T26" s="409">
        <f t="shared" si="10"/>
        <v>29.874637749601931</v>
      </c>
      <c r="U26" s="409">
        <f t="shared" si="10"/>
        <v>28.068000729534678</v>
      </c>
      <c r="V26" s="409">
        <f t="shared" si="10"/>
        <v>31.929848100314675</v>
      </c>
      <c r="W26">
        <f t="shared" si="3"/>
        <v>1998</v>
      </c>
      <c r="X26">
        <f t="shared" si="4"/>
        <v>7420</v>
      </c>
      <c r="Y26" s="349">
        <v>1998</v>
      </c>
      <c r="Z26" s="312">
        <f t="shared" si="5"/>
        <v>7420</v>
      </c>
      <c r="AA26">
        <v>5676.3099431367536</v>
      </c>
      <c r="AB26" s="409">
        <f t="shared" si="6"/>
        <v>7.42</v>
      </c>
      <c r="AC26" s="351">
        <v>5224.049696386508</v>
      </c>
      <c r="BB26" s="404">
        <v>2001</v>
      </c>
      <c r="BC26" s="401">
        <v>180000</v>
      </c>
      <c r="BD26" s="405">
        <f t="shared" si="0"/>
        <v>180</v>
      </c>
      <c r="BE26">
        <f t="shared" si="1"/>
        <v>165.5</v>
      </c>
      <c r="BF26" s="404">
        <v>2001</v>
      </c>
      <c r="BG26">
        <f t="shared" si="2"/>
        <v>180</v>
      </c>
      <c r="BH26">
        <v>162.7910229952698</v>
      </c>
    </row>
    <row r="27" spans="1:60" ht="15" x14ac:dyDescent="0.25">
      <c r="A27" s="306">
        <v>2000</v>
      </c>
      <c r="B27" s="312">
        <v>5233</v>
      </c>
      <c r="C27" s="312">
        <v>183023</v>
      </c>
      <c r="D27" s="312">
        <v>1237056</v>
      </c>
      <c r="E27" s="312">
        <v>1691411</v>
      </c>
      <c r="F27" s="312">
        <v>19902</v>
      </c>
      <c r="G27" s="312">
        <v>62444.404303192241</v>
      </c>
      <c r="H27" s="312"/>
      <c r="I27" s="352">
        <v>1999</v>
      </c>
      <c r="J27" s="88">
        <f t="shared" si="14"/>
        <v>183.023</v>
      </c>
      <c r="K27" s="88">
        <v>161.8717185688474</v>
      </c>
      <c r="L27" s="88">
        <v>210.53137737252868</v>
      </c>
      <c r="M27" s="344">
        <v>80.695800000000006</v>
      </c>
      <c r="N27" s="406">
        <v>62444.404303192241</v>
      </c>
      <c r="O27" s="407">
        <v>54369.743710831339</v>
      </c>
      <c r="P27" s="407">
        <v>73335.78491374501</v>
      </c>
      <c r="Q27" s="409">
        <f t="shared" si="11"/>
        <v>62.444404303192243</v>
      </c>
      <c r="R27" s="409">
        <f t="shared" si="12"/>
        <v>54.369743710831337</v>
      </c>
      <c r="S27" s="409">
        <f t="shared" si="13"/>
        <v>73.335784913745016</v>
      </c>
      <c r="T27" s="409">
        <f t="shared" si="10"/>
        <v>19.902225806451614</v>
      </c>
      <c r="U27" s="409">
        <f t="shared" si="10"/>
        <v>18.065789556062523</v>
      </c>
      <c r="V27" s="409">
        <f t="shared" si="10"/>
        <v>22.15426679946026</v>
      </c>
      <c r="W27">
        <f t="shared" si="3"/>
        <v>1999</v>
      </c>
      <c r="X27">
        <f t="shared" si="4"/>
        <v>5233</v>
      </c>
      <c r="Y27" s="349">
        <v>1999</v>
      </c>
      <c r="Z27" s="312">
        <f t="shared" si="5"/>
        <v>5233</v>
      </c>
      <c r="AA27">
        <v>5742.1574355020093</v>
      </c>
      <c r="AB27" s="409">
        <f t="shared" si="6"/>
        <v>5.2329999999999997</v>
      </c>
      <c r="AC27" s="351">
        <v>5100.6511345388644</v>
      </c>
      <c r="BB27" s="404">
        <v>2002</v>
      </c>
      <c r="BC27" s="401">
        <v>97000</v>
      </c>
      <c r="BD27" s="405">
        <f t="shared" si="0"/>
        <v>97</v>
      </c>
      <c r="BE27">
        <f t="shared" si="1"/>
        <v>138.5</v>
      </c>
      <c r="BF27" s="404">
        <v>2002</v>
      </c>
      <c r="BG27">
        <f t="shared" si="2"/>
        <v>97</v>
      </c>
      <c r="BH27">
        <v>142.28023573849907</v>
      </c>
    </row>
    <row r="28" spans="1:60" ht="15" x14ac:dyDescent="0.25">
      <c r="A28" s="306">
        <v>2001</v>
      </c>
      <c r="B28" s="312">
        <v>4969</v>
      </c>
      <c r="C28" s="312">
        <v>268777</v>
      </c>
      <c r="D28" s="312">
        <v>1185804</v>
      </c>
      <c r="E28" s="312">
        <v>1811038</v>
      </c>
      <c r="F28" s="312">
        <v>23327</v>
      </c>
      <c r="G28" s="312">
        <v>102609.88524590163</v>
      </c>
      <c r="H28" s="312"/>
      <c r="I28" s="352">
        <v>2000</v>
      </c>
      <c r="J28" s="88">
        <f t="shared" si="14"/>
        <v>268.77699999999999</v>
      </c>
      <c r="K28" s="88">
        <v>242.03395534562253</v>
      </c>
      <c r="L28" s="88">
        <v>302.16415161402801</v>
      </c>
      <c r="M28" s="344">
        <v>100.203</v>
      </c>
      <c r="N28" s="406">
        <v>102609.88524590163</v>
      </c>
      <c r="O28" s="407">
        <v>84475.595650226111</v>
      </c>
      <c r="P28" s="407">
        <v>130658.13278715691</v>
      </c>
      <c r="Q28" s="409">
        <f t="shared" si="11"/>
        <v>102.60988524590164</v>
      </c>
      <c r="R28" s="409">
        <f t="shared" si="12"/>
        <v>84.475595650226111</v>
      </c>
      <c r="S28" s="409">
        <f t="shared" si="13"/>
        <v>130.65813278715692</v>
      </c>
      <c r="T28" s="409">
        <f t="shared" si="10"/>
        <v>23.326764699879067</v>
      </c>
      <c r="U28" s="409">
        <f t="shared" si="10"/>
        <v>22.085657491265312</v>
      </c>
      <c r="V28" s="409">
        <f t="shared" si="10"/>
        <v>24.715665656248078</v>
      </c>
      <c r="W28">
        <f t="shared" si="3"/>
        <v>2000</v>
      </c>
      <c r="X28">
        <f t="shared" si="4"/>
        <v>4969</v>
      </c>
      <c r="Y28" s="349">
        <v>2000</v>
      </c>
      <c r="Z28" s="312">
        <f t="shared" si="5"/>
        <v>4969</v>
      </c>
      <c r="AA28">
        <v>5384.6734220964991</v>
      </c>
      <c r="AB28" s="409">
        <f t="shared" si="6"/>
        <v>4.9690000000000003</v>
      </c>
      <c r="AC28" s="351">
        <v>4980.1674004495771</v>
      </c>
      <c r="BB28" s="404">
        <v>2003</v>
      </c>
      <c r="BC28" s="401">
        <v>175000</v>
      </c>
      <c r="BD28" s="405">
        <f t="shared" si="0"/>
        <v>175</v>
      </c>
      <c r="BE28">
        <f t="shared" si="1"/>
        <v>136</v>
      </c>
      <c r="BF28" s="404">
        <v>2003</v>
      </c>
      <c r="BG28">
        <f t="shared" si="2"/>
        <v>175</v>
      </c>
      <c r="BH28">
        <v>130.41391334359733</v>
      </c>
    </row>
    <row r="29" spans="1:60" ht="15" x14ac:dyDescent="0.25">
      <c r="A29" s="306">
        <v>2002</v>
      </c>
      <c r="B29" s="312">
        <v>5980</v>
      </c>
      <c r="C29" s="312">
        <v>264599</v>
      </c>
      <c r="D29" s="312">
        <v>2970458</v>
      </c>
      <c r="E29" s="312">
        <v>2741593</v>
      </c>
      <c r="F29" s="312">
        <v>36487</v>
      </c>
      <c r="G29" s="312">
        <v>102917.88484872715</v>
      </c>
      <c r="H29" s="312"/>
      <c r="I29" s="352">
        <v>2001</v>
      </c>
      <c r="J29" s="88">
        <f t="shared" si="14"/>
        <v>264.59899999999999</v>
      </c>
      <c r="K29" s="88">
        <v>228.96989745978459</v>
      </c>
      <c r="L29" s="88">
        <v>313.35898935302134</v>
      </c>
      <c r="M29" s="344">
        <v>99.796599999999998</v>
      </c>
      <c r="N29" s="406">
        <v>102917.88484872715</v>
      </c>
      <c r="O29" s="407">
        <v>95752.136411174157</v>
      </c>
      <c r="P29" s="407">
        <v>111242.90734282216</v>
      </c>
      <c r="Q29" s="409">
        <f t="shared" si="11"/>
        <v>102.91788484872714</v>
      </c>
      <c r="R29" s="409">
        <f t="shared" si="12"/>
        <v>95.752136411174163</v>
      </c>
      <c r="S29" s="409">
        <f t="shared" si="13"/>
        <v>111.24290734282216</v>
      </c>
      <c r="T29" s="409">
        <f t="shared" si="10"/>
        <v>36.487329427389895</v>
      </c>
      <c r="U29" s="409">
        <f t="shared" si="10"/>
        <v>35.14749052564035</v>
      </c>
      <c r="V29" s="409">
        <f t="shared" si="10"/>
        <v>37.93336726319216</v>
      </c>
      <c r="W29">
        <f t="shared" si="3"/>
        <v>2001</v>
      </c>
      <c r="X29">
        <f t="shared" si="4"/>
        <v>5980</v>
      </c>
      <c r="Y29" s="349">
        <v>2001</v>
      </c>
      <c r="Z29" s="312">
        <f t="shared" si="5"/>
        <v>5980</v>
      </c>
      <c r="AA29">
        <v>4847.346358414783</v>
      </c>
      <c r="AB29" s="409">
        <f t="shared" si="6"/>
        <v>5.98</v>
      </c>
      <c r="AC29" s="351">
        <v>4862.5296422557603</v>
      </c>
      <c r="BB29" s="404">
        <v>2004</v>
      </c>
      <c r="BC29" s="401">
        <v>83000</v>
      </c>
      <c r="BD29" s="405">
        <f t="shared" si="0"/>
        <v>83</v>
      </c>
      <c r="BE29">
        <f t="shared" si="1"/>
        <v>129</v>
      </c>
      <c r="BF29" s="404">
        <v>2004</v>
      </c>
      <c r="BG29">
        <f t="shared" si="2"/>
        <v>83</v>
      </c>
      <c r="BH29">
        <v>127.47978208081997</v>
      </c>
    </row>
    <row r="30" spans="1:60" ht="15" x14ac:dyDescent="0.25">
      <c r="A30" s="306">
        <v>2003</v>
      </c>
      <c r="B30" s="312">
        <v>3616</v>
      </c>
      <c r="C30" s="312">
        <v>148513</v>
      </c>
      <c r="D30" s="312">
        <v>1696212</v>
      </c>
      <c r="E30" s="312">
        <v>2737851</v>
      </c>
      <c r="F30" s="312">
        <v>26841</v>
      </c>
      <c r="G30" s="312">
        <v>77081.220896891857</v>
      </c>
      <c r="H30" s="312"/>
      <c r="I30" s="352">
        <v>2002</v>
      </c>
      <c r="J30" s="88">
        <f t="shared" si="14"/>
        <v>148.51300000000001</v>
      </c>
      <c r="K30" s="88">
        <v>132.35533338181901</v>
      </c>
      <c r="L30" s="88">
        <v>169.16436493170579</v>
      </c>
      <c r="M30" s="344">
        <v>77.952600000000004</v>
      </c>
      <c r="N30" s="406">
        <v>77081.220896891857</v>
      </c>
      <c r="O30" s="407">
        <v>71056.925261981058</v>
      </c>
      <c r="P30" s="407">
        <v>84221.637411580159</v>
      </c>
      <c r="Q30" s="409">
        <f t="shared" si="11"/>
        <v>77.08122089689185</v>
      </c>
      <c r="R30" s="409">
        <f t="shared" si="12"/>
        <v>71.056925261981064</v>
      </c>
      <c r="S30" s="409">
        <f t="shared" si="13"/>
        <v>84.221637411580161</v>
      </c>
      <c r="T30" s="409">
        <f t="shared" ref="T30:V46" si="15">T69/1000</f>
        <v>26.841259102728113</v>
      </c>
      <c r="U30" s="409">
        <f t="shared" si="15"/>
        <v>25.314647203550582</v>
      </c>
      <c r="V30" s="409">
        <f t="shared" si="15"/>
        <v>28.563813530230547</v>
      </c>
      <c r="W30">
        <f t="shared" si="3"/>
        <v>2002</v>
      </c>
      <c r="X30">
        <f t="shared" si="4"/>
        <v>3616</v>
      </c>
      <c r="Y30" s="349">
        <v>2002</v>
      </c>
      <c r="Z30" s="312">
        <f t="shared" si="5"/>
        <v>3616</v>
      </c>
      <c r="AA30">
        <v>4544.7449378213068</v>
      </c>
      <c r="AB30" s="409">
        <f t="shared" si="6"/>
        <v>3.6160000000000001</v>
      </c>
      <c r="AC30" s="351">
        <v>4747.6706344613012</v>
      </c>
      <c r="AD30" s="22" t="s">
        <v>289</v>
      </c>
      <c r="BB30" s="404">
        <v>2005</v>
      </c>
      <c r="BC30" s="401">
        <v>160000</v>
      </c>
      <c r="BD30" s="405">
        <f t="shared" si="0"/>
        <v>160</v>
      </c>
      <c r="BE30">
        <f t="shared" si="1"/>
        <v>121.5</v>
      </c>
      <c r="BF30" s="404">
        <v>2005</v>
      </c>
      <c r="BG30">
        <f t="shared" si="2"/>
        <v>160</v>
      </c>
      <c r="BH30">
        <v>114.67285166829264</v>
      </c>
    </row>
    <row r="31" spans="1:60" ht="15" x14ac:dyDescent="0.25">
      <c r="A31" s="306">
        <v>2004</v>
      </c>
      <c r="B31" s="312">
        <v>3695</v>
      </c>
      <c r="C31" s="312">
        <v>185125</v>
      </c>
      <c r="D31" s="312">
        <v>1938322</v>
      </c>
      <c r="E31" s="312">
        <v>2961344</v>
      </c>
      <c r="F31" s="312">
        <v>22997</v>
      </c>
      <c r="G31" s="312">
        <v>101578.57668711657</v>
      </c>
      <c r="H31" s="312"/>
      <c r="I31" s="352">
        <v>2003</v>
      </c>
      <c r="J31" s="88">
        <f t="shared" si="14"/>
        <v>185.125</v>
      </c>
      <c r="K31" s="88">
        <v>166.61162818095559</v>
      </c>
      <c r="L31" s="88">
        <v>208.26793118385999</v>
      </c>
      <c r="M31" s="344">
        <v>101.47300000000001</v>
      </c>
      <c r="N31" s="406">
        <v>101578.57668711657</v>
      </c>
      <c r="O31" s="407">
        <v>89512.080805956313</v>
      </c>
      <c r="P31" s="407">
        <v>117405.14031110409</v>
      </c>
      <c r="Q31" s="409">
        <f t="shared" si="11"/>
        <v>101.57857668711657</v>
      </c>
      <c r="R31" s="409">
        <f t="shared" si="12"/>
        <v>89.512080805956316</v>
      </c>
      <c r="S31" s="409">
        <f t="shared" si="13"/>
        <v>117.40514031110409</v>
      </c>
      <c r="T31" s="409">
        <f t="shared" si="15"/>
        <v>22.997257130996857</v>
      </c>
      <c r="U31" s="409">
        <f t="shared" si="15"/>
        <v>21.330728605880175</v>
      </c>
      <c r="V31" s="409">
        <f t="shared" si="15"/>
        <v>24.946260133958635</v>
      </c>
      <c r="W31">
        <f t="shared" si="3"/>
        <v>2003</v>
      </c>
      <c r="X31">
        <f t="shared" si="4"/>
        <v>3695</v>
      </c>
      <c r="Y31" s="349">
        <v>2003</v>
      </c>
      <c r="Z31" s="312">
        <f t="shared" si="5"/>
        <v>3695</v>
      </c>
      <c r="AA31">
        <v>4357.7567878300479</v>
      </c>
      <c r="AB31" s="409">
        <f t="shared" si="6"/>
        <v>3.6949999999999998</v>
      </c>
      <c r="AC31" s="351">
        <v>4635.5247395200531</v>
      </c>
      <c r="BB31" s="404">
        <v>2006</v>
      </c>
      <c r="BC31" s="401">
        <v>80500</v>
      </c>
      <c r="BD31" s="405">
        <f t="shared" si="0"/>
        <v>80.5</v>
      </c>
      <c r="BE31">
        <f t="shared" si="1"/>
        <v>120.25</v>
      </c>
      <c r="BF31" s="404">
        <v>2006</v>
      </c>
      <c r="BG31">
        <f t="shared" si="2"/>
        <v>80.5</v>
      </c>
      <c r="BH31">
        <v>104.58774230873733</v>
      </c>
    </row>
    <row r="32" spans="1:60" ht="15" x14ac:dyDescent="0.25">
      <c r="A32" s="306">
        <v>2005</v>
      </c>
      <c r="B32" s="312">
        <v>4549</v>
      </c>
      <c r="C32" s="312">
        <v>144778</v>
      </c>
      <c r="D32" s="312">
        <v>776934</v>
      </c>
      <c r="E32" s="312">
        <v>3755274</v>
      </c>
      <c r="F32" s="312">
        <v>39924</v>
      </c>
      <c r="G32" s="312">
        <v>120631.55813953489</v>
      </c>
      <c r="H32" s="312"/>
      <c r="I32" s="352">
        <v>2004</v>
      </c>
      <c r="J32" s="88">
        <f t="shared" si="14"/>
        <v>144.77799999999999</v>
      </c>
      <c r="K32" s="88">
        <v>128.12423359620283</v>
      </c>
      <c r="L32" s="88">
        <v>166.4092479934057</v>
      </c>
      <c r="M32" s="344">
        <v>76.301600000000008</v>
      </c>
      <c r="N32" s="406">
        <v>120631.55813953489</v>
      </c>
      <c r="O32" s="407">
        <v>102928.39314839792</v>
      </c>
      <c r="P32" s="407">
        <v>145689.40102311739</v>
      </c>
      <c r="Q32" s="409">
        <f t="shared" si="11"/>
        <v>120.63155813953489</v>
      </c>
      <c r="R32" s="409">
        <f t="shared" si="12"/>
        <v>102.92839314839793</v>
      </c>
      <c r="S32" s="409">
        <f t="shared" si="13"/>
        <v>145.6894010231174</v>
      </c>
      <c r="T32" s="409">
        <f t="shared" si="15"/>
        <v>39.924393427230044</v>
      </c>
      <c r="U32" s="409">
        <f t="shared" si="15"/>
        <v>37.662194647432315</v>
      </c>
      <c r="V32" s="409">
        <f t="shared" si="15"/>
        <v>42.475718981982986</v>
      </c>
      <c r="W32">
        <f t="shared" si="3"/>
        <v>2004</v>
      </c>
      <c r="X32">
        <f t="shared" si="4"/>
        <v>4549</v>
      </c>
      <c r="Y32" s="349">
        <v>2004</v>
      </c>
      <c r="Z32" s="312">
        <f t="shared" si="5"/>
        <v>4549</v>
      </c>
      <c r="AA32">
        <v>4218.4760441426424</v>
      </c>
      <c r="AB32" s="409">
        <f t="shared" si="6"/>
        <v>4.5490000000000004</v>
      </c>
      <c r="AC32" s="351">
        <v>4526.0278703264821</v>
      </c>
      <c r="BB32" s="404">
        <v>2007</v>
      </c>
      <c r="BC32" s="401">
        <v>93000</v>
      </c>
      <c r="BD32" s="405">
        <f t="shared" si="0"/>
        <v>93</v>
      </c>
      <c r="BE32">
        <f t="shared" si="1"/>
        <v>86.75</v>
      </c>
      <c r="BF32" s="404">
        <v>2007</v>
      </c>
      <c r="BG32">
        <f t="shared" si="2"/>
        <v>93</v>
      </c>
      <c r="BH32">
        <v>95.946025719467499</v>
      </c>
    </row>
    <row r="33" spans="1:60" ht="15" x14ac:dyDescent="0.25">
      <c r="A33" s="306">
        <v>2006</v>
      </c>
      <c r="B33" s="312">
        <v>4287</v>
      </c>
      <c r="C33" s="312">
        <v>124070</v>
      </c>
      <c r="D33" s="312">
        <v>1807837</v>
      </c>
      <c r="E33" s="312">
        <v>2149673</v>
      </c>
      <c r="F33" s="312">
        <v>28184</v>
      </c>
      <c r="G33" s="312">
        <v>98469.845462730606</v>
      </c>
      <c r="H33" s="312"/>
      <c r="I33" s="352">
        <v>2005</v>
      </c>
      <c r="J33" s="88">
        <f t="shared" si="14"/>
        <v>124.07</v>
      </c>
      <c r="K33" s="88">
        <v>109.58551476236188</v>
      </c>
      <c r="L33" s="88">
        <v>142.96724922431346</v>
      </c>
      <c r="M33" s="344">
        <v>78.333600000000004</v>
      </c>
      <c r="N33" s="406">
        <v>98469.845462730606</v>
      </c>
      <c r="O33" s="407">
        <v>89230.056659059846</v>
      </c>
      <c r="P33" s="407">
        <v>109844.23637301721</v>
      </c>
      <c r="Q33" s="409">
        <f t="shared" si="11"/>
        <v>98.469845462730603</v>
      </c>
      <c r="R33" s="409">
        <f t="shared" si="12"/>
        <v>89.230056659059841</v>
      </c>
      <c r="S33" s="409">
        <f t="shared" si="13"/>
        <v>109.84423637301721</v>
      </c>
      <c r="T33" s="409">
        <f t="shared" si="15"/>
        <v>28.183527918781724</v>
      </c>
      <c r="U33" s="409">
        <f t="shared" si="15"/>
        <v>26.080326555460317</v>
      </c>
      <c r="V33" s="409">
        <f t="shared" si="15"/>
        <v>30.655702287768325</v>
      </c>
      <c r="W33">
        <f t="shared" si="3"/>
        <v>2005</v>
      </c>
      <c r="X33">
        <f t="shared" si="4"/>
        <v>4287</v>
      </c>
      <c r="Y33" s="349">
        <v>2005</v>
      </c>
      <c r="Z33" s="312">
        <f t="shared" si="5"/>
        <v>4287</v>
      </c>
      <c r="AA33">
        <v>4220.7884808977151</v>
      </c>
      <c r="AB33" s="409">
        <f t="shared" si="6"/>
        <v>4.2869999999999999</v>
      </c>
      <c r="AC33" s="351">
        <v>4419.117453592321</v>
      </c>
      <c r="BB33" s="404">
        <v>2008</v>
      </c>
      <c r="BC33" s="401">
        <v>83000</v>
      </c>
      <c r="BD33" s="405">
        <f t="shared" si="0"/>
        <v>83</v>
      </c>
      <c r="BE33">
        <f t="shared" si="1"/>
        <v>88</v>
      </c>
      <c r="BF33" s="404">
        <v>2008</v>
      </c>
      <c r="BG33">
        <f t="shared" si="2"/>
        <v>83</v>
      </c>
      <c r="BH33">
        <v>97.933571113394052</v>
      </c>
    </row>
    <row r="34" spans="1:60" ht="15" x14ac:dyDescent="0.25">
      <c r="A34" s="306">
        <v>2007</v>
      </c>
      <c r="B34" s="312">
        <v>4515</v>
      </c>
      <c r="C34" s="312">
        <v>114648</v>
      </c>
      <c r="D34" s="312">
        <v>875478</v>
      </c>
      <c r="E34" s="312">
        <v>3035547</v>
      </c>
      <c r="F34" s="312">
        <v>37267</v>
      </c>
      <c r="G34" s="312">
        <v>84017.387096774197</v>
      </c>
      <c r="H34" s="312"/>
      <c r="I34" s="352">
        <v>2006</v>
      </c>
      <c r="J34" s="88">
        <f t="shared" si="14"/>
        <v>114.648</v>
      </c>
      <c r="K34" s="88">
        <v>101.65684118196423</v>
      </c>
      <c r="L34" s="88">
        <v>131.44704377615912</v>
      </c>
      <c r="M34" s="344">
        <v>113.13160000000001</v>
      </c>
      <c r="N34" s="406">
        <v>84017.387096774197</v>
      </c>
      <c r="O34" s="407">
        <v>74165.771556430744</v>
      </c>
      <c r="P34" s="407">
        <v>96887.135339674132</v>
      </c>
      <c r="Q34" s="409">
        <f t="shared" si="11"/>
        <v>84.0173870967742</v>
      </c>
      <c r="R34" s="409">
        <f t="shared" si="12"/>
        <v>74.165771556430741</v>
      </c>
      <c r="S34" s="409">
        <f t="shared" si="13"/>
        <v>96.887135339674131</v>
      </c>
      <c r="T34" s="409">
        <f t="shared" si="15"/>
        <v>37.267217729809204</v>
      </c>
      <c r="U34" s="409">
        <f t="shared" si="15"/>
        <v>34.995938129843516</v>
      </c>
      <c r="V34" s="409">
        <f t="shared" si="15"/>
        <v>39.853777076178375</v>
      </c>
      <c r="W34">
        <f t="shared" si="3"/>
        <v>2006</v>
      </c>
      <c r="X34">
        <f t="shared" si="4"/>
        <v>4515</v>
      </c>
      <c r="Y34" s="349">
        <v>2006</v>
      </c>
      <c r="Z34" s="312">
        <f t="shared" si="5"/>
        <v>4515</v>
      </c>
      <c r="AA34">
        <v>4248.8366164739518</v>
      </c>
      <c r="AB34" s="409">
        <f t="shared" si="6"/>
        <v>4.5149999999999997</v>
      </c>
      <c r="AC34" s="351">
        <v>4314.7323940883289</v>
      </c>
      <c r="BB34" s="404">
        <v>2009</v>
      </c>
      <c r="BC34" s="401">
        <v>113100</v>
      </c>
      <c r="BD34" s="405">
        <f t="shared" si="0"/>
        <v>113.1</v>
      </c>
      <c r="BE34">
        <f t="shared" si="1"/>
        <v>98.05</v>
      </c>
      <c r="BF34" s="404">
        <v>2009</v>
      </c>
      <c r="BG34">
        <f t="shared" si="2"/>
        <v>113.1</v>
      </c>
      <c r="BH34">
        <v>111.60922645038403</v>
      </c>
    </row>
    <row r="35" spans="1:60" ht="15" x14ac:dyDescent="0.25">
      <c r="A35" s="306">
        <v>2008</v>
      </c>
      <c r="B35" s="312">
        <v>4053</v>
      </c>
      <c r="C35" s="312">
        <v>89169</v>
      </c>
      <c r="D35" s="312">
        <v>893032</v>
      </c>
      <c r="E35" s="312">
        <v>2021243</v>
      </c>
      <c r="F35" s="312">
        <v>28793</v>
      </c>
      <c r="G35" s="312">
        <v>72315.070422535209</v>
      </c>
      <c r="H35" s="312"/>
      <c r="I35" s="352">
        <v>2007</v>
      </c>
      <c r="J35" s="88">
        <f t="shared" si="14"/>
        <v>89.168999999999997</v>
      </c>
      <c r="K35" s="88">
        <v>79.446569010132222</v>
      </c>
      <c r="L35" s="88">
        <v>101.60388815214985</v>
      </c>
      <c r="M35" s="344">
        <v>110.8456</v>
      </c>
      <c r="N35" s="406">
        <v>72315.070422535209</v>
      </c>
      <c r="O35" s="407">
        <v>66474.463658707158</v>
      </c>
      <c r="P35" s="407">
        <v>79280.879808021171</v>
      </c>
      <c r="Q35" s="409">
        <f t="shared" si="11"/>
        <v>72.315070422535214</v>
      </c>
      <c r="R35" s="409">
        <f t="shared" si="12"/>
        <v>66.474463658707151</v>
      </c>
      <c r="S35" s="409">
        <f t="shared" si="13"/>
        <v>79.280879808021169</v>
      </c>
      <c r="T35" s="409">
        <f t="shared" si="15"/>
        <v>28.793346815834767</v>
      </c>
      <c r="U35" s="409">
        <f t="shared" si="15"/>
        <v>27.227559209481154</v>
      </c>
      <c r="V35" s="409">
        <f t="shared" si="15"/>
        <v>30.550211707586065</v>
      </c>
      <c r="W35">
        <f t="shared" si="3"/>
        <v>2007</v>
      </c>
      <c r="X35">
        <f t="shared" si="4"/>
        <v>4053</v>
      </c>
      <c r="Y35" s="349">
        <v>2007</v>
      </c>
      <c r="Z35" s="312">
        <f t="shared" si="5"/>
        <v>4053</v>
      </c>
      <c r="AA35">
        <v>4325.7768608379511</v>
      </c>
      <c r="AB35" s="409">
        <f t="shared" si="6"/>
        <v>4.0529999999999999</v>
      </c>
      <c r="AC35" s="351">
        <v>4212.8130397306886</v>
      </c>
      <c r="BB35" s="404">
        <v>2010</v>
      </c>
      <c r="BC35" s="401">
        <v>132000</v>
      </c>
      <c r="BD35" s="405">
        <f t="shared" si="0"/>
        <v>132</v>
      </c>
      <c r="BE35">
        <f t="shared" si="1"/>
        <v>122.55</v>
      </c>
      <c r="BF35" s="404">
        <v>2010</v>
      </c>
      <c r="BG35">
        <f t="shared" si="2"/>
        <v>132</v>
      </c>
      <c r="BH35">
        <v>123.99631819335583</v>
      </c>
    </row>
    <row r="36" spans="1:60" ht="15" x14ac:dyDescent="0.25">
      <c r="A36" s="306">
        <v>2009</v>
      </c>
      <c r="B36" s="312">
        <v>3815</v>
      </c>
      <c r="C36" s="312">
        <v>102318</v>
      </c>
      <c r="D36" s="312">
        <v>716689</v>
      </c>
      <c r="E36" s="312">
        <v>2803021</v>
      </c>
      <c r="F36" s="312">
        <v>24006</v>
      </c>
      <c r="G36" s="312">
        <v>96179.621187077384</v>
      </c>
      <c r="H36" s="312"/>
      <c r="I36" s="352">
        <v>2008</v>
      </c>
      <c r="J36" s="88">
        <f t="shared" si="14"/>
        <v>102.318</v>
      </c>
      <c r="K36" s="88">
        <v>83.600236376301837</v>
      </c>
      <c r="L36" s="88">
        <v>131.8359653472456</v>
      </c>
      <c r="M36" s="344">
        <v>83.743799999999993</v>
      </c>
      <c r="N36" s="406">
        <v>96179.621187077384</v>
      </c>
      <c r="O36" s="407">
        <v>81784.862752324727</v>
      </c>
      <c r="P36" s="407">
        <v>116723.91960231207</v>
      </c>
      <c r="Q36" s="409">
        <f t="shared" si="11"/>
        <v>96.179621187077387</v>
      </c>
      <c r="R36" s="409">
        <f t="shared" si="12"/>
        <v>81.784862752324727</v>
      </c>
      <c r="S36" s="409">
        <f t="shared" si="13"/>
        <v>116.72391960231208</v>
      </c>
      <c r="T36" s="409">
        <f t="shared" si="15"/>
        <v>24.006237010219913</v>
      </c>
      <c r="U36" s="409">
        <f t="shared" si="15"/>
        <v>22.573337272433065</v>
      </c>
      <c r="V36" s="409">
        <f t="shared" si="15"/>
        <v>25.63338075598292</v>
      </c>
      <c r="W36">
        <f t="shared" si="3"/>
        <v>2008</v>
      </c>
      <c r="X36">
        <f t="shared" si="4"/>
        <v>3815</v>
      </c>
      <c r="Y36" s="349">
        <v>2008</v>
      </c>
      <c r="Z36" s="312">
        <f t="shared" si="5"/>
        <v>3815</v>
      </c>
      <c r="AA36">
        <v>4755.5647691428712</v>
      </c>
      <c r="AB36" s="409">
        <f t="shared" si="6"/>
        <v>3.8149999999999999</v>
      </c>
      <c r="AC36" s="351">
        <v>4113.3011474921141</v>
      </c>
      <c r="AR36" s="22"/>
      <c r="BB36" s="404">
        <v>2011</v>
      </c>
      <c r="BC36" s="401">
        <v>147000</v>
      </c>
      <c r="BD36" s="405">
        <f t="shared" si="0"/>
        <v>147</v>
      </c>
      <c r="BE36">
        <f t="shared" si="1"/>
        <v>139.5</v>
      </c>
      <c r="BF36" s="404">
        <v>2011</v>
      </c>
      <c r="BG36">
        <f t="shared" si="2"/>
        <v>147</v>
      </c>
      <c r="BH36">
        <v>131.88317535165248</v>
      </c>
    </row>
    <row r="37" spans="1:60" ht="15" x14ac:dyDescent="0.25">
      <c r="A37" s="306">
        <v>2010</v>
      </c>
      <c r="B37" s="312">
        <v>4667</v>
      </c>
      <c r="C37" s="312">
        <v>160627</v>
      </c>
      <c r="D37" s="312">
        <v>872829</v>
      </c>
      <c r="E37" s="312">
        <v>2270500</v>
      </c>
      <c r="F37" s="312">
        <v>25813</v>
      </c>
      <c r="G37" s="312">
        <v>64348.800000000003</v>
      </c>
      <c r="H37" s="312"/>
      <c r="I37" s="352">
        <v>2009</v>
      </c>
      <c r="J37" s="88">
        <f t="shared" si="14"/>
        <v>160.62700000000001</v>
      </c>
      <c r="K37" s="88">
        <v>137.76933974461318</v>
      </c>
      <c r="L37" s="88">
        <v>192.57781583384912</v>
      </c>
      <c r="M37" s="344">
        <v>114.8588</v>
      </c>
      <c r="N37" s="406">
        <v>64348.800000000003</v>
      </c>
      <c r="O37" s="407">
        <v>56058.509552001189</v>
      </c>
      <c r="P37" s="407">
        <v>75516.690534472305</v>
      </c>
      <c r="Q37" s="409">
        <f t="shared" si="11"/>
        <v>64.348799999999997</v>
      </c>
      <c r="R37" s="409">
        <f t="shared" si="12"/>
        <v>56.05850955200119</v>
      </c>
      <c r="S37" s="409">
        <f t="shared" si="13"/>
        <v>75.516690534472303</v>
      </c>
      <c r="T37" s="409">
        <f t="shared" si="15"/>
        <v>25.812888816652702</v>
      </c>
      <c r="U37" s="409">
        <f t="shared" si="15"/>
        <v>24.750784032257123</v>
      </c>
      <c r="V37" s="409">
        <f t="shared" si="15"/>
        <v>26.970234586097103</v>
      </c>
      <c r="W37">
        <f t="shared" si="3"/>
        <v>2009</v>
      </c>
      <c r="X37">
        <f t="shared" si="4"/>
        <v>4667</v>
      </c>
      <c r="Y37" s="349">
        <v>2009</v>
      </c>
      <c r="Z37" s="312">
        <f t="shared" si="5"/>
        <v>4667</v>
      </c>
      <c r="AA37">
        <v>5562.4751344062934</v>
      </c>
      <c r="AB37" s="409">
        <f t="shared" si="6"/>
        <v>4.6669999999999998</v>
      </c>
      <c r="BB37" s="404">
        <v>2012</v>
      </c>
      <c r="BC37" s="401">
        <v>111000</v>
      </c>
      <c r="BD37" s="405">
        <f t="shared" si="0"/>
        <v>111</v>
      </c>
      <c r="BE37">
        <f t="shared" si="1"/>
        <v>129</v>
      </c>
      <c r="BF37" s="404">
        <v>2012</v>
      </c>
      <c r="BG37">
        <f t="shared" si="2"/>
        <v>111</v>
      </c>
      <c r="BH37">
        <v>137.08426431399795</v>
      </c>
    </row>
    <row r="38" spans="1:60" ht="15" x14ac:dyDescent="0.25">
      <c r="A38" s="306">
        <v>2011</v>
      </c>
      <c r="B38" s="312">
        <v>6053</v>
      </c>
      <c r="C38" s="312">
        <v>130727</v>
      </c>
      <c r="D38" s="312">
        <v>1026314</v>
      </c>
      <c r="E38" s="312">
        <v>1526065</v>
      </c>
      <c r="F38" s="312">
        <v>37742</v>
      </c>
      <c r="G38" s="312">
        <v>86995.734108650635</v>
      </c>
      <c r="H38" s="312"/>
      <c r="I38" s="352">
        <v>2010</v>
      </c>
      <c r="J38" s="88">
        <f t="shared" si="14"/>
        <v>130.727</v>
      </c>
      <c r="K38" s="88">
        <v>108.00907651889088</v>
      </c>
      <c r="L38" s="88">
        <v>165.54701467628144</v>
      </c>
      <c r="M38" s="344">
        <v>80.492599999999996</v>
      </c>
      <c r="N38" s="406">
        <v>86995.734108650635</v>
      </c>
      <c r="O38" s="407">
        <v>73547.521983176091</v>
      </c>
      <c r="P38" s="407">
        <v>106462.46490929711</v>
      </c>
      <c r="Q38" s="409">
        <f t="shared" si="11"/>
        <v>86.995734108650637</v>
      </c>
      <c r="R38" s="409">
        <f t="shared" si="12"/>
        <v>73.547521983176097</v>
      </c>
      <c r="S38" s="409">
        <f t="shared" si="13"/>
        <v>106.46246490929711</v>
      </c>
      <c r="T38" s="409">
        <f t="shared" si="15"/>
        <v>37.742220746485707</v>
      </c>
      <c r="U38" s="409">
        <f t="shared" si="15"/>
        <v>35.886430552825729</v>
      </c>
      <c r="V38" s="409">
        <f t="shared" si="15"/>
        <v>39.80041425707045</v>
      </c>
      <c r="W38">
        <f t="shared" si="3"/>
        <v>2010</v>
      </c>
      <c r="X38">
        <f t="shared" si="4"/>
        <v>6053</v>
      </c>
      <c r="Y38" s="349">
        <v>2010</v>
      </c>
      <c r="Z38" s="312">
        <f t="shared" si="5"/>
        <v>6053</v>
      </c>
      <c r="AA38">
        <v>6401.6294719493708</v>
      </c>
      <c r="AB38" s="409">
        <f t="shared" si="6"/>
        <v>6.0529999999999999</v>
      </c>
      <c r="BB38" s="404">
        <v>2013</v>
      </c>
      <c r="BC38" s="401">
        <v>172600</v>
      </c>
      <c r="BD38" s="405">
        <f t="shared" si="0"/>
        <v>172.6</v>
      </c>
      <c r="BE38">
        <f t="shared" si="1"/>
        <v>141.80000000000001</v>
      </c>
      <c r="BF38" s="404">
        <v>2013</v>
      </c>
      <c r="BG38">
        <f t="shared" si="2"/>
        <v>172.6</v>
      </c>
      <c r="BH38">
        <v>141.15577475821527</v>
      </c>
    </row>
    <row r="39" spans="1:60" ht="15" x14ac:dyDescent="0.25">
      <c r="A39" s="306">
        <v>2012</v>
      </c>
      <c r="B39" s="312">
        <v>10333</v>
      </c>
      <c r="C39" s="312">
        <v>112305</v>
      </c>
      <c r="D39" s="312">
        <v>1229468</v>
      </c>
      <c r="E39" s="312">
        <v>1463444</v>
      </c>
      <c r="F39" s="312">
        <v>32482</v>
      </c>
      <c r="G39" s="312">
        <v>86174.126126126124</v>
      </c>
      <c r="H39" s="312"/>
      <c r="I39" s="352">
        <v>2011</v>
      </c>
      <c r="J39" s="88">
        <f t="shared" si="14"/>
        <v>112.30500000000001</v>
      </c>
      <c r="K39" s="88">
        <v>100.30617077919017</v>
      </c>
      <c r="L39" s="88">
        <v>127.56535344982092</v>
      </c>
      <c r="M39" s="344">
        <v>79.044800000000009</v>
      </c>
      <c r="N39" s="406">
        <v>86174.126126126124</v>
      </c>
      <c r="O39" s="407">
        <v>72694.934381501123</v>
      </c>
      <c r="P39" s="407">
        <v>105789.8147547815</v>
      </c>
      <c r="Q39" s="409">
        <f t="shared" si="11"/>
        <v>86.174126126126126</v>
      </c>
      <c r="R39" s="409">
        <f t="shared" si="12"/>
        <v>72.694934381501128</v>
      </c>
      <c r="S39" s="409">
        <f t="shared" si="13"/>
        <v>105.7898147547815</v>
      </c>
      <c r="T39" s="409">
        <f t="shared" si="15"/>
        <v>32.482232137128946</v>
      </c>
      <c r="U39" s="409">
        <f t="shared" si="15"/>
        <v>30.754650743086859</v>
      </c>
      <c r="V39" s="409">
        <f t="shared" si="15"/>
        <v>34.415451753697184</v>
      </c>
      <c r="W39">
        <f t="shared" si="3"/>
        <v>2011</v>
      </c>
      <c r="X39">
        <f t="shared" si="4"/>
        <v>10333</v>
      </c>
      <c r="Y39" s="349">
        <v>2011</v>
      </c>
      <c r="Z39" s="312">
        <f t="shared" si="5"/>
        <v>10333</v>
      </c>
      <c r="AA39">
        <v>7199.7670855737415</v>
      </c>
      <c r="AB39" s="409">
        <f t="shared" si="6"/>
        <v>10.333</v>
      </c>
      <c r="BB39" s="404">
        <v>2014</v>
      </c>
      <c r="BC39" s="401">
        <v>129000</v>
      </c>
      <c r="BD39" s="405">
        <f>BC39/1000</f>
        <v>129</v>
      </c>
      <c r="BE39">
        <f t="shared" si="1"/>
        <v>150.80000000000001</v>
      </c>
      <c r="BF39" s="404">
        <v>2014</v>
      </c>
      <c r="BG39">
        <f t="shared" si="2"/>
        <v>129</v>
      </c>
      <c r="BH39">
        <v>145.07907303565474</v>
      </c>
    </row>
    <row r="40" spans="1:60" ht="15" x14ac:dyDescent="0.25">
      <c r="A40" s="306">
        <v>2013</v>
      </c>
      <c r="B40" s="312">
        <v>6143</v>
      </c>
      <c r="C40" s="312">
        <v>151016</v>
      </c>
      <c r="D40" s="312">
        <v>788387</v>
      </c>
      <c r="E40" s="312">
        <v>1338435</v>
      </c>
      <c r="F40" s="312">
        <v>41093</v>
      </c>
      <c r="G40" s="312">
        <v>99144.333333333328</v>
      </c>
      <c r="H40" s="312"/>
      <c r="I40" s="352">
        <v>2012</v>
      </c>
      <c r="J40" s="88">
        <f t="shared" si="14"/>
        <v>151.01599999999999</v>
      </c>
      <c r="K40" s="88">
        <v>126.58510175900525</v>
      </c>
      <c r="L40" s="88">
        <v>187.13152022381962</v>
      </c>
      <c r="M40" s="344">
        <v>96.21520000000001</v>
      </c>
      <c r="N40" s="406">
        <v>99144.333333333328</v>
      </c>
      <c r="O40" s="407">
        <v>84588.095477903102</v>
      </c>
      <c r="P40" s="407">
        <v>119751.64759019454</v>
      </c>
      <c r="Q40" s="409">
        <f t="shared" si="11"/>
        <v>99.144333333333321</v>
      </c>
      <c r="R40" s="409">
        <f t="shared" si="12"/>
        <v>84.588095477903096</v>
      </c>
      <c r="S40" s="409">
        <f t="shared" si="13"/>
        <v>119.75164759019454</v>
      </c>
      <c r="T40" s="409">
        <f t="shared" si="15"/>
        <v>41.092568309419839</v>
      </c>
      <c r="U40" s="409">
        <f t="shared" si="15"/>
        <v>39.174734267052358</v>
      </c>
      <c r="V40" s="409">
        <f t="shared" si="15"/>
        <v>43.207846980400127</v>
      </c>
      <c r="W40">
        <f t="shared" si="3"/>
        <v>2012</v>
      </c>
      <c r="X40">
        <f t="shared" si="4"/>
        <v>6143</v>
      </c>
      <c r="Y40" s="349">
        <v>2012</v>
      </c>
      <c r="Z40" s="312">
        <f t="shared" si="5"/>
        <v>6143</v>
      </c>
      <c r="AA40">
        <v>7598.2089776222274</v>
      </c>
      <c r="AB40" s="409">
        <f t="shared" si="6"/>
        <v>6.1429999999999998</v>
      </c>
    </row>
    <row r="41" spans="1:60" ht="15" x14ac:dyDescent="0.25">
      <c r="A41" s="306">
        <v>2014</v>
      </c>
      <c r="B41" s="312">
        <v>9575</v>
      </c>
      <c r="C41" s="312">
        <v>232019</v>
      </c>
      <c r="D41" s="312">
        <v>875312</v>
      </c>
      <c r="E41" s="312">
        <v>1155192</v>
      </c>
      <c r="F41" s="312">
        <v>47247</v>
      </c>
      <c r="G41" s="312">
        <v>149089.88619278005</v>
      </c>
      <c r="H41" s="312"/>
      <c r="I41" s="352">
        <v>2013</v>
      </c>
      <c r="J41" s="88">
        <f t="shared" si="14"/>
        <v>232.01900000000001</v>
      </c>
      <c r="K41" s="88">
        <v>204.98635408374238</v>
      </c>
      <c r="L41" s="88">
        <v>267.26349377107022</v>
      </c>
      <c r="M41" s="344">
        <v>81.457800000000006</v>
      </c>
      <c r="N41" s="406">
        <v>149089.88619278005</v>
      </c>
      <c r="O41" s="407">
        <v>127311.77426900982</v>
      </c>
      <c r="P41" s="407">
        <v>179856.33697306979</v>
      </c>
      <c r="Q41" s="409">
        <f t="shared" si="11"/>
        <v>149.08988619278006</v>
      </c>
      <c r="R41" s="409">
        <f t="shared" si="12"/>
        <v>127.31177426900982</v>
      </c>
      <c r="S41" s="409">
        <f t="shared" si="13"/>
        <v>179.8563369730698</v>
      </c>
      <c r="T41" s="409">
        <f t="shared" si="15"/>
        <v>47.246699308888843</v>
      </c>
      <c r="U41" s="409">
        <f t="shared" si="15"/>
        <v>45.29997856365636</v>
      </c>
      <c r="V41" s="409">
        <f t="shared" si="15"/>
        <v>49.368249898549202</v>
      </c>
      <c r="W41">
        <f t="shared" si="3"/>
        <v>2013</v>
      </c>
      <c r="X41">
        <f t="shared" si="4"/>
        <v>9575</v>
      </c>
      <c r="Y41" s="349">
        <v>2013</v>
      </c>
      <c r="Z41" s="312">
        <f t="shared" si="5"/>
        <v>9575</v>
      </c>
      <c r="AA41">
        <v>7597.0370572082074</v>
      </c>
      <c r="AB41" s="409">
        <f t="shared" si="6"/>
        <v>9.5749999999999993</v>
      </c>
      <c r="BB41" s="352"/>
      <c r="BC41" s="312"/>
    </row>
    <row r="42" spans="1:60" ht="15" x14ac:dyDescent="0.25">
      <c r="A42" s="306">
        <v>2015</v>
      </c>
      <c r="B42" s="312">
        <v>5793</v>
      </c>
      <c r="C42" s="312">
        <v>172588</v>
      </c>
      <c r="D42" s="312">
        <v>639750</v>
      </c>
      <c r="E42" s="312">
        <v>670139</v>
      </c>
      <c r="F42" s="312">
        <v>33860</v>
      </c>
      <c r="G42" s="312">
        <v>104490.37331677969</v>
      </c>
      <c r="H42" s="312"/>
      <c r="I42" s="352">
        <v>2014</v>
      </c>
      <c r="J42" s="88">
        <f t="shared" si="14"/>
        <v>172.58799999999999</v>
      </c>
      <c r="K42" s="88">
        <v>151.45835253137707</v>
      </c>
      <c r="L42" s="88">
        <v>200.57022208869338</v>
      </c>
      <c r="M42" s="344">
        <v>85.750399999999999</v>
      </c>
      <c r="N42" s="406">
        <v>104490.37331677969</v>
      </c>
      <c r="O42" s="407">
        <v>90003.683306048231</v>
      </c>
      <c r="P42" s="407">
        <v>124535.12856049338</v>
      </c>
      <c r="Q42" s="409">
        <f t="shared" si="11"/>
        <v>104.4903733167797</v>
      </c>
      <c r="R42" s="409">
        <f t="shared" si="12"/>
        <v>90.003683306048231</v>
      </c>
      <c r="S42" s="409">
        <f t="shared" si="13"/>
        <v>124.53512856049338</v>
      </c>
      <c r="T42" s="409">
        <f t="shared" si="15"/>
        <v>33.860166251298907</v>
      </c>
      <c r="U42" s="409">
        <f t="shared" si="15"/>
        <v>31.238327111223217</v>
      </c>
      <c r="V42" s="409">
        <f t="shared" si="15"/>
        <v>36.962430556290954</v>
      </c>
      <c r="W42">
        <f t="shared" si="3"/>
        <v>2014</v>
      </c>
      <c r="X42">
        <f t="shared" si="4"/>
        <v>5793</v>
      </c>
      <c r="Y42" s="349">
        <v>2014</v>
      </c>
      <c r="Z42" s="312">
        <f t="shared" si="5"/>
        <v>5793</v>
      </c>
      <c r="AA42">
        <v>7380.1700440586073</v>
      </c>
      <c r="AB42" s="409">
        <f t="shared" si="6"/>
        <v>5.7930000000000001</v>
      </c>
      <c r="BB42" s="352"/>
      <c r="BC42" s="312"/>
    </row>
    <row r="43" spans="1:60" ht="15" x14ac:dyDescent="0.25">
      <c r="A43" s="306">
        <v>2016</v>
      </c>
      <c r="B43" s="312">
        <v>6418</v>
      </c>
      <c r="C43" s="312">
        <v>181735</v>
      </c>
      <c r="D43" s="312">
        <v>688274</v>
      </c>
      <c r="E43" s="312">
        <v>1874546</v>
      </c>
      <c r="F43" s="312">
        <v>38808</v>
      </c>
      <c r="G43" s="310" t="s">
        <v>84</v>
      </c>
      <c r="H43" s="310"/>
      <c r="I43" s="352">
        <v>2015</v>
      </c>
      <c r="J43" s="88">
        <f t="shared" si="14"/>
        <v>181.73500000000001</v>
      </c>
      <c r="K43" s="88">
        <v>157.78701933473516</v>
      </c>
      <c r="L43" s="88">
        <v>214.25291296053678</v>
      </c>
      <c r="M43" s="344">
        <v>96.52</v>
      </c>
      <c r="T43" s="409">
        <f t="shared" si="15"/>
        <v>38.808024882920613</v>
      </c>
      <c r="U43" s="409">
        <f t="shared" si="15"/>
        <v>34.656074812584485</v>
      </c>
      <c r="V43" s="409">
        <f t="shared" si="15"/>
        <v>44.090227962135131</v>
      </c>
      <c r="W43">
        <f t="shared" si="3"/>
        <v>2015</v>
      </c>
      <c r="X43">
        <f t="shared" si="4"/>
        <v>6418</v>
      </c>
      <c r="Y43" s="349">
        <v>2015</v>
      </c>
      <c r="Z43" s="312">
        <f t="shared" si="5"/>
        <v>6418</v>
      </c>
      <c r="AA43">
        <v>6935.3590419962948</v>
      </c>
      <c r="AB43" s="409">
        <f t="shared" si="6"/>
        <v>6.4180000000000001</v>
      </c>
      <c r="BB43" s="352"/>
      <c r="BC43" s="312"/>
    </row>
    <row r="44" spans="1:60" ht="15" x14ac:dyDescent="0.25">
      <c r="A44" s="306">
        <v>2017</v>
      </c>
      <c r="B44" s="312">
        <v>9590</v>
      </c>
      <c r="C44" s="312">
        <v>327854.06462389126</v>
      </c>
      <c r="D44" s="312">
        <v>666396</v>
      </c>
      <c r="E44" s="310">
        <v>2151500</v>
      </c>
      <c r="F44" s="312">
        <v>35143.149897330601</v>
      </c>
      <c r="G44" s="310" t="s">
        <v>84</v>
      </c>
      <c r="I44" s="352">
        <v>2016</v>
      </c>
      <c r="J44" s="88">
        <f>C44/1000</f>
        <v>327.85406462389125</v>
      </c>
      <c r="K44" s="88">
        <v>276.5014883772634</v>
      </c>
      <c r="L44" s="88">
        <v>402.63191139224068</v>
      </c>
      <c r="M44" s="344">
        <v>127.15240000000001</v>
      </c>
      <c r="N44" s="343" t="s">
        <v>294</v>
      </c>
      <c r="O44" s="343"/>
      <c r="P44" s="343"/>
      <c r="Q44" s="343"/>
      <c r="R44" s="343"/>
      <c r="S44" s="343"/>
      <c r="T44" s="409">
        <f t="shared" si="15"/>
        <v>35.143149897330595</v>
      </c>
      <c r="U44" s="409">
        <f t="shared" si="15"/>
        <v>32.277270662998568</v>
      </c>
      <c r="V44" s="409">
        <f t="shared" si="15"/>
        <v>38.567538157370954</v>
      </c>
      <c r="W44">
        <v>2016</v>
      </c>
      <c r="X44">
        <v>9590</v>
      </c>
      <c r="Y44" s="349">
        <v>2016</v>
      </c>
      <c r="Z44" s="312">
        <v>9590</v>
      </c>
      <c r="AA44">
        <v>6489.3910401569574</v>
      </c>
      <c r="AB44" s="409">
        <f t="shared" si="6"/>
        <v>9.59</v>
      </c>
      <c r="BB44" s="352"/>
      <c r="BC44" s="312"/>
    </row>
    <row r="45" spans="1:60" ht="15.75" thickBot="1" x14ac:dyDescent="0.3">
      <c r="A45" s="306">
        <v>2018</v>
      </c>
      <c r="B45" s="312">
        <v>4178</v>
      </c>
      <c r="C45" s="312">
        <v>129309</v>
      </c>
      <c r="D45" s="525">
        <f>((6100+1)*(1605+1))/(7+1)-1</f>
        <v>1224774.75</v>
      </c>
      <c r="E45" s="525">
        <v>1622565</v>
      </c>
      <c r="F45" s="312">
        <v>48645</v>
      </c>
      <c r="G45" s="310" t="s">
        <v>84</v>
      </c>
      <c r="H45" s="310"/>
      <c r="I45" s="390">
        <v>2017</v>
      </c>
      <c r="J45" s="88">
        <f>C45/1000</f>
        <v>129.309</v>
      </c>
      <c r="K45" s="88">
        <v>110.38734753154496</v>
      </c>
      <c r="L45" s="88">
        <v>154.68643401407618</v>
      </c>
      <c r="M45" s="344">
        <v>78.816200000000009</v>
      </c>
      <c r="T45" s="409">
        <f t="shared" si="15"/>
        <v>51.88708196721312</v>
      </c>
      <c r="U45" s="409">
        <f t="shared" si="15"/>
        <v>46.651794766375069</v>
      </c>
      <c r="V45" s="409">
        <f t="shared" si="15"/>
        <v>58.445910610162777</v>
      </c>
      <c r="W45">
        <v>2017</v>
      </c>
      <c r="X45">
        <v>4178</v>
      </c>
      <c r="Y45" s="390">
        <v>2017</v>
      </c>
      <c r="Z45" s="312">
        <f t="shared" si="5"/>
        <v>4178</v>
      </c>
      <c r="AA45">
        <v>6063.7558094457399</v>
      </c>
      <c r="AB45" s="409">
        <f t="shared" si="6"/>
        <v>4.1779999999999999</v>
      </c>
      <c r="BB45" s="352"/>
      <c r="BC45" s="312"/>
    </row>
    <row r="46" spans="1:60" ht="15.75" thickBot="1" x14ac:dyDescent="0.3">
      <c r="A46" s="308" t="s">
        <v>32</v>
      </c>
      <c r="B46" s="313">
        <f>AVERAGE(B7:B45)</f>
        <v>6246.4871794871797</v>
      </c>
      <c r="C46" s="313">
        <f>AVERAGE(C7:C45)</f>
        <v>179285.72636634108</v>
      </c>
      <c r="D46" s="313">
        <f>AVERAGE(D7:D45)</f>
        <v>1163648.7763157894</v>
      </c>
      <c r="E46" s="313">
        <f>AVERAGE(E7:E45)</f>
        <v>1820602.8518518519</v>
      </c>
      <c r="F46" s="313">
        <f>AVERAGE(F7:F45)</f>
        <v>33009.254163814738</v>
      </c>
      <c r="G46" s="313">
        <f>AVERAGE(G7:G43)</f>
        <v>83812.033604632335</v>
      </c>
      <c r="H46" s="340" t="s">
        <v>327</v>
      </c>
      <c r="I46" s="390">
        <v>2018</v>
      </c>
      <c r="M46" s="344">
        <v>90.093800000000002</v>
      </c>
      <c r="R46" s="438"/>
      <c r="T46" s="409">
        <f t="shared" si="15"/>
        <v>27.620812907627705</v>
      </c>
      <c r="U46" s="409">
        <f t="shared" si="15"/>
        <v>19.946670364950801</v>
      </c>
      <c r="V46" s="409">
        <f t="shared" si="15"/>
        <v>38.247451415185346</v>
      </c>
      <c r="W46">
        <v>2018</v>
      </c>
      <c r="X46">
        <v>4844</v>
      </c>
      <c r="Z46" s="312">
        <v>4844</v>
      </c>
      <c r="AB46" s="409">
        <f>Z46/1000</f>
        <v>4.8440000000000003</v>
      </c>
      <c r="BB46" s="352"/>
      <c r="BC46" s="312"/>
    </row>
    <row r="47" spans="1:60" ht="18" x14ac:dyDescent="0.25">
      <c r="A47" s="316" t="s">
        <v>282</v>
      </c>
      <c r="S47" s="409">
        <f>AVERAGE(B39:B45)</f>
        <v>7432.8571428571431</v>
      </c>
      <c r="BB47" s="352"/>
      <c r="BC47" s="312"/>
    </row>
    <row r="48" spans="1:60" ht="15" x14ac:dyDescent="0.25">
      <c r="F48" s="513"/>
      <c r="BB48" s="352"/>
      <c r="BC48" s="312"/>
    </row>
    <row r="49" spans="2:55" ht="15" x14ac:dyDescent="0.25">
      <c r="B49" s="284">
        <f>AVERAGE(B7:B11)</f>
        <v>8044</v>
      </c>
      <c r="C49" s="284">
        <f>AVERAGE(C41:C44)</f>
        <v>228549.01615597281</v>
      </c>
      <c r="D49" s="284">
        <f>AVERAGE(C17:C33)</f>
        <v>193821.82352941178</v>
      </c>
      <c r="E49" s="284" t="e">
        <f>average9</f>
        <v>#NAME?</v>
      </c>
      <c r="F49" s="284">
        <f>AVERAGE(F35:F41)</f>
        <v>33882.285714285717</v>
      </c>
      <c r="G49" s="284">
        <f>AVERAGE(Survival!F34:F40)</f>
        <v>15.51886808336539</v>
      </c>
      <c r="I49">
        <f>AVERAGE(B39:B45)</f>
        <v>7432.8571428571431</v>
      </c>
      <c r="K49">
        <f>K52/K51</f>
        <v>1.4810210129601893</v>
      </c>
      <c r="L49">
        <f>L52/L51</f>
        <v>1.3704235545331225</v>
      </c>
      <c r="T49" s="406">
        <v>29117.2271909179</v>
      </c>
      <c r="U49" s="407">
        <v>25737.626342067219</v>
      </c>
      <c r="V49" s="407">
        <v>33518.537394292543</v>
      </c>
      <c r="Z49" t="s">
        <v>322</v>
      </c>
      <c r="BB49" s="352"/>
      <c r="BC49" s="312"/>
    </row>
    <row r="50" spans="2:55" ht="15" x14ac:dyDescent="0.25">
      <c r="B50" s="284">
        <f>AVERAGE(B39:B45)</f>
        <v>7432.8571428571431</v>
      </c>
      <c r="F50" s="284">
        <f>AVERAGE(F10:F34)</f>
        <v>31788.04</v>
      </c>
      <c r="G50" s="284">
        <f>AVERAGE(Survival!F9:F33)</f>
        <v>12.342309943187795</v>
      </c>
      <c r="I50">
        <f>AVERAGE(B7:B11)</f>
        <v>8044</v>
      </c>
      <c r="T50" s="406">
        <v>53226.840988035503</v>
      </c>
      <c r="U50" s="407">
        <v>47086.554342464464</v>
      </c>
      <c r="V50" s="407">
        <v>61208.717708134303</v>
      </c>
      <c r="BB50" s="352"/>
      <c r="BC50" s="312"/>
    </row>
    <row r="51" spans="2:55" ht="15" x14ac:dyDescent="0.25">
      <c r="B51" s="391">
        <f>B49/B50</f>
        <v>1.0822217951182009</v>
      </c>
      <c r="C51" s="284">
        <f>AVERAGE(C17:C33)</f>
        <v>193821.82352941178</v>
      </c>
      <c r="E51" s="284">
        <v>1</v>
      </c>
      <c r="F51" s="391">
        <f>F49/F50</f>
        <v>1.0658815615648438</v>
      </c>
      <c r="G51" s="391">
        <f>G49/G50</f>
        <v>1.2573714446322799</v>
      </c>
      <c r="I51">
        <f>AVERAGE(B30:B36)</f>
        <v>4075.7142857142858</v>
      </c>
      <c r="K51">
        <f>AVERAGE(G9:G18)</f>
        <v>61011.015185332886</v>
      </c>
      <c r="L51">
        <f>AVERAGE(Survival!G8:G17)</f>
        <v>8.9631552270649255</v>
      </c>
      <c r="T51" s="406">
        <v>32282.731652744627</v>
      </c>
      <c r="U51" s="407">
        <v>29474.22851756521</v>
      </c>
      <c r="V51" s="407">
        <v>35682.832409755327</v>
      </c>
      <c r="BB51" s="352"/>
      <c r="BC51" s="312"/>
    </row>
    <row r="52" spans="2:55" ht="15" x14ac:dyDescent="0.25">
      <c r="C52" s="284">
        <f>MIN(C17:C33)</f>
        <v>124070</v>
      </c>
      <c r="D52" s="391"/>
      <c r="E52" s="391"/>
      <c r="F52" s="284">
        <f>AVERAGE(F10:F39)</f>
        <v>31451.233333333334</v>
      </c>
      <c r="K52">
        <f>AVERAGE(G19:G36)</f>
        <v>90358.595511511201</v>
      </c>
      <c r="L52">
        <f>AVERAGE(Survival!G18:G35)</f>
        <v>12.283319046106451</v>
      </c>
      <c r="T52" s="406">
        <v>23572.281447611633</v>
      </c>
      <c r="U52" s="407">
        <v>21136.35121182838</v>
      </c>
      <c r="V52" s="407">
        <v>26642.823719263397</v>
      </c>
      <c r="BB52" s="352"/>
      <c r="BC52" s="312"/>
    </row>
    <row r="53" spans="2:55" ht="15" x14ac:dyDescent="0.25">
      <c r="C53" s="284">
        <f>MAX(C17:C32)</f>
        <v>326312</v>
      </c>
      <c r="F53" s="284">
        <f>AVERAGE(F39:F43)</f>
        <v>38698</v>
      </c>
      <c r="K53">
        <f>AVERAGE(G37:G42)</f>
        <v>98373.875512944986</v>
      </c>
      <c r="L53">
        <f>AVERAGE(Survival!G36:G41)</f>
        <v>7.9203492674666096</v>
      </c>
      <c r="T53" s="406">
        <v>21878.345864661653</v>
      </c>
      <c r="U53" s="407">
        <v>18704.738288593548</v>
      </c>
      <c r="V53" s="407">
        <v>26348.933710009733</v>
      </c>
      <c r="BB53" s="352"/>
      <c r="BC53" s="312"/>
    </row>
    <row r="54" spans="2:55" ht="15" x14ac:dyDescent="0.25">
      <c r="C54" s="284">
        <f>COUNT(C17:C32)</f>
        <v>16</v>
      </c>
      <c r="T54" s="406">
        <v>36217.857142857145</v>
      </c>
      <c r="U54" s="407">
        <v>27275.798137483434</v>
      </c>
      <c r="V54" s="407">
        <v>53882.677902328513</v>
      </c>
      <c r="BB54" s="352"/>
      <c r="BC54" s="312"/>
    </row>
    <row r="55" spans="2:55" ht="15" x14ac:dyDescent="0.25">
      <c r="T55" s="406">
        <v>27904.320375335119</v>
      </c>
      <c r="U55" s="407">
        <v>22463.365644263336</v>
      </c>
      <c r="V55" s="407">
        <v>36823.511948008549</v>
      </c>
      <c r="AE55" s="22" t="s">
        <v>298</v>
      </c>
      <c r="BB55" s="352"/>
      <c r="BC55" s="312"/>
    </row>
    <row r="56" spans="2:55" ht="15" x14ac:dyDescent="0.25">
      <c r="C56" s="284">
        <f>AVERAGE(C41:C43)</f>
        <v>195447.33333333334</v>
      </c>
      <c r="T56" s="406">
        <v>26619.884422110554</v>
      </c>
      <c r="U56" s="407">
        <v>23375.513287117377</v>
      </c>
      <c r="V56" s="407">
        <v>30909.99295064414</v>
      </c>
      <c r="BB56" s="352"/>
      <c r="BC56" s="312"/>
    </row>
    <row r="57" spans="2:55" ht="15" x14ac:dyDescent="0.25">
      <c r="B57" s="396">
        <f t="shared" ref="B57:G57" si="16">STDEV(B12:B45)/AVERAGE(B12:B45)</f>
        <v>0.29384612370107444</v>
      </c>
      <c r="C57" s="396">
        <f t="shared" si="16"/>
        <v>0.35351816001968078</v>
      </c>
      <c r="D57" s="396">
        <f t="shared" si="16"/>
        <v>0.50264263429960676</v>
      </c>
      <c r="E57" s="396">
        <f t="shared" si="16"/>
        <v>0.42978713900010385</v>
      </c>
      <c r="F57" s="396">
        <f t="shared" si="16"/>
        <v>0.2544862072736942</v>
      </c>
      <c r="G57" s="396">
        <f t="shared" si="16"/>
        <v>0.31673324809541881</v>
      </c>
      <c r="T57" s="406">
        <v>33101.020619126037</v>
      </c>
      <c r="U57" s="407">
        <v>30507.210429096263</v>
      </c>
      <c r="V57" s="407">
        <v>36176.882529425005</v>
      </c>
      <c r="AG57">
        <v>372.5</v>
      </c>
      <c r="AH57">
        <v>145</v>
      </c>
      <c r="BB57" s="352"/>
      <c r="BC57" s="312"/>
    </row>
    <row r="58" spans="2:55" ht="15" x14ac:dyDescent="0.25">
      <c r="T58" s="406">
        <v>23372.608047734502</v>
      </c>
      <c r="U58" s="407">
        <v>21643.135559708066</v>
      </c>
      <c r="V58" s="407">
        <v>25402.48484370505</v>
      </c>
      <c r="AG58">
        <v>0</v>
      </c>
      <c r="AH58">
        <v>20</v>
      </c>
      <c r="BB58" s="352"/>
      <c r="BC58" s="312"/>
    </row>
    <row r="59" spans="2:55" ht="15" x14ac:dyDescent="0.25">
      <c r="T59" s="406">
        <v>32657.230396421026</v>
      </c>
      <c r="U59" s="407">
        <v>28041.692065813724</v>
      </c>
      <c r="V59" s="407">
        <v>39091.521760249438</v>
      </c>
      <c r="AG59">
        <f>AG57-AG58</f>
        <v>372.5</v>
      </c>
      <c r="AH59">
        <f>AH57-AH58</f>
        <v>125</v>
      </c>
      <c r="BB59" s="352"/>
      <c r="BC59" s="312"/>
    </row>
    <row r="60" spans="2:55" ht="15" x14ac:dyDescent="0.25">
      <c r="T60" s="406">
        <v>48433.600870827286</v>
      </c>
      <c r="U60" s="407">
        <v>45068.701346659007</v>
      </c>
      <c r="V60" s="407">
        <v>52341.498793843784</v>
      </c>
      <c r="BB60" s="352"/>
      <c r="BC60" s="312"/>
    </row>
    <row r="61" spans="2:55" ht="15" x14ac:dyDescent="0.25">
      <c r="T61" s="406">
        <v>49515.571152308527</v>
      </c>
      <c r="U61" s="407">
        <v>45898.160813741102</v>
      </c>
      <c r="V61" s="407">
        <v>53751.97038821155</v>
      </c>
      <c r="AG61">
        <v>405</v>
      </c>
      <c r="AH61">
        <f>AH59/AG59*AG61+20</f>
        <v>155.90604026845639</v>
      </c>
      <c r="BB61" s="352"/>
      <c r="BC61" s="312"/>
    </row>
    <row r="62" spans="2:55" ht="15" x14ac:dyDescent="0.25">
      <c r="T62" s="406">
        <v>22266.538461538461</v>
      </c>
      <c r="U62" s="407">
        <v>20597.181404438354</v>
      </c>
      <c r="V62" s="407">
        <v>24230.356512459217</v>
      </c>
      <c r="BB62" s="352"/>
      <c r="BC62" s="312"/>
    </row>
    <row r="63" spans="2:55" ht="15" x14ac:dyDescent="0.25">
      <c r="T63" s="406">
        <v>32293.666666666668</v>
      </c>
      <c r="U63" s="407">
        <v>29747.762434307351</v>
      </c>
      <c r="V63" s="407">
        <v>35316.128663001167</v>
      </c>
      <c r="BB63" s="352"/>
      <c r="BC63" s="312"/>
    </row>
    <row r="64" spans="2:55" ht="15" x14ac:dyDescent="0.25">
      <c r="T64" s="406">
        <v>37435.919786096259</v>
      </c>
      <c r="U64" s="407">
        <v>34931.828825110002</v>
      </c>
      <c r="V64" s="407">
        <v>40326.745805023791</v>
      </c>
      <c r="BB64" s="352"/>
      <c r="BC64" s="312"/>
    </row>
    <row r="65" spans="20:61" ht="15" x14ac:dyDescent="0.25">
      <c r="T65" s="406">
        <v>29874.63774960193</v>
      </c>
      <c r="U65" s="407">
        <v>28068.000729534677</v>
      </c>
      <c r="V65" s="407">
        <v>31929.848100314677</v>
      </c>
      <c r="BB65" s="352"/>
      <c r="BC65" s="312"/>
    </row>
    <row r="66" spans="20:61" ht="15" x14ac:dyDescent="0.25">
      <c r="T66" s="406">
        <v>19902.225806451614</v>
      </c>
      <c r="U66" s="407">
        <v>18065.789556062522</v>
      </c>
      <c r="V66" s="407">
        <v>22154.26679946026</v>
      </c>
      <c r="BB66" s="352"/>
      <c r="BC66" s="312"/>
    </row>
    <row r="67" spans="20:61" ht="15" x14ac:dyDescent="0.25">
      <c r="T67" s="406">
        <v>23326.764699879066</v>
      </c>
      <c r="U67" s="407">
        <v>22085.657491265312</v>
      </c>
      <c r="V67" s="407">
        <v>24715.665656248078</v>
      </c>
      <c r="BB67" s="352"/>
      <c r="BC67" s="312"/>
    </row>
    <row r="68" spans="20:61" ht="15" x14ac:dyDescent="0.25">
      <c r="T68" s="406">
        <v>36487.329427389894</v>
      </c>
      <c r="U68" s="407">
        <v>35147.490525640351</v>
      </c>
      <c r="V68" s="407">
        <v>37933.367263192158</v>
      </c>
      <c r="BB68" s="352"/>
      <c r="BC68" s="312"/>
    </row>
    <row r="69" spans="20:61" ht="15" x14ac:dyDescent="0.25">
      <c r="T69" s="406">
        <v>26841.259102728112</v>
      </c>
      <c r="U69" s="407">
        <v>25314.647203550583</v>
      </c>
      <c r="V69" s="407">
        <v>28563.813530230545</v>
      </c>
      <c r="BB69" s="352"/>
      <c r="BC69" s="312"/>
    </row>
    <row r="70" spans="20:61" ht="15" x14ac:dyDescent="0.25">
      <c r="T70" s="406">
        <v>22997.257130996859</v>
      </c>
      <c r="U70" s="407">
        <v>21330.728605880176</v>
      </c>
      <c r="V70" s="407">
        <v>24946.260133958636</v>
      </c>
      <c r="BB70" s="352"/>
      <c r="BC70" s="312"/>
    </row>
    <row r="71" spans="20:61" ht="15" x14ac:dyDescent="0.25">
      <c r="T71" s="406">
        <v>39924.393427230047</v>
      </c>
      <c r="U71" s="407">
        <v>37662.194647432312</v>
      </c>
      <c r="V71" s="407">
        <v>42475.718981982987</v>
      </c>
      <c r="BB71" s="352"/>
      <c r="BC71" s="312"/>
    </row>
    <row r="72" spans="20:61" ht="15" x14ac:dyDescent="0.25">
      <c r="T72" s="406">
        <v>28183.527918781725</v>
      </c>
      <c r="U72" s="407">
        <v>26080.326555460317</v>
      </c>
      <c r="V72" s="407">
        <v>30655.702287768323</v>
      </c>
      <c r="BB72" s="352"/>
      <c r="BC72" s="312"/>
    </row>
    <row r="73" spans="20:61" ht="15" x14ac:dyDescent="0.25">
      <c r="T73" s="406">
        <v>37267.217729809207</v>
      </c>
      <c r="U73" s="407">
        <v>34995.938129843518</v>
      </c>
      <c r="V73" s="407">
        <v>39853.777076178376</v>
      </c>
      <c r="BB73" s="352"/>
      <c r="BC73" s="312"/>
    </row>
    <row r="74" spans="20:61" ht="15" x14ac:dyDescent="0.25">
      <c r="T74" s="406">
        <v>28793.346815834768</v>
      </c>
      <c r="U74" s="407">
        <v>27227.559209481155</v>
      </c>
      <c r="V74" s="407">
        <v>30550.211707586066</v>
      </c>
      <c r="BB74" s="352"/>
      <c r="BC74" s="312"/>
    </row>
    <row r="75" spans="20:61" ht="15" x14ac:dyDescent="0.25">
      <c r="T75" s="406">
        <v>24006.237010219913</v>
      </c>
      <c r="U75" s="407">
        <v>22573.337272433066</v>
      </c>
      <c r="V75" s="407">
        <v>25633.380755982918</v>
      </c>
      <c r="BB75" s="352"/>
      <c r="BC75" s="312"/>
    </row>
    <row r="76" spans="20:61" ht="15" x14ac:dyDescent="0.25">
      <c r="T76" s="406">
        <v>25812.888816652703</v>
      </c>
      <c r="U76" s="407">
        <v>24750.784032257121</v>
      </c>
      <c r="V76" s="407">
        <v>26970.234586097104</v>
      </c>
      <c r="BB76" s="352"/>
      <c r="BC76" s="312"/>
      <c r="BI76" t="s">
        <v>326</v>
      </c>
    </row>
    <row r="77" spans="20:61" ht="15" x14ac:dyDescent="0.25">
      <c r="T77" s="406">
        <v>37742.220746485706</v>
      </c>
      <c r="U77" s="407">
        <v>35886.430552825732</v>
      </c>
      <c r="V77" s="407">
        <v>39800.41425707045</v>
      </c>
      <c r="BB77" s="352"/>
      <c r="BC77" s="312"/>
    </row>
    <row r="78" spans="20:61" ht="15" x14ac:dyDescent="0.25">
      <c r="T78" s="406">
        <v>32482.232137128944</v>
      </c>
      <c r="U78" s="407">
        <v>30754.650743086859</v>
      </c>
      <c r="V78" s="407">
        <v>34415.451753697183</v>
      </c>
      <c r="BB78" s="352"/>
      <c r="BC78" s="312"/>
    </row>
    <row r="79" spans="20:61" ht="15" x14ac:dyDescent="0.25">
      <c r="T79" s="406">
        <v>41092.568309419839</v>
      </c>
      <c r="U79" s="407">
        <v>39174.734267052358</v>
      </c>
      <c r="V79" s="407">
        <v>43207.846980400129</v>
      </c>
      <c r="BB79" s="390"/>
      <c r="BC79" s="312"/>
    </row>
    <row r="80" spans="20:61" ht="15" x14ac:dyDescent="0.25">
      <c r="T80" s="406">
        <v>47246.699308888841</v>
      </c>
      <c r="U80" s="407">
        <v>45299.978563656361</v>
      </c>
      <c r="V80" s="407">
        <v>49368.249898549198</v>
      </c>
    </row>
    <row r="81" spans="20:26" ht="15" x14ac:dyDescent="0.25">
      <c r="T81" s="406">
        <v>33860.166251298906</v>
      </c>
      <c r="U81" s="407">
        <v>31238.327111223218</v>
      </c>
      <c r="V81" s="407">
        <v>36962.430556290958</v>
      </c>
    </row>
    <row r="82" spans="20:26" ht="15" x14ac:dyDescent="0.25">
      <c r="T82" s="406">
        <v>38808.02488292061</v>
      </c>
      <c r="U82" s="407">
        <v>34656.074812584484</v>
      </c>
      <c r="V82" s="407">
        <v>44090.227962135134</v>
      </c>
    </row>
    <row r="83" spans="20:26" ht="15" x14ac:dyDescent="0.25">
      <c r="T83" s="406">
        <v>35143.149897330593</v>
      </c>
      <c r="U83" s="407">
        <v>32277.27066299857</v>
      </c>
      <c r="V83" s="407">
        <v>38567.538157370953</v>
      </c>
    </row>
    <row r="84" spans="20:26" ht="15" x14ac:dyDescent="0.25">
      <c r="T84" s="406">
        <v>51887.081967213118</v>
      </c>
      <c r="U84" s="407">
        <v>46651.794766375067</v>
      </c>
      <c r="V84" s="407">
        <v>58445.910610162777</v>
      </c>
    </row>
    <row r="85" spans="20:26" ht="15" x14ac:dyDescent="0.25">
      <c r="T85" s="406">
        <v>27620.812907627704</v>
      </c>
      <c r="U85" s="407">
        <v>19946.670364950802</v>
      </c>
      <c r="V85" s="407">
        <v>38247.451415185344</v>
      </c>
    </row>
    <row r="96" spans="20:26" x14ac:dyDescent="0.2">
      <c r="X96">
        <v>6.2594999999999998E-2</v>
      </c>
      <c r="Y96">
        <v>14423.340893415068</v>
      </c>
      <c r="Z96">
        <v>16067.391338655336</v>
      </c>
    </row>
    <row r="97" spans="24:26" x14ac:dyDescent="0.2">
      <c r="X97">
        <v>6.4155000000000004E-2</v>
      </c>
      <c r="Y97">
        <v>14776.179652677672</v>
      </c>
      <c r="Z97">
        <v>16368.208453769917</v>
      </c>
    </row>
    <row r="98" spans="24:26" x14ac:dyDescent="0.2">
      <c r="X98">
        <v>0.16886200000000001</v>
      </c>
      <c r="Y98">
        <v>37722.512087866446</v>
      </c>
      <c r="Z98">
        <v>36352.974573322332</v>
      </c>
    </row>
    <row r="99" spans="24:26" x14ac:dyDescent="0.2">
      <c r="X99">
        <v>0.40406900000000001</v>
      </c>
      <c r="Y99">
        <v>83978.129561304668</v>
      </c>
      <c r="Z99">
        <v>79045.862457864001</v>
      </c>
    </row>
    <row r="100" spans="24:26" x14ac:dyDescent="0.2">
      <c r="X100">
        <v>1.4586570000000001</v>
      </c>
      <c r="Y100">
        <v>201381.04561132955</v>
      </c>
      <c r="Z100">
        <v>201681.60084998846</v>
      </c>
    </row>
    <row r="101" spans="24:26" x14ac:dyDescent="0.2">
      <c r="X101">
        <v>1.489644</v>
      </c>
      <c r="Y101">
        <v>202605.15003191249</v>
      </c>
      <c r="Z101">
        <v>202582.15914884576</v>
      </c>
    </row>
    <row r="102" spans="24:26" x14ac:dyDescent="0.2">
      <c r="X102">
        <v>1.501428</v>
      </c>
      <c r="Y102">
        <v>203037.31715345167</v>
      </c>
      <c r="Z102">
        <v>202921.66354110555</v>
      </c>
    </row>
    <row r="103" spans="24:26" x14ac:dyDescent="0.2">
      <c r="X103">
        <v>1.554122</v>
      </c>
      <c r="Y103">
        <v>204745.03331038199</v>
      </c>
      <c r="Z103">
        <v>204424.29345074002</v>
      </c>
    </row>
    <row r="104" spans="24:26" x14ac:dyDescent="0.2">
      <c r="X104">
        <v>1.5990690000000001</v>
      </c>
      <c r="Y104">
        <v>205911.32729073885</v>
      </c>
      <c r="Z104">
        <v>205691.33185822703</v>
      </c>
    </row>
    <row r="105" spans="24:26" x14ac:dyDescent="0.2">
      <c r="X105">
        <v>1.651071</v>
      </c>
      <c r="Y105">
        <v>206927.13553121756</v>
      </c>
      <c r="Z105">
        <v>206647.01237273292</v>
      </c>
    </row>
    <row r="106" spans="24:26" x14ac:dyDescent="0.2">
      <c r="X106">
        <v>1.6578090000000001</v>
      </c>
      <c r="Y106">
        <v>207032.57015039842</v>
      </c>
      <c r="Z106">
        <v>206745.08151754944</v>
      </c>
    </row>
    <row r="107" spans="24:26" x14ac:dyDescent="0.2">
      <c r="X107">
        <v>1.758775</v>
      </c>
      <c r="Y107">
        <v>207893.00485163977</v>
      </c>
      <c r="Z107">
        <v>207122.7404950388</v>
      </c>
    </row>
    <row r="108" spans="24:26" x14ac:dyDescent="0.2">
      <c r="X108">
        <v>1.9542040000000001</v>
      </c>
      <c r="Y108">
        <v>205726.16987260143</v>
      </c>
      <c r="Z108">
        <v>204847.73178884588</v>
      </c>
    </row>
    <row r="109" spans="24:26" x14ac:dyDescent="0.2">
      <c r="X109">
        <v>2.0238489999999998</v>
      </c>
      <c r="Y109">
        <v>203732.58327003143</v>
      </c>
      <c r="Z109">
        <v>202335.52015559061</v>
      </c>
    </row>
    <row r="110" spans="24:26" x14ac:dyDescent="0.2">
      <c r="X110">
        <v>2.1999140000000001</v>
      </c>
      <c r="Y110">
        <v>195830.5668497498</v>
      </c>
      <c r="Z110">
        <v>194876.81774885402</v>
      </c>
    </row>
    <row r="111" spans="24:26" x14ac:dyDescent="0.2">
      <c r="X111">
        <v>2.25102</v>
      </c>
      <c r="Y111">
        <v>192768.75708294063</v>
      </c>
      <c r="Z111">
        <v>192231.85281508567</v>
      </c>
    </row>
    <row r="112" spans="24:26" x14ac:dyDescent="0.2">
      <c r="X112">
        <v>2.2747310000000001</v>
      </c>
      <c r="Y112">
        <v>191230.84061628976</v>
      </c>
      <c r="Z112">
        <v>190535.81926009597</v>
      </c>
    </row>
    <row r="113" spans="24:26" x14ac:dyDescent="0.2">
      <c r="X113">
        <v>2.4878230000000001</v>
      </c>
      <c r="Y113">
        <v>174070.99735950716</v>
      </c>
      <c r="Z113">
        <v>173261.63963788465</v>
      </c>
    </row>
    <row r="114" spans="24:26" x14ac:dyDescent="0.2">
      <c r="X114">
        <v>2.5604979999999999</v>
      </c>
      <c r="Y114">
        <v>166844.6084644123</v>
      </c>
      <c r="Z114">
        <v>165864.92968097804</v>
      </c>
    </row>
    <row r="115" spans="24:26" x14ac:dyDescent="0.2">
      <c r="X115">
        <v>2.5691380000000001</v>
      </c>
      <c r="Y115">
        <v>165939.014234145</v>
      </c>
      <c r="Z115">
        <v>164889.48071724945</v>
      </c>
    </row>
    <row r="116" spans="24:26" x14ac:dyDescent="0.2">
      <c r="X116">
        <v>2.7973750000000002</v>
      </c>
      <c r="Y116">
        <v>138439.64663463156</v>
      </c>
      <c r="Z116">
        <v>137356.95234042214</v>
      </c>
    </row>
    <row r="117" spans="24:26" x14ac:dyDescent="0.2">
      <c r="X117">
        <v>2.8027289999999998</v>
      </c>
      <c r="Y117">
        <v>137711.82125824143</v>
      </c>
      <c r="Z117">
        <v>136656.00652945702</v>
      </c>
    </row>
    <row r="118" spans="24:26" x14ac:dyDescent="0.2">
      <c r="X118">
        <v>3.1199629999999998</v>
      </c>
      <c r="Y118">
        <v>87816.295458720851</v>
      </c>
      <c r="Z118">
        <v>85956.392250925332</v>
      </c>
    </row>
    <row r="119" spans="24:26" x14ac:dyDescent="0.2">
      <c r="X119">
        <v>3.136431</v>
      </c>
      <c r="Y119">
        <v>84862.58041327355</v>
      </c>
      <c r="Z119">
        <v>83189.44735233378</v>
      </c>
    </row>
    <row r="120" spans="24:26" x14ac:dyDescent="0.2">
      <c r="X120">
        <v>3.1851419999999999</v>
      </c>
      <c r="Y120">
        <v>75915.677512156893</v>
      </c>
      <c r="Z120">
        <v>74986.275290794394</v>
      </c>
    </row>
    <row r="121" spans="24:26" x14ac:dyDescent="0.2">
      <c r="X121">
        <v>3.2368860000000002</v>
      </c>
      <c r="Y121">
        <v>66067.796022893366</v>
      </c>
      <c r="Z121">
        <v>66232.130152861704</v>
      </c>
    </row>
    <row r="122" spans="24:26" x14ac:dyDescent="0.2">
      <c r="X122">
        <v>3.3213490000000001</v>
      </c>
      <c r="Y122">
        <v>49231.718685357511</v>
      </c>
      <c r="Z122">
        <v>51822.913410866393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2:E16"/>
  <sheetViews>
    <sheetView workbookViewId="0">
      <selection activeCell="N24" sqref="N24"/>
    </sheetView>
  </sheetViews>
  <sheetFormatPr defaultRowHeight="12.75" x14ac:dyDescent="0.2"/>
  <cols>
    <col min="1" max="1" width="22.7109375" bestFit="1" customWidth="1"/>
    <col min="4" max="5" width="10.28515625" bestFit="1" customWidth="1"/>
  </cols>
  <sheetData>
    <row r="2" spans="1:5" x14ac:dyDescent="0.2">
      <c r="A2" t="s">
        <v>262</v>
      </c>
      <c r="B2" t="s">
        <v>261</v>
      </c>
      <c r="C2" t="s">
        <v>260</v>
      </c>
      <c r="D2" t="s">
        <v>259</v>
      </c>
    </row>
    <row r="3" spans="1:5" x14ac:dyDescent="0.2">
      <c r="A3" t="s">
        <v>257</v>
      </c>
      <c r="B3" t="s">
        <v>242</v>
      </c>
      <c r="C3" t="s">
        <v>228</v>
      </c>
      <c r="D3" s="284">
        <v>500</v>
      </c>
      <c r="E3" s="284">
        <v>1600</v>
      </c>
    </row>
    <row r="4" spans="1:5" x14ac:dyDescent="0.2">
      <c r="A4" t="s">
        <v>255</v>
      </c>
      <c r="B4" t="s">
        <v>242</v>
      </c>
      <c r="C4" t="s">
        <v>234</v>
      </c>
      <c r="D4" s="284">
        <v>4000</v>
      </c>
      <c r="E4" s="284">
        <v>9000</v>
      </c>
    </row>
    <row r="5" spans="1:5" x14ac:dyDescent="0.2">
      <c r="A5" t="s">
        <v>187</v>
      </c>
      <c r="B5" t="s">
        <v>238</v>
      </c>
      <c r="C5" t="s">
        <v>228</v>
      </c>
      <c r="D5" s="284">
        <v>50000</v>
      </c>
      <c r="E5" s="284">
        <v>90000</v>
      </c>
    </row>
    <row r="6" spans="1:5" x14ac:dyDescent="0.2">
      <c r="A6" t="s">
        <v>2</v>
      </c>
      <c r="B6" t="s">
        <v>242</v>
      </c>
      <c r="C6" t="s">
        <v>228</v>
      </c>
      <c r="D6" s="284">
        <v>200</v>
      </c>
      <c r="E6" s="284">
        <v>500</v>
      </c>
    </row>
    <row r="7" spans="1:5" x14ac:dyDescent="0.2">
      <c r="A7" t="s">
        <v>191</v>
      </c>
      <c r="B7" t="s">
        <v>245</v>
      </c>
      <c r="C7" t="s">
        <v>234</v>
      </c>
      <c r="D7" s="284">
        <v>400</v>
      </c>
      <c r="E7" s="284">
        <v>1200</v>
      </c>
    </row>
    <row r="8" spans="1:5" x14ac:dyDescent="0.2">
      <c r="A8" t="s">
        <v>190</v>
      </c>
      <c r="B8" t="s">
        <v>245</v>
      </c>
      <c r="C8" t="s">
        <v>234</v>
      </c>
      <c r="D8" s="284">
        <v>100</v>
      </c>
      <c r="E8" s="284">
        <v>250</v>
      </c>
    </row>
    <row r="9" spans="1:5" x14ac:dyDescent="0.2">
      <c r="A9" t="s">
        <v>249</v>
      </c>
      <c r="B9" t="s">
        <v>248</v>
      </c>
      <c r="C9" t="s">
        <v>228</v>
      </c>
      <c r="D9" s="284">
        <v>4250</v>
      </c>
      <c r="E9" s="284">
        <v>8500</v>
      </c>
    </row>
    <row r="10" spans="1:5" x14ac:dyDescent="0.2">
      <c r="A10" t="s">
        <v>246</v>
      </c>
      <c r="B10" t="s">
        <v>245</v>
      </c>
      <c r="C10" t="s">
        <v>228</v>
      </c>
      <c r="D10" s="284">
        <v>400</v>
      </c>
      <c r="E10" s="284">
        <v>800</v>
      </c>
    </row>
    <row r="11" spans="1:5" x14ac:dyDescent="0.2">
      <c r="A11" t="s">
        <v>243</v>
      </c>
      <c r="B11" t="s">
        <v>242</v>
      </c>
      <c r="C11" t="s">
        <v>228</v>
      </c>
      <c r="D11" s="284">
        <v>1300</v>
      </c>
      <c r="E11" s="284">
        <v>2900</v>
      </c>
    </row>
    <row r="12" spans="1:5" x14ac:dyDescent="0.2">
      <c r="A12" t="s">
        <v>240</v>
      </c>
      <c r="B12" t="s">
        <v>238</v>
      </c>
      <c r="C12" t="s">
        <v>228</v>
      </c>
      <c r="D12" s="284">
        <v>3600</v>
      </c>
      <c r="E12" s="284">
        <v>8100</v>
      </c>
    </row>
    <row r="13" spans="1:5" x14ac:dyDescent="0.2">
      <c r="A13" t="s">
        <v>239</v>
      </c>
      <c r="B13" t="s">
        <v>238</v>
      </c>
      <c r="C13" t="s">
        <v>228</v>
      </c>
      <c r="D13" s="284">
        <v>30000</v>
      </c>
      <c r="E13" s="284">
        <v>70000</v>
      </c>
    </row>
    <row r="14" spans="1:5" x14ac:dyDescent="0.2">
      <c r="A14" t="s">
        <v>236</v>
      </c>
      <c r="B14" t="s">
        <v>235</v>
      </c>
      <c r="C14" t="s">
        <v>234</v>
      </c>
      <c r="D14" s="284">
        <v>1400</v>
      </c>
      <c r="E14" s="284">
        <v>4200</v>
      </c>
    </row>
    <row r="15" spans="1:5" x14ac:dyDescent="0.2">
      <c r="A15" t="s">
        <v>233</v>
      </c>
      <c r="B15" t="s">
        <v>232</v>
      </c>
      <c r="C15" t="s">
        <v>228</v>
      </c>
      <c r="D15" s="284">
        <v>3300</v>
      </c>
      <c r="E15" s="284">
        <v>9800</v>
      </c>
    </row>
    <row r="16" spans="1:5" x14ac:dyDescent="0.2">
      <c r="A16" t="s">
        <v>230</v>
      </c>
      <c r="B16" t="s">
        <v>229</v>
      </c>
      <c r="C16" t="s">
        <v>228</v>
      </c>
      <c r="D16" s="284">
        <v>10000</v>
      </c>
      <c r="E16" s="284">
        <v>29000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workbookViewId="0">
      <selection activeCell="L18" sqref="L18"/>
    </sheetView>
  </sheetViews>
  <sheetFormatPr defaultRowHeight="12.75" x14ac:dyDescent="0.2"/>
  <cols>
    <col min="1" max="1" width="19" style="240" customWidth="1"/>
    <col min="2" max="2" width="13.28515625" style="240" customWidth="1"/>
    <col min="3" max="3" width="9" style="240" customWidth="1"/>
    <col min="4" max="4" width="13.140625" style="240" customWidth="1"/>
    <col min="5" max="5" width="12.140625" style="240" customWidth="1"/>
    <col min="6" max="11" width="8.7109375" style="240" customWidth="1"/>
    <col min="12" max="16384" width="9.140625" style="240"/>
  </cols>
  <sheetData>
    <row r="1" spans="1:12" x14ac:dyDescent="0.2">
      <c r="A1" s="240" t="s">
        <v>186</v>
      </c>
    </row>
    <row r="4" spans="1:12" x14ac:dyDescent="0.2">
      <c r="A4" s="240" t="s">
        <v>263</v>
      </c>
    </row>
    <row r="6" spans="1:12" ht="24.75" customHeight="1" x14ac:dyDescent="0.2">
      <c r="A6" s="285"/>
      <c r="B6" s="285"/>
      <c r="C6" s="285"/>
      <c r="D6" s="285"/>
      <c r="E6" s="285"/>
      <c r="F6" s="540" t="s">
        <v>5</v>
      </c>
      <c r="G6" s="540"/>
      <c r="H6" s="540"/>
      <c r="I6" s="540"/>
      <c r="J6" s="540"/>
      <c r="K6" s="540"/>
    </row>
    <row r="7" spans="1:12" x14ac:dyDescent="0.2">
      <c r="A7" s="286" t="s">
        <v>262</v>
      </c>
      <c r="B7" s="286" t="s">
        <v>261</v>
      </c>
      <c r="C7" s="286" t="s">
        <v>260</v>
      </c>
      <c r="D7" s="286" t="s">
        <v>259</v>
      </c>
      <c r="E7" s="286" t="s">
        <v>258</v>
      </c>
      <c r="F7" s="291">
        <v>2011</v>
      </c>
      <c r="G7" s="291">
        <v>2012</v>
      </c>
      <c r="H7" s="291">
        <v>2013</v>
      </c>
      <c r="I7" s="291">
        <v>2014</v>
      </c>
      <c r="J7" s="291">
        <v>2015</v>
      </c>
      <c r="K7" s="291">
        <v>2016</v>
      </c>
      <c r="L7" s="240">
        <v>2017</v>
      </c>
    </row>
    <row r="8" spans="1:12" x14ac:dyDescent="0.2">
      <c r="A8" s="240" t="s">
        <v>257</v>
      </c>
      <c r="B8" s="240" t="s">
        <v>242</v>
      </c>
      <c r="C8" s="240" t="s">
        <v>228</v>
      </c>
      <c r="D8" s="243" t="s">
        <v>256</v>
      </c>
      <c r="E8" s="240">
        <v>2009</v>
      </c>
      <c r="F8" s="288">
        <f>'Master escapements'!J44</f>
        <v>2137</v>
      </c>
      <c r="G8" s="288">
        <f>'Master escapements'!J45</f>
        <v>1908</v>
      </c>
      <c r="H8" s="288">
        <f>'Master escapements'!J46</f>
        <v>3048</v>
      </c>
      <c r="I8" s="288">
        <f>'Master escapements'!J47</f>
        <v>4110</v>
      </c>
      <c r="J8" s="288">
        <f>'Master escapements'!J48</f>
        <v>956</v>
      </c>
      <c r="K8" s="288">
        <f>'Master escapements'!J49</f>
        <v>948</v>
      </c>
      <c r="L8" s="288">
        <f>'Master escapements'!J50</f>
        <v>1266</v>
      </c>
    </row>
    <row r="9" spans="1:12" x14ac:dyDescent="0.2">
      <c r="A9" s="240" t="s">
        <v>255</v>
      </c>
      <c r="B9" s="240" t="s">
        <v>242</v>
      </c>
      <c r="C9" s="240" t="s">
        <v>234</v>
      </c>
      <c r="D9" s="243" t="s">
        <v>254</v>
      </c>
      <c r="E9" s="240">
        <v>2013</v>
      </c>
      <c r="F9" s="292">
        <f>'Master escapements'!S44</f>
        <v>5572</v>
      </c>
      <c r="G9" s="292">
        <f>'Master escapements'!S45</f>
        <v>7507</v>
      </c>
      <c r="H9" s="292">
        <f>'Master escapements'!S46</f>
        <v>8323</v>
      </c>
      <c r="I9" s="292">
        <f>'Master escapements'!S47</f>
        <v>7698</v>
      </c>
      <c r="J9" s="292">
        <f>'Master escapements'!S48</f>
        <v>12780</v>
      </c>
      <c r="K9" s="292">
        <f>'Master escapements'!S49</f>
        <v>24242</v>
      </c>
      <c r="L9" s="292">
        <f>'Master escapements'!S50</f>
        <v>7412</v>
      </c>
    </row>
    <row r="10" spans="1:12" x14ac:dyDescent="0.2">
      <c r="A10" s="240" t="s">
        <v>187</v>
      </c>
      <c r="B10" s="240" t="s">
        <v>238</v>
      </c>
      <c r="C10" s="240" t="s">
        <v>228</v>
      </c>
      <c r="D10" s="243" t="s">
        <v>253</v>
      </c>
      <c r="E10" s="240">
        <v>2015</v>
      </c>
      <c r="F10" s="288">
        <f>'Master escapements'!G44</f>
        <v>70871</v>
      </c>
      <c r="G10" s="288">
        <f>'Master escapements'!G45</f>
        <v>70775</v>
      </c>
      <c r="H10" s="288">
        <f>'Master escapements'!G46</f>
        <v>68117</v>
      </c>
      <c r="I10" s="288">
        <f>'Master escapements'!G47</f>
        <v>124171</v>
      </c>
      <c r="J10" s="288">
        <f>'Master escapements'!G48</f>
        <v>60178</v>
      </c>
      <c r="K10" s="288">
        <f>'Master escapements'!G49</f>
        <v>87704</v>
      </c>
      <c r="L10" s="288">
        <f>'Master escapements'!G50</f>
        <v>57868</v>
      </c>
    </row>
    <row r="11" spans="1:12" x14ac:dyDescent="0.2">
      <c r="A11" s="240" t="s">
        <v>2</v>
      </c>
      <c r="B11" s="240" t="s">
        <v>242</v>
      </c>
      <c r="C11" s="240" t="s">
        <v>228</v>
      </c>
      <c r="D11" s="243" t="s">
        <v>252</v>
      </c>
      <c r="E11" s="240">
        <v>1994</v>
      </c>
      <c r="F11" s="288">
        <f>'Master escapements'!B44</f>
        <v>517</v>
      </c>
      <c r="G11" s="288">
        <f>'Master escapements'!B45</f>
        <v>837</v>
      </c>
      <c r="H11" s="288">
        <f>'Master escapements'!B46</f>
        <v>736</v>
      </c>
      <c r="I11" s="288">
        <f>'Master escapements'!B47</f>
        <v>1533</v>
      </c>
      <c r="J11" s="288">
        <f>'Master escapements'!B48</f>
        <v>517</v>
      </c>
      <c r="K11" s="288">
        <f>'Master escapements'!B49</f>
        <v>204</v>
      </c>
      <c r="L11" s="288">
        <f>'Master escapements'!B50</f>
        <v>283</v>
      </c>
    </row>
    <row r="12" spans="1:12" x14ac:dyDescent="0.2">
      <c r="A12" s="240" t="s">
        <v>191</v>
      </c>
      <c r="B12" s="240" t="s">
        <v>245</v>
      </c>
      <c r="C12" s="240" t="s">
        <v>234</v>
      </c>
      <c r="D12" s="243" t="s">
        <v>251</v>
      </c>
      <c r="E12" s="240">
        <v>2006</v>
      </c>
      <c r="F12" s="288">
        <f>'Master escapements'!C44</f>
        <v>709</v>
      </c>
      <c r="G12" s="288">
        <f>'Master escapements'!C45</f>
        <v>394</v>
      </c>
      <c r="H12" s="288">
        <f>'Master escapements'!C46</f>
        <v>367</v>
      </c>
      <c r="I12" s="288">
        <f>'Master escapements'!C47</f>
        <v>911</v>
      </c>
      <c r="J12" s="288">
        <f>'Master escapements'!C48</f>
        <v>1204</v>
      </c>
      <c r="K12" s="288">
        <f>'Master escapements'!C49</f>
        <v>717</v>
      </c>
      <c r="L12" s="288">
        <f>'Master escapements'!C50</f>
        <v>634</v>
      </c>
    </row>
    <row r="13" spans="1:12" x14ac:dyDescent="0.2">
      <c r="A13" s="240" t="s">
        <v>190</v>
      </c>
      <c r="B13" s="240" t="s">
        <v>245</v>
      </c>
      <c r="C13" s="240" t="s">
        <v>234</v>
      </c>
      <c r="D13" s="243" t="s">
        <v>250</v>
      </c>
      <c r="E13" s="240">
        <v>2006</v>
      </c>
      <c r="F13" s="288">
        <f>'Master escapements'!D44</f>
        <v>138</v>
      </c>
      <c r="G13" s="288">
        <f>'Master escapements'!D45</f>
        <v>190</v>
      </c>
      <c r="H13" s="288">
        <f>'Master escapements'!D46</f>
        <v>126</v>
      </c>
      <c r="I13" s="288">
        <f>'Master escapements'!D47</f>
        <v>284</v>
      </c>
      <c r="J13" s="288">
        <f>'Master escapements'!D48</f>
        <v>202</v>
      </c>
      <c r="K13" s="288">
        <f>'Master escapements'!D49</f>
        <v>52</v>
      </c>
      <c r="L13" s="288">
        <f>'Master escapements'!D50</f>
        <v>20</v>
      </c>
    </row>
    <row r="14" spans="1:12" x14ac:dyDescent="0.2">
      <c r="A14" s="240" t="s">
        <v>249</v>
      </c>
      <c r="B14" s="240" t="s">
        <v>248</v>
      </c>
      <c r="C14" s="240" t="s">
        <v>228</v>
      </c>
      <c r="D14" s="243" t="s">
        <v>247</v>
      </c>
      <c r="E14" s="240">
        <v>2006</v>
      </c>
      <c r="F14" s="288">
        <f>'Master escapements'!K44</f>
        <v>5097.7900309938541</v>
      </c>
      <c r="G14" s="288">
        <f>'Master escapements'!K45</f>
        <v>11960.137442047555</v>
      </c>
      <c r="H14" s="288">
        <f>'Master escapements'!K46</f>
        <v>11294.848476759547</v>
      </c>
      <c r="I14" s="288">
        <f>'Master escapements'!K47</f>
        <v>16674.889312790467</v>
      </c>
      <c r="J14" s="288">
        <f>'Master escapements'!K48</f>
        <v>10128.133298386627</v>
      </c>
      <c r="K14" s="288">
        <f>'Master escapements'!K49</f>
        <v>13420</v>
      </c>
      <c r="L14" s="288">
        <f>'Master escapements'!K50</f>
        <v>11557</v>
      </c>
    </row>
    <row r="15" spans="1:12" x14ac:dyDescent="0.2">
      <c r="A15" s="240" t="s">
        <v>246</v>
      </c>
      <c r="B15" s="240" t="s">
        <v>245</v>
      </c>
      <c r="C15" s="240" t="s">
        <v>228</v>
      </c>
      <c r="D15" s="243" t="s">
        <v>244</v>
      </c>
      <c r="E15" s="240">
        <v>2006</v>
      </c>
      <c r="F15" s="288">
        <f>'Master escapements'!I44</f>
        <v>2222</v>
      </c>
      <c r="G15" s="288">
        <f>'Master escapements'!I45</f>
        <v>1157</v>
      </c>
      <c r="H15" s="288">
        <f>'Master escapements'!I46</f>
        <v>1414</v>
      </c>
      <c r="I15" s="288">
        <f>'Master escapements'!I47</f>
        <v>2161</v>
      </c>
      <c r="J15" s="288">
        <f>'Master escapements'!I48</f>
        <v>2244</v>
      </c>
      <c r="K15" s="288">
        <f>'Master escapements'!I49</f>
        <v>2943</v>
      </c>
      <c r="L15" s="288">
        <f>'Master escapements'!I50</f>
        <v>1280</v>
      </c>
    </row>
    <row r="16" spans="1:12" x14ac:dyDescent="0.2">
      <c r="A16" s="240" t="s">
        <v>243</v>
      </c>
      <c r="B16" s="240" t="s">
        <v>242</v>
      </c>
      <c r="C16" s="240" t="s">
        <v>228</v>
      </c>
      <c r="D16" s="243" t="s">
        <v>241</v>
      </c>
      <c r="E16" s="240">
        <v>1994</v>
      </c>
      <c r="F16" s="288">
        <f>'Master escapements'!H44</f>
        <v>1908</v>
      </c>
      <c r="G16" s="288">
        <f>'Master escapements'!H45</f>
        <v>2282</v>
      </c>
      <c r="H16" s="288">
        <f>'Master escapements'!H46</f>
        <v>1573</v>
      </c>
      <c r="I16" s="288">
        <f>'Master escapements'!H47</f>
        <v>3025</v>
      </c>
      <c r="J16" s="288">
        <f>'Master escapements'!H48</f>
        <v>3281</v>
      </c>
      <c r="K16" s="288" t="str">
        <f>'Master escapements'!H49</f>
        <v>-</v>
      </c>
      <c r="L16" s="288" t="s">
        <v>84</v>
      </c>
    </row>
    <row r="17" spans="1:13" x14ac:dyDescent="0.2">
      <c r="A17" s="295" t="s">
        <v>240</v>
      </c>
      <c r="B17" s="240" t="s">
        <v>238</v>
      </c>
      <c r="C17" s="240" t="s">
        <v>228</v>
      </c>
      <c r="D17" s="280" t="s">
        <v>362</v>
      </c>
      <c r="E17" s="240">
        <v>1994</v>
      </c>
      <c r="F17" s="288">
        <f>'Master escapements'!E44</f>
        <v>6050</v>
      </c>
      <c r="G17" s="288">
        <f>'Master escapements'!E45</f>
        <v>5480</v>
      </c>
      <c r="H17" s="288">
        <f>'Master escapements'!E46</f>
        <v>6280</v>
      </c>
      <c r="I17" s="288">
        <f>'Master escapements'!E47</f>
        <v>15480</v>
      </c>
      <c r="J17" s="288">
        <f>'Master escapements'!E48</f>
        <v>9940</v>
      </c>
      <c r="K17" s="288">
        <f>'Master escapements'!E49</f>
        <v>6733</v>
      </c>
      <c r="L17" s="288">
        <f>'Master escapements'!E50</f>
        <v>7040</v>
      </c>
    </row>
    <row r="18" spans="1:13" x14ac:dyDescent="0.2">
      <c r="A18" s="240" t="s">
        <v>239</v>
      </c>
      <c r="B18" s="240" t="s">
        <v>238</v>
      </c>
      <c r="C18" s="240" t="s">
        <v>228</v>
      </c>
      <c r="D18" s="243" t="s">
        <v>237</v>
      </c>
      <c r="E18" s="240">
        <v>2006</v>
      </c>
      <c r="F18" s="288">
        <f>'Master escapements'!F44</f>
        <v>61099</v>
      </c>
      <c r="G18" s="288">
        <f>'Master escapements'!F45</f>
        <v>36961</v>
      </c>
      <c r="H18" s="288">
        <f>'Master escapements'!F46</f>
        <v>51324</v>
      </c>
      <c r="I18" s="288">
        <f>'Master escapements'!F47</f>
        <v>130200</v>
      </c>
      <c r="J18" s="288">
        <f>'Master escapements'!F48</f>
        <v>47372</v>
      </c>
      <c r="K18" s="288">
        <f>'Master escapements'!F49</f>
        <v>26280</v>
      </c>
      <c r="L18" s="288">
        <f>'Master escapements'!F50</f>
        <v>34482</v>
      </c>
    </row>
    <row r="19" spans="1:13" x14ac:dyDescent="0.2">
      <c r="A19" s="240" t="s">
        <v>236</v>
      </c>
      <c r="B19" s="240" t="s">
        <v>235</v>
      </c>
      <c r="C19" s="240" t="s">
        <v>234</v>
      </c>
      <c r="D19" s="243" t="s">
        <v>268</v>
      </c>
      <c r="E19" s="240">
        <v>2015</v>
      </c>
      <c r="F19" s="292">
        <f>'Master escapements'!N44</f>
        <v>1221</v>
      </c>
      <c r="G19" s="292" t="str">
        <f>'Master escapements'!N45</f>
        <v>-</v>
      </c>
      <c r="H19" s="292">
        <f>'Master escapements'!N46</f>
        <v>2593</v>
      </c>
      <c r="I19" s="292">
        <f>'Master escapements'!N47</f>
        <v>3555</v>
      </c>
      <c r="J19" s="292">
        <f>'Master escapements'!N48</f>
        <v>2015</v>
      </c>
      <c r="K19" s="292">
        <f>'Master escapements'!N49</f>
        <v>746</v>
      </c>
      <c r="L19" s="292">
        <v>1455</v>
      </c>
    </row>
    <row r="20" spans="1:13" x14ac:dyDescent="0.2">
      <c r="A20" s="240" t="s">
        <v>233</v>
      </c>
      <c r="B20" s="240" t="s">
        <v>232</v>
      </c>
      <c r="C20" s="240" t="s">
        <v>228</v>
      </c>
      <c r="D20" s="243" t="s">
        <v>231</v>
      </c>
      <c r="E20" s="240">
        <v>1994</v>
      </c>
      <c r="F20" s="292">
        <f>'Master escapements'!P44</f>
        <v>3652</v>
      </c>
      <c r="G20" s="292">
        <f>'Master escapements'!P45</f>
        <v>3007</v>
      </c>
      <c r="H20" s="292">
        <f>'Master escapements'!P46</f>
        <v>14853</v>
      </c>
      <c r="I20" s="292">
        <f>'Master escapements'!P47</f>
        <v>8226</v>
      </c>
      <c r="J20" s="292">
        <f>'Master escapements'!P48</f>
        <v>7062</v>
      </c>
      <c r="K20" s="292">
        <f>'Master escapements'!P49</f>
        <v>6177</v>
      </c>
      <c r="L20" s="292">
        <f>'Master escapements'!P50</f>
        <v>4122</v>
      </c>
    </row>
    <row r="21" spans="1:13" x14ac:dyDescent="0.2">
      <c r="A21" s="287" t="s">
        <v>230</v>
      </c>
      <c r="B21" s="287" t="s">
        <v>229</v>
      </c>
      <c r="C21" s="287" t="s">
        <v>228</v>
      </c>
      <c r="D21" s="289" t="s">
        <v>227</v>
      </c>
      <c r="E21" s="287">
        <v>1994</v>
      </c>
      <c r="F21" s="293">
        <f>'Master escapements'!R44</f>
        <v>21000</v>
      </c>
      <c r="G21" s="293">
        <f>'Master escapements'!R45</f>
        <v>10500</v>
      </c>
      <c r="H21" s="293">
        <f>'Master escapements'!R46</f>
        <v>47000</v>
      </c>
      <c r="I21" s="293">
        <f>'Master escapements'!R47</f>
        <v>27000</v>
      </c>
      <c r="J21" s="293">
        <f>'Master escapements'!R48</f>
        <v>19500</v>
      </c>
      <c r="K21" s="293">
        <f>'Master escapements'!R49</f>
        <v>31000</v>
      </c>
      <c r="L21" s="293">
        <f>'Master escapements'!R50</f>
        <v>38000</v>
      </c>
    </row>
    <row r="22" spans="1:13" x14ac:dyDescent="0.2">
      <c r="A22" s="240" t="s">
        <v>226</v>
      </c>
      <c r="L22" s="288"/>
    </row>
    <row r="23" spans="1:13" x14ac:dyDescent="0.2">
      <c r="L23" s="288"/>
    </row>
    <row r="24" spans="1:13" x14ac:dyDescent="0.2">
      <c r="A24" s="295" t="s">
        <v>360</v>
      </c>
      <c r="L24" s="288"/>
    </row>
    <row r="25" spans="1:13" x14ac:dyDescent="0.2">
      <c r="L25" s="288"/>
    </row>
    <row r="26" spans="1:13" x14ac:dyDescent="0.2">
      <c r="A26" s="451"/>
      <c r="B26" s="451"/>
      <c r="C26" s="451"/>
      <c r="D26" s="451"/>
      <c r="E26" s="451"/>
      <c r="F26" s="541" t="s">
        <v>5</v>
      </c>
      <c r="G26" s="541"/>
      <c r="H26" s="541"/>
      <c r="I26" s="541"/>
      <c r="J26" s="541"/>
      <c r="K26" s="541"/>
      <c r="L26" s="288"/>
    </row>
    <row r="27" spans="1:13" x14ac:dyDescent="0.2">
      <c r="A27" s="452" t="s">
        <v>262</v>
      </c>
      <c r="B27" s="221" t="s">
        <v>361</v>
      </c>
      <c r="C27" s="221" t="s">
        <v>260</v>
      </c>
      <c r="D27" s="452" t="s">
        <v>259</v>
      </c>
      <c r="E27" s="221" t="s">
        <v>258</v>
      </c>
      <c r="F27" s="221">
        <f>G7</f>
        <v>2012</v>
      </c>
      <c r="G27" s="221">
        <f t="shared" ref="G27:K27" si="0">H7</f>
        <v>2013</v>
      </c>
      <c r="H27" s="221">
        <f t="shared" si="0"/>
        <v>2014</v>
      </c>
      <c r="I27" s="221">
        <f t="shared" si="0"/>
        <v>2015</v>
      </c>
      <c r="J27" s="221">
        <f t="shared" si="0"/>
        <v>2016</v>
      </c>
      <c r="K27" s="221">
        <f t="shared" si="0"/>
        <v>2017</v>
      </c>
      <c r="L27" s="288"/>
    </row>
    <row r="28" spans="1:13" x14ac:dyDescent="0.2">
      <c r="A28" s="220" t="s">
        <v>257</v>
      </c>
      <c r="B28" s="223" t="s">
        <v>242</v>
      </c>
      <c r="C28" s="223" t="s">
        <v>228</v>
      </c>
      <c r="D28" s="315" t="s">
        <v>256</v>
      </c>
      <c r="E28" s="223">
        <v>2009</v>
      </c>
      <c r="F28" s="393">
        <f>G8</f>
        <v>1908</v>
      </c>
      <c r="G28" s="393">
        <f t="shared" ref="G28:K28" si="1">H8</f>
        <v>3048</v>
      </c>
      <c r="H28" s="393">
        <f t="shared" si="1"/>
        <v>4110</v>
      </c>
      <c r="I28" s="393">
        <f t="shared" si="1"/>
        <v>956</v>
      </c>
      <c r="J28" s="393">
        <f t="shared" si="1"/>
        <v>948</v>
      </c>
      <c r="K28" s="393">
        <f t="shared" si="1"/>
        <v>1266</v>
      </c>
      <c r="L28" s="288"/>
    </row>
    <row r="29" spans="1:13" x14ac:dyDescent="0.2">
      <c r="A29" s="220" t="s">
        <v>255</v>
      </c>
      <c r="B29" s="223" t="s">
        <v>242</v>
      </c>
      <c r="C29" s="223" t="s">
        <v>234</v>
      </c>
      <c r="D29" s="315" t="s">
        <v>254</v>
      </c>
      <c r="E29" s="223">
        <v>2013</v>
      </c>
      <c r="F29" s="453">
        <f t="shared" ref="F29:K29" si="2">G9</f>
        <v>7507</v>
      </c>
      <c r="G29" s="453">
        <f t="shared" si="2"/>
        <v>8323</v>
      </c>
      <c r="H29" s="453">
        <f t="shared" si="2"/>
        <v>7698</v>
      </c>
      <c r="I29" s="453">
        <f t="shared" si="2"/>
        <v>12780</v>
      </c>
      <c r="J29" s="453">
        <f t="shared" si="2"/>
        <v>24242</v>
      </c>
      <c r="K29" s="453">
        <f t="shared" si="2"/>
        <v>7412</v>
      </c>
      <c r="L29" s="288"/>
    </row>
    <row r="30" spans="1:13" x14ac:dyDescent="0.2">
      <c r="A30" s="220" t="s">
        <v>187</v>
      </c>
      <c r="B30" s="223" t="s">
        <v>238</v>
      </c>
      <c r="C30" s="223" t="s">
        <v>228</v>
      </c>
      <c r="D30" s="315" t="s">
        <v>253</v>
      </c>
      <c r="E30" s="223">
        <v>2015</v>
      </c>
      <c r="F30" s="393">
        <f t="shared" ref="F30:K30" si="3">G10</f>
        <v>70775</v>
      </c>
      <c r="G30" s="393">
        <f t="shared" si="3"/>
        <v>68117</v>
      </c>
      <c r="H30" s="393">
        <f t="shared" si="3"/>
        <v>124171</v>
      </c>
      <c r="I30" s="393">
        <f t="shared" si="3"/>
        <v>60178</v>
      </c>
      <c r="J30" s="393">
        <f t="shared" si="3"/>
        <v>87704</v>
      </c>
      <c r="K30" s="393">
        <f t="shared" si="3"/>
        <v>57868</v>
      </c>
      <c r="M30" s="290"/>
    </row>
    <row r="31" spans="1:13" x14ac:dyDescent="0.2">
      <c r="A31" s="220" t="s">
        <v>2</v>
      </c>
      <c r="B31" s="223" t="s">
        <v>242</v>
      </c>
      <c r="C31" s="223" t="s">
        <v>228</v>
      </c>
      <c r="D31" s="315" t="s">
        <v>252</v>
      </c>
      <c r="E31" s="223">
        <v>1994</v>
      </c>
      <c r="F31" s="393">
        <f t="shared" ref="F31:K31" si="4">G11</f>
        <v>837</v>
      </c>
      <c r="G31" s="393">
        <f t="shared" si="4"/>
        <v>736</v>
      </c>
      <c r="H31" s="393">
        <f t="shared" si="4"/>
        <v>1533</v>
      </c>
      <c r="I31" s="393">
        <f t="shared" si="4"/>
        <v>517</v>
      </c>
      <c r="J31" s="393">
        <f t="shared" si="4"/>
        <v>204</v>
      </c>
      <c r="K31" s="393">
        <f t="shared" si="4"/>
        <v>283</v>
      </c>
    </row>
    <row r="32" spans="1:13" x14ac:dyDescent="0.2">
      <c r="A32" s="220" t="s">
        <v>191</v>
      </c>
      <c r="B32" s="223" t="s">
        <v>245</v>
      </c>
      <c r="C32" s="223" t="s">
        <v>234</v>
      </c>
      <c r="D32" s="315" t="s">
        <v>251</v>
      </c>
      <c r="E32" s="223">
        <v>2006</v>
      </c>
      <c r="F32" s="393">
        <f t="shared" ref="F32:K32" si="5">G12</f>
        <v>394</v>
      </c>
      <c r="G32" s="393">
        <f t="shared" si="5"/>
        <v>367</v>
      </c>
      <c r="H32" s="393">
        <f t="shared" si="5"/>
        <v>911</v>
      </c>
      <c r="I32" s="393">
        <f t="shared" si="5"/>
        <v>1204</v>
      </c>
      <c r="J32" s="393">
        <f t="shared" si="5"/>
        <v>717</v>
      </c>
      <c r="K32" s="393">
        <f t="shared" si="5"/>
        <v>634</v>
      </c>
    </row>
    <row r="33" spans="1:11" x14ac:dyDescent="0.2">
      <c r="A33" s="220" t="s">
        <v>190</v>
      </c>
      <c r="B33" s="223" t="s">
        <v>245</v>
      </c>
      <c r="C33" s="223" t="s">
        <v>234</v>
      </c>
      <c r="D33" s="315" t="s">
        <v>250</v>
      </c>
      <c r="E33" s="223">
        <v>2006</v>
      </c>
      <c r="F33" s="393">
        <f t="shared" ref="F33:K33" si="6">G13</f>
        <v>190</v>
      </c>
      <c r="G33" s="393">
        <f t="shared" si="6"/>
        <v>126</v>
      </c>
      <c r="H33" s="393">
        <f t="shared" si="6"/>
        <v>284</v>
      </c>
      <c r="I33" s="393">
        <f t="shared" si="6"/>
        <v>202</v>
      </c>
      <c r="J33" s="393">
        <f t="shared" si="6"/>
        <v>52</v>
      </c>
      <c r="K33" s="393">
        <f t="shared" si="6"/>
        <v>20</v>
      </c>
    </row>
    <row r="34" spans="1:11" x14ac:dyDescent="0.2">
      <c r="A34" s="220" t="s">
        <v>249</v>
      </c>
      <c r="B34" s="223" t="s">
        <v>248</v>
      </c>
      <c r="C34" s="223" t="s">
        <v>228</v>
      </c>
      <c r="D34" s="315" t="s">
        <v>247</v>
      </c>
      <c r="E34" s="223">
        <v>2006</v>
      </c>
      <c r="F34" s="393">
        <f t="shared" ref="F34:K34" si="7">G14</f>
        <v>11960.137442047555</v>
      </c>
      <c r="G34" s="393">
        <f t="shared" si="7"/>
        <v>11294.848476759547</v>
      </c>
      <c r="H34" s="393">
        <f t="shared" si="7"/>
        <v>16674.889312790467</v>
      </c>
      <c r="I34" s="393">
        <f t="shared" si="7"/>
        <v>10128.133298386627</v>
      </c>
      <c r="J34" s="393">
        <f t="shared" si="7"/>
        <v>13420</v>
      </c>
      <c r="K34" s="393">
        <f t="shared" si="7"/>
        <v>11557</v>
      </c>
    </row>
    <row r="35" spans="1:11" x14ac:dyDescent="0.2">
      <c r="A35" s="220" t="s">
        <v>246</v>
      </c>
      <c r="B35" s="223" t="s">
        <v>245</v>
      </c>
      <c r="C35" s="223" t="s">
        <v>228</v>
      </c>
      <c r="D35" s="315" t="s">
        <v>244</v>
      </c>
      <c r="E35" s="223">
        <v>2006</v>
      </c>
      <c r="F35" s="393">
        <f t="shared" ref="F35:K35" si="8">G15</f>
        <v>1157</v>
      </c>
      <c r="G35" s="393">
        <f t="shared" si="8"/>
        <v>1414</v>
      </c>
      <c r="H35" s="393">
        <f t="shared" si="8"/>
        <v>2161</v>
      </c>
      <c r="I35" s="393">
        <f t="shared" si="8"/>
        <v>2244</v>
      </c>
      <c r="J35" s="393">
        <f t="shared" si="8"/>
        <v>2943</v>
      </c>
      <c r="K35" s="393">
        <f t="shared" si="8"/>
        <v>1280</v>
      </c>
    </row>
    <row r="36" spans="1:11" x14ac:dyDescent="0.2">
      <c r="A36" s="220" t="s">
        <v>243</v>
      </c>
      <c r="B36" s="223" t="s">
        <v>242</v>
      </c>
      <c r="C36" s="223" t="s">
        <v>228</v>
      </c>
      <c r="D36" s="315" t="s">
        <v>241</v>
      </c>
      <c r="E36" s="223">
        <v>1994</v>
      </c>
      <c r="F36" s="393">
        <f t="shared" ref="F36:K36" si="9">G16</f>
        <v>2282</v>
      </c>
      <c r="G36" s="393">
        <f t="shared" si="9"/>
        <v>1573</v>
      </c>
      <c r="H36" s="393">
        <f t="shared" si="9"/>
        <v>3025</v>
      </c>
      <c r="I36" s="393">
        <f t="shared" si="9"/>
        <v>3281</v>
      </c>
      <c r="J36" s="393" t="str">
        <f t="shared" si="9"/>
        <v>-</v>
      </c>
      <c r="K36" s="393" t="str">
        <f t="shared" si="9"/>
        <v>-</v>
      </c>
    </row>
    <row r="37" spans="1:11" x14ac:dyDescent="0.2">
      <c r="A37" s="220" t="s">
        <v>240</v>
      </c>
      <c r="B37" s="223" t="s">
        <v>238</v>
      </c>
      <c r="C37" s="223" t="s">
        <v>228</v>
      </c>
      <c r="D37" s="315" t="s">
        <v>362</v>
      </c>
      <c r="E37" s="223">
        <v>1994</v>
      </c>
      <c r="F37" s="393">
        <f t="shared" ref="F37:K37" si="10">G17</f>
        <v>5480</v>
      </c>
      <c r="G37" s="393">
        <f t="shared" si="10"/>
        <v>6280</v>
      </c>
      <c r="H37" s="393">
        <f t="shared" si="10"/>
        <v>15480</v>
      </c>
      <c r="I37" s="393">
        <f t="shared" si="10"/>
        <v>9940</v>
      </c>
      <c r="J37" s="393">
        <f t="shared" si="10"/>
        <v>6733</v>
      </c>
      <c r="K37" s="393">
        <f t="shared" si="10"/>
        <v>7040</v>
      </c>
    </row>
    <row r="38" spans="1:11" x14ac:dyDescent="0.2">
      <c r="A38" s="220" t="s">
        <v>239</v>
      </c>
      <c r="B38" s="223" t="s">
        <v>238</v>
      </c>
      <c r="C38" s="223" t="s">
        <v>228</v>
      </c>
      <c r="D38" s="315" t="s">
        <v>237</v>
      </c>
      <c r="E38" s="223">
        <v>2006</v>
      </c>
      <c r="F38" s="393">
        <f t="shared" ref="F38:K38" si="11">G18</f>
        <v>36961</v>
      </c>
      <c r="G38" s="393">
        <f t="shared" si="11"/>
        <v>51324</v>
      </c>
      <c r="H38" s="393">
        <f t="shared" si="11"/>
        <v>130200</v>
      </c>
      <c r="I38" s="393">
        <f t="shared" si="11"/>
        <v>47372</v>
      </c>
      <c r="J38" s="393">
        <f t="shared" si="11"/>
        <v>26280</v>
      </c>
      <c r="K38" s="393">
        <f t="shared" si="11"/>
        <v>34482</v>
      </c>
    </row>
    <row r="39" spans="1:11" x14ac:dyDescent="0.2">
      <c r="A39" s="220" t="s">
        <v>236</v>
      </c>
      <c r="B39" s="223" t="s">
        <v>235</v>
      </c>
      <c r="C39" s="223" t="s">
        <v>234</v>
      </c>
      <c r="D39" s="315" t="s">
        <v>268</v>
      </c>
      <c r="E39" s="223">
        <v>2015</v>
      </c>
      <c r="F39" s="453" t="str">
        <f t="shared" ref="F39:K39" si="12">G19</f>
        <v>-</v>
      </c>
      <c r="G39" s="453">
        <f t="shared" si="12"/>
        <v>2593</v>
      </c>
      <c r="H39" s="453">
        <f t="shared" si="12"/>
        <v>3555</v>
      </c>
      <c r="I39" s="453">
        <f t="shared" si="12"/>
        <v>2015</v>
      </c>
      <c r="J39" s="453">
        <f t="shared" si="12"/>
        <v>746</v>
      </c>
      <c r="K39" s="453">
        <f t="shared" si="12"/>
        <v>1455</v>
      </c>
    </row>
    <row r="40" spans="1:11" x14ac:dyDescent="0.2">
      <c r="A40" s="220" t="s">
        <v>233</v>
      </c>
      <c r="B40" s="223" t="s">
        <v>232</v>
      </c>
      <c r="C40" s="223" t="s">
        <v>228</v>
      </c>
      <c r="D40" s="315" t="s">
        <v>231</v>
      </c>
      <c r="E40" s="223">
        <v>1994</v>
      </c>
      <c r="F40" s="453">
        <f t="shared" ref="F40:K40" si="13">G20</f>
        <v>3007</v>
      </c>
      <c r="G40" s="453">
        <f t="shared" si="13"/>
        <v>14853</v>
      </c>
      <c r="H40" s="453">
        <f t="shared" si="13"/>
        <v>8226</v>
      </c>
      <c r="I40" s="453">
        <f t="shared" si="13"/>
        <v>7062</v>
      </c>
      <c r="J40" s="453">
        <f t="shared" si="13"/>
        <v>6177</v>
      </c>
      <c r="K40" s="453">
        <f t="shared" si="13"/>
        <v>4122</v>
      </c>
    </row>
    <row r="41" spans="1:11" x14ac:dyDescent="0.2">
      <c r="A41" s="222" t="s">
        <v>230</v>
      </c>
      <c r="B41" s="221" t="s">
        <v>229</v>
      </c>
      <c r="C41" s="221" t="s">
        <v>228</v>
      </c>
      <c r="D41" s="454" t="s">
        <v>227</v>
      </c>
      <c r="E41" s="221">
        <v>1994</v>
      </c>
      <c r="F41" s="455">
        <f t="shared" ref="F41:K41" si="14">G21</f>
        <v>10500</v>
      </c>
      <c r="G41" s="455">
        <f t="shared" si="14"/>
        <v>47000</v>
      </c>
      <c r="H41" s="455">
        <f t="shared" si="14"/>
        <v>27000</v>
      </c>
      <c r="I41" s="455">
        <f t="shared" si="14"/>
        <v>19500</v>
      </c>
      <c r="J41" s="455">
        <f t="shared" si="14"/>
        <v>31000</v>
      </c>
      <c r="K41" s="455">
        <f t="shared" si="14"/>
        <v>38000</v>
      </c>
    </row>
    <row r="42" spans="1:11" ht="15" x14ac:dyDescent="0.25">
      <c r="A42" s="449" t="s">
        <v>226</v>
      </c>
      <c r="B42" s="449"/>
      <c r="C42" s="449"/>
      <c r="D42" s="449"/>
      <c r="E42" s="449"/>
      <c r="F42" s="449"/>
      <c r="G42" s="449"/>
      <c r="H42" s="449"/>
      <c r="I42" s="449"/>
      <c r="J42" s="449"/>
      <c r="K42" s="449"/>
    </row>
    <row r="43" spans="1:11" x14ac:dyDescent="0.2">
      <c r="F43" s="243"/>
      <c r="G43" s="243"/>
      <c r="H43" s="243"/>
      <c r="I43" s="243"/>
      <c r="J43" s="243"/>
      <c r="K43" s="243"/>
    </row>
    <row r="44" spans="1:11" x14ac:dyDescent="0.2">
      <c r="F44" s="243"/>
      <c r="G44" s="243"/>
      <c r="H44" s="243"/>
      <c r="I44" s="243"/>
      <c r="J44" s="243"/>
      <c r="K44" s="243"/>
    </row>
    <row r="45" spans="1:11" x14ac:dyDescent="0.2">
      <c r="F45" s="243"/>
      <c r="G45" s="243"/>
      <c r="H45" s="243"/>
      <c r="I45" s="243"/>
      <c r="J45" s="243"/>
      <c r="K45" s="243"/>
    </row>
    <row r="46" spans="1:11" x14ac:dyDescent="0.2">
      <c r="F46" s="243"/>
      <c r="G46" s="243"/>
      <c r="H46" s="243"/>
      <c r="I46" s="243"/>
      <c r="J46" s="243"/>
      <c r="K46" s="243"/>
    </row>
    <row r="47" spans="1:11" x14ac:dyDescent="0.2">
      <c r="F47" s="243"/>
      <c r="G47" s="243"/>
      <c r="H47" s="243"/>
      <c r="I47" s="243"/>
      <c r="J47" s="243"/>
      <c r="K47" s="243"/>
    </row>
    <row r="48" spans="1:11" x14ac:dyDescent="0.2">
      <c r="F48" s="243"/>
      <c r="G48" s="243"/>
      <c r="H48" s="243"/>
      <c r="I48" s="243"/>
      <c r="J48" s="243"/>
      <c r="K48" s="243"/>
    </row>
    <row r="49" spans="6:11" x14ac:dyDescent="0.2">
      <c r="F49" s="243"/>
      <c r="G49" s="243"/>
      <c r="H49" s="243"/>
      <c r="I49" s="243"/>
      <c r="J49" s="243"/>
      <c r="K49" s="243"/>
    </row>
    <row r="50" spans="6:11" x14ac:dyDescent="0.2">
      <c r="F50" s="243"/>
      <c r="G50" s="243"/>
      <c r="H50" s="243"/>
      <c r="I50" s="243"/>
      <c r="J50" s="243"/>
      <c r="K50" s="243"/>
    </row>
    <row r="51" spans="6:11" x14ac:dyDescent="0.2">
      <c r="F51" s="243"/>
      <c r="G51" s="243"/>
      <c r="H51" s="243"/>
      <c r="I51" s="243"/>
      <c r="J51" s="243"/>
      <c r="K51" s="243"/>
    </row>
    <row r="52" spans="6:11" x14ac:dyDescent="0.2">
      <c r="F52" s="243"/>
      <c r="G52" s="243"/>
      <c r="H52" s="243"/>
      <c r="I52" s="243"/>
      <c r="J52" s="243"/>
      <c r="K52" s="243"/>
    </row>
    <row r="53" spans="6:11" x14ac:dyDescent="0.2">
      <c r="F53" s="243"/>
      <c r="G53" s="243"/>
      <c r="H53" s="243"/>
      <c r="I53" s="243"/>
      <c r="J53" s="243"/>
      <c r="K53" s="243"/>
    </row>
    <row r="54" spans="6:11" x14ac:dyDescent="0.2">
      <c r="F54" s="243"/>
    </row>
    <row r="55" spans="6:11" x14ac:dyDescent="0.2">
      <c r="F55" s="243"/>
    </row>
    <row r="56" spans="6:11" x14ac:dyDescent="0.2">
      <c r="F56" s="243"/>
    </row>
    <row r="57" spans="6:11" x14ac:dyDescent="0.2">
      <c r="F57" s="243"/>
    </row>
    <row r="58" spans="6:11" x14ac:dyDescent="0.2">
      <c r="F58" s="243"/>
    </row>
  </sheetData>
  <mergeCells count="2">
    <mergeCell ref="F6:K6"/>
    <mergeCell ref="F26:K2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3"/>
  <sheetViews>
    <sheetView topLeftCell="A7" workbookViewId="0">
      <selection activeCell="F38" sqref="F38"/>
    </sheetView>
  </sheetViews>
  <sheetFormatPr defaultRowHeight="12.75" x14ac:dyDescent="0.2"/>
  <cols>
    <col min="1" max="1" width="5.5703125" style="244" customWidth="1"/>
    <col min="2" max="2" width="5.42578125" style="244" customWidth="1"/>
    <col min="3" max="3" width="8.85546875" style="244" customWidth="1"/>
    <col min="4" max="4" width="8.5703125" style="244" customWidth="1"/>
    <col min="5" max="5" width="8.7109375" style="244" customWidth="1"/>
    <col min="6" max="6" width="8.42578125" style="244" customWidth="1"/>
    <col min="7" max="7" width="9.42578125" style="244" customWidth="1"/>
    <col min="8" max="8" width="9" style="244" customWidth="1"/>
    <col min="9" max="9" width="7.5703125" style="244" customWidth="1"/>
    <col min="10" max="10" width="7.7109375" style="244" customWidth="1"/>
    <col min="11" max="11" width="9.140625" style="244" customWidth="1"/>
    <col min="12" max="16384" width="9.140625" style="244"/>
  </cols>
  <sheetData>
    <row r="1" spans="1:15" x14ac:dyDescent="0.2">
      <c r="A1" s="244" t="s">
        <v>186</v>
      </c>
    </row>
    <row r="5" spans="1:15" x14ac:dyDescent="0.2">
      <c r="A5" s="244" t="s">
        <v>225</v>
      </c>
    </row>
    <row r="6" spans="1:15" ht="12.75" customHeight="1" x14ac:dyDescent="0.2">
      <c r="A6" s="255"/>
      <c r="B6" s="255"/>
      <c r="C6" s="255"/>
      <c r="D6" s="255"/>
      <c r="E6" s="255"/>
      <c r="F6" s="255"/>
      <c r="G6" s="255"/>
      <c r="H6" s="255"/>
      <c r="I6" s="255" t="s">
        <v>224</v>
      </c>
      <c r="J6" s="255" t="s">
        <v>223</v>
      </c>
      <c r="K6" s="255" t="s">
        <v>96</v>
      </c>
    </row>
    <row r="7" spans="1:15" x14ac:dyDescent="0.2">
      <c r="B7" s="244" t="s">
        <v>222</v>
      </c>
      <c r="C7" s="244" t="s">
        <v>202</v>
      </c>
      <c r="D7" s="244" t="s">
        <v>201</v>
      </c>
      <c r="E7" s="244" t="s">
        <v>205</v>
      </c>
      <c r="F7" s="244" t="s">
        <v>221</v>
      </c>
      <c r="G7" s="244" t="s">
        <v>220</v>
      </c>
      <c r="H7" s="244" t="s">
        <v>184</v>
      </c>
      <c r="I7" s="244" t="s">
        <v>135</v>
      </c>
      <c r="J7" s="244" t="s">
        <v>219</v>
      </c>
      <c r="K7" s="244" t="s">
        <v>218</v>
      </c>
    </row>
    <row r="8" spans="1:15" ht="12.75" customHeight="1" x14ac:dyDescent="0.25">
      <c r="A8" s="248" t="s">
        <v>3</v>
      </c>
      <c r="B8" s="248" t="s">
        <v>125</v>
      </c>
      <c r="C8" s="248" t="s">
        <v>125</v>
      </c>
      <c r="D8" s="248" t="s">
        <v>125</v>
      </c>
      <c r="E8" s="248" t="s">
        <v>217</v>
      </c>
      <c r="F8" s="248" t="s">
        <v>124</v>
      </c>
      <c r="G8" s="248" t="s">
        <v>216</v>
      </c>
      <c r="H8" s="248" t="s">
        <v>215</v>
      </c>
      <c r="I8" s="248" t="s">
        <v>214</v>
      </c>
      <c r="J8" s="248" t="s">
        <v>134</v>
      </c>
      <c r="K8" s="248" t="s">
        <v>213</v>
      </c>
    </row>
    <row r="9" spans="1:15" x14ac:dyDescent="0.2">
      <c r="A9" s="244">
        <f>1980</f>
        <v>1980</v>
      </c>
      <c r="B9" s="249">
        <f>'Master escapements'!B13</f>
        <v>698</v>
      </c>
      <c r="C9" s="249" t="str">
        <f>'Master escapements'!C13</f>
        <v>-</v>
      </c>
      <c r="D9" s="249" t="str">
        <f>'Master escapements'!D13</f>
        <v>-</v>
      </c>
      <c r="E9" s="249" t="str">
        <f>'Master escapements'!E13</f>
        <v>-</v>
      </c>
      <c r="F9" s="249" t="str">
        <f>'Master escapements'!F13</f>
        <v>-</v>
      </c>
      <c r="G9" s="249" t="str">
        <f>'Master escapements'!G13</f>
        <v>-</v>
      </c>
      <c r="H9" s="249" t="str">
        <f>'Master escapements'!H13</f>
        <v>-</v>
      </c>
      <c r="I9" s="249" t="str">
        <f>'Master escapements'!I13</f>
        <v>-</v>
      </c>
      <c r="J9" s="249" t="str">
        <f>'Master escapements'!J13</f>
        <v>-</v>
      </c>
      <c r="K9" s="249" t="str">
        <f>'Master escapements'!K13</f>
        <v>-</v>
      </c>
      <c r="M9" s="304"/>
      <c r="O9" s="304"/>
    </row>
    <row r="10" spans="1:15" x14ac:dyDescent="0.2">
      <c r="A10" s="244">
        <f t="shared" ref="A10:A31" si="0">A9+1</f>
        <v>1981</v>
      </c>
      <c r="B10" s="249">
        <f>'Master escapements'!B14</f>
        <v>646</v>
      </c>
      <c r="C10" s="249">
        <f>'Master escapements'!C14</f>
        <v>227</v>
      </c>
      <c r="D10" s="249">
        <f>'Master escapements'!D14</f>
        <v>219</v>
      </c>
      <c r="E10" s="249" t="str">
        <f>'Master escapements'!E14</f>
        <v>-</v>
      </c>
      <c r="F10" s="249" t="str">
        <f>'Master escapements'!F14</f>
        <v>-</v>
      </c>
      <c r="G10" s="249" t="str">
        <f>'Master escapements'!G14</f>
        <v>-</v>
      </c>
      <c r="H10" s="249" t="str">
        <f>'Master escapements'!H14</f>
        <v>-</v>
      </c>
      <c r="I10" s="249" t="str">
        <f>'Master escapements'!I14</f>
        <v>-</v>
      </c>
      <c r="J10" s="249" t="str">
        <f>'Master escapements'!J14</f>
        <v>-</v>
      </c>
      <c r="K10" s="249" t="str">
        <f>'Master escapements'!K14</f>
        <v>-</v>
      </c>
      <c r="M10" s="304"/>
      <c r="O10" s="304"/>
    </row>
    <row r="11" spans="1:15" x14ac:dyDescent="0.2">
      <c r="A11" s="244">
        <f t="shared" si="0"/>
        <v>1982</v>
      </c>
      <c r="B11" s="249">
        <f>'Master escapements'!B15</f>
        <v>447</v>
      </c>
      <c r="C11" s="249">
        <f>'Master escapements'!C15</f>
        <v>545</v>
      </c>
      <c r="D11" s="249">
        <f>'Master escapements'!D15</f>
        <v>320</v>
      </c>
      <c r="E11" s="249">
        <f>'Master escapements'!E15</f>
        <v>7505</v>
      </c>
      <c r="F11" s="249" t="str">
        <f>'Master escapements'!F15</f>
        <v>-</v>
      </c>
      <c r="G11" s="249" t="str">
        <f>'Master escapements'!G15</f>
        <v>-</v>
      </c>
      <c r="H11" s="249">
        <f>'Master escapements'!H15</f>
        <v>2655</v>
      </c>
      <c r="I11" s="249">
        <f>'Master escapements'!I15</f>
        <v>1545.3219007545463</v>
      </c>
      <c r="J11" s="249">
        <f>'Master escapements'!J15</f>
        <v>2144</v>
      </c>
      <c r="K11" s="249" t="str">
        <f>'Master escapements'!K15</f>
        <v>-</v>
      </c>
      <c r="M11" s="304"/>
      <c r="N11" s="304"/>
      <c r="O11" s="304"/>
    </row>
    <row r="12" spans="1:15" x14ac:dyDescent="0.2">
      <c r="A12" s="244">
        <f t="shared" si="0"/>
        <v>1983</v>
      </c>
      <c r="B12" s="249">
        <f>'Master escapements'!B16</f>
        <v>694</v>
      </c>
      <c r="C12" s="249">
        <f>'Master escapements'!C16</f>
        <v>636</v>
      </c>
      <c r="D12" s="249">
        <f>'Master escapements'!D16</f>
        <v>219</v>
      </c>
      <c r="E12" s="249">
        <f>'Master escapements'!E16</f>
        <v>9840</v>
      </c>
      <c r="F12" s="249" t="str">
        <f>'Master escapements'!F16</f>
        <v>-</v>
      </c>
      <c r="G12" s="249" t="str">
        <f>'Master escapements'!G16</f>
        <v>-</v>
      </c>
      <c r="H12" s="249">
        <f>'Master escapements'!H16</f>
        <v>1931</v>
      </c>
      <c r="I12" s="249">
        <f>'Master escapements'!I16</f>
        <v>456.62998799081362</v>
      </c>
      <c r="J12" s="249">
        <f>'Master escapements'!J16</f>
        <v>1487</v>
      </c>
      <c r="K12" s="249" t="str">
        <f>'Master escapements'!K16</f>
        <v>-</v>
      </c>
      <c r="M12" s="304"/>
      <c r="N12" s="304"/>
      <c r="O12" s="304"/>
    </row>
    <row r="13" spans="1:15" x14ac:dyDescent="0.2">
      <c r="A13" s="244">
        <f t="shared" si="0"/>
        <v>1984</v>
      </c>
      <c r="B13" s="249">
        <f>'Master escapements'!B17</f>
        <v>651</v>
      </c>
      <c r="C13" s="249">
        <f>'Master escapements'!C17</f>
        <v>581</v>
      </c>
      <c r="D13" s="249">
        <f>'Master escapements'!D17</f>
        <v>189</v>
      </c>
      <c r="E13" s="249">
        <f>'Master escapements'!E17</f>
        <v>2825</v>
      </c>
      <c r="F13" s="249" t="str">
        <f>'Master escapements'!F17</f>
        <v>-</v>
      </c>
      <c r="G13" s="249" t="str">
        <f>'Master escapements'!G17</f>
        <v>-</v>
      </c>
      <c r="H13" s="249" t="str">
        <f>'Master escapements'!H17</f>
        <v>-</v>
      </c>
      <c r="I13" s="249">
        <f>'Master escapements'!I17</f>
        <v>2062.8587955777002</v>
      </c>
      <c r="J13" s="249">
        <f>'Master escapements'!J17</f>
        <v>1407</v>
      </c>
      <c r="K13" s="249" t="str">
        <f>'Master escapements'!K17</f>
        <v>-</v>
      </c>
      <c r="M13" s="304"/>
      <c r="N13" s="304"/>
      <c r="O13" s="304"/>
    </row>
    <row r="14" spans="1:15" x14ac:dyDescent="0.2">
      <c r="A14" s="244">
        <f t="shared" si="0"/>
        <v>1985</v>
      </c>
      <c r="B14" s="249">
        <f>'Master escapements'!B18</f>
        <v>942</v>
      </c>
      <c r="C14" s="249">
        <f>'Master escapements'!C18</f>
        <v>810</v>
      </c>
      <c r="D14" s="249">
        <f>'Master escapements'!D18</f>
        <v>276</v>
      </c>
      <c r="E14" s="249">
        <f>'Master escapements'!E18</f>
        <v>6169</v>
      </c>
      <c r="F14" s="249" t="str">
        <f>'Master escapements'!F18</f>
        <v>-</v>
      </c>
      <c r="G14" s="249" t="str">
        <f>'Master escapements'!G18</f>
        <v>-</v>
      </c>
      <c r="H14" s="249">
        <f>'Master escapements'!H18</f>
        <v>2324</v>
      </c>
      <c r="I14" s="249">
        <f>'Master escapements'!I18</f>
        <v>1245.8850151473785</v>
      </c>
      <c r="J14" s="249">
        <f>'Master escapements'!J18</f>
        <v>903</v>
      </c>
      <c r="K14" s="249" t="str">
        <f>'Master escapements'!K18</f>
        <v>-</v>
      </c>
      <c r="M14" s="304"/>
      <c r="N14" s="304"/>
      <c r="O14" s="304"/>
    </row>
    <row r="15" spans="1:15" x14ac:dyDescent="0.2">
      <c r="A15" s="244">
        <f t="shared" si="0"/>
        <v>1986</v>
      </c>
      <c r="B15" s="249">
        <f>'Master escapements'!B19</f>
        <v>454</v>
      </c>
      <c r="C15" s="249">
        <f>'Master escapements'!C19</f>
        <v>60</v>
      </c>
      <c r="D15" s="249">
        <f>'Master escapements'!D19</f>
        <v>363</v>
      </c>
      <c r="E15" s="249">
        <f>'Master escapements'!E19</f>
        <v>1752</v>
      </c>
      <c r="F15" s="249" t="str">
        <f>'Master escapements'!F19</f>
        <v>-</v>
      </c>
      <c r="G15" s="249" t="str">
        <f>'Master escapements'!G19</f>
        <v>-</v>
      </c>
      <c r="H15" s="249">
        <f>'Master escapements'!H19</f>
        <v>1552</v>
      </c>
      <c r="I15" s="249">
        <f>'Master escapements'!I19</f>
        <v>701.94667538311569</v>
      </c>
      <c r="J15" s="249">
        <f>'Master escapements'!J19</f>
        <v>1782</v>
      </c>
      <c r="K15" s="249" t="str">
        <f>'Master escapements'!K19</f>
        <v>-</v>
      </c>
      <c r="M15" s="304"/>
      <c r="N15" s="304"/>
      <c r="O15" s="304"/>
    </row>
    <row r="16" spans="1:15" x14ac:dyDescent="0.2">
      <c r="A16" s="244">
        <f t="shared" si="0"/>
        <v>1987</v>
      </c>
      <c r="B16" s="249">
        <f>'Master escapements'!B20</f>
        <v>668</v>
      </c>
      <c r="C16" s="249">
        <f>'Master escapements'!C20</f>
        <v>314</v>
      </c>
      <c r="D16" s="249">
        <f>'Master escapements'!D20</f>
        <v>204</v>
      </c>
      <c r="E16" s="249">
        <f>'Master escapements'!E20</f>
        <v>3260</v>
      </c>
      <c r="F16" s="249">
        <f>'Master escapements'!F20</f>
        <v>37432.148331849698</v>
      </c>
      <c r="G16" s="249">
        <f>'Master escapements'!G20</f>
        <v>55457</v>
      </c>
      <c r="H16" s="249">
        <f>'Master escapements'!H20</f>
        <v>1694</v>
      </c>
      <c r="I16" s="249">
        <f>'Master escapements'!I20</f>
        <v>293.01983987605763</v>
      </c>
      <c r="J16" s="249">
        <f>'Master escapements'!J20</f>
        <v>1117</v>
      </c>
      <c r="K16" s="249">
        <f>'Master escapements'!K20</f>
        <v>4791.7310554409642</v>
      </c>
      <c r="M16" s="304"/>
      <c r="N16" s="304"/>
      <c r="O16" s="304"/>
    </row>
    <row r="17" spans="1:15" x14ac:dyDescent="0.2">
      <c r="A17" s="244">
        <f t="shared" si="0"/>
        <v>1988</v>
      </c>
      <c r="B17" s="249">
        <f>'Master escapements'!B21</f>
        <v>756</v>
      </c>
      <c r="C17" s="249">
        <f>'Master escapements'!C21</f>
        <v>164</v>
      </c>
      <c r="D17" s="249">
        <f>'Master escapements'!D21</f>
        <v>542</v>
      </c>
      <c r="E17" s="249">
        <f>'Master escapements'!E21</f>
        <v>2724</v>
      </c>
      <c r="F17" s="249">
        <f>'Master escapements'!F21</f>
        <v>29495.053088079232</v>
      </c>
      <c r="G17" s="249">
        <f>'Master escapements'!G21</f>
        <v>39450</v>
      </c>
      <c r="H17" s="249">
        <f>'Master escapements'!H21</f>
        <v>3119</v>
      </c>
      <c r="I17" s="249">
        <f>'Master escapements'!I21</f>
        <v>402.6513632086486</v>
      </c>
      <c r="J17" s="249">
        <f>'Master escapements'!J21</f>
        <v>513</v>
      </c>
      <c r="K17" s="249">
        <f>'Master escapements'!K21</f>
        <v>5007</v>
      </c>
      <c r="M17" s="304"/>
      <c r="N17" s="304"/>
      <c r="O17" s="304"/>
    </row>
    <row r="18" spans="1:15" x14ac:dyDescent="0.2">
      <c r="A18" s="244">
        <f t="shared" si="0"/>
        <v>1989</v>
      </c>
      <c r="B18" s="249">
        <f>'Master escapements'!B22</f>
        <v>502</v>
      </c>
      <c r="C18" s="249">
        <f>'Master escapements'!C22</f>
        <v>566</v>
      </c>
      <c r="D18" s="249">
        <f>'Master escapements'!D22</f>
        <v>242</v>
      </c>
      <c r="E18" s="249">
        <f>'Master escapements'!E22</f>
        <v>7509</v>
      </c>
      <c r="F18" s="249">
        <f>'Master escapements'!F22</f>
        <v>48833.314804892871</v>
      </c>
      <c r="G18" s="249">
        <f>'Master escapements'!G22</f>
        <v>56808</v>
      </c>
      <c r="H18" s="249">
        <f>'Master escapements'!H22</f>
        <v>2176</v>
      </c>
      <c r="I18" s="249">
        <f>'Master escapements'!I22</f>
        <v>576.25829154790063</v>
      </c>
      <c r="J18" s="249">
        <f>'Master escapements'!J22</f>
        <v>433</v>
      </c>
      <c r="K18" s="249">
        <f>'Master escapements'!K22</f>
        <v>6761</v>
      </c>
      <c r="M18" s="304"/>
      <c r="N18" s="304"/>
      <c r="O18" s="304"/>
    </row>
    <row r="19" spans="1:15" x14ac:dyDescent="0.2">
      <c r="A19" s="244">
        <f t="shared" si="0"/>
        <v>1990</v>
      </c>
      <c r="B19" s="249">
        <f>'Master escapements'!B23</f>
        <v>697</v>
      </c>
      <c r="C19" s="249">
        <f>'Master escapements'!C23</f>
        <v>1711</v>
      </c>
      <c r="D19" s="249">
        <f>'Master escapements'!D23</f>
        <v>324</v>
      </c>
      <c r="E19" s="249">
        <f>'Master escapements'!E23</f>
        <v>11050</v>
      </c>
      <c r="F19" s="249">
        <f>'Master escapements'!F23</f>
        <v>79807</v>
      </c>
      <c r="G19" s="249">
        <f>'Master escapements'!G23</f>
        <v>72196</v>
      </c>
      <c r="H19" s="249">
        <f>'Master escapements'!H23</f>
        <v>2192</v>
      </c>
      <c r="I19" s="249">
        <f>'Master escapements'!I23</f>
        <v>566</v>
      </c>
      <c r="J19" s="249">
        <f>'Master escapements'!J23</f>
        <v>870</v>
      </c>
      <c r="K19" s="249">
        <f>'Master escapements'!K23</f>
        <v>3443.5916335040192</v>
      </c>
      <c r="M19" s="304"/>
      <c r="N19" s="304"/>
      <c r="O19" s="304"/>
    </row>
    <row r="20" spans="1:15" x14ac:dyDescent="0.2">
      <c r="A20" s="244">
        <f t="shared" si="0"/>
        <v>1991</v>
      </c>
      <c r="B20" s="249">
        <f>'Master escapements'!B24</f>
        <v>808</v>
      </c>
      <c r="C20" s="249">
        <f>'Master escapements'!C24</f>
        <v>1415</v>
      </c>
      <c r="D20" s="249">
        <f>'Master escapements'!D24</f>
        <v>410</v>
      </c>
      <c r="E20" s="249">
        <f>'Master escapements'!E24</f>
        <v>11530</v>
      </c>
      <c r="F20" s="249">
        <f>'Master escapements'!F24</f>
        <v>84516.611642352465</v>
      </c>
      <c r="G20" s="249">
        <f>'Master escapements'!G24</f>
        <v>127484</v>
      </c>
      <c r="H20" s="249">
        <f>'Master escapements'!H24</f>
        <v>2761</v>
      </c>
      <c r="I20" s="249">
        <f>'Master escapements'!I24</f>
        <v>1510</v>
      </c>
      <c r="J20" s="249">
        <f>'Master escapements'!J24</f>
        <v>1836</v>
      </c>
      <c r="K20" s="249">
        <f>'Master escapements'!K24</f>
        <v>5721</v>
      </c>
      <c r="M20" s="304"/>
      <c r="N20" s="304"/>
      <c r="O20" s="304"/>
    </row>
    <row r="21" spans="1:15" x14ac:dyDescent="0.2">
      <c r="A21" s="244">
        <f t="shared" si="0"/>
        <v>1992</v>
      </c>
      <c r="B21" s="249">
        <f>'Master escapements'!B25</f>
        <v>1020</v>
      </c>
      <c r="C21" s="249">
        <f>'Master escapements'!C25</f>
        <v>2512</v>
      </c>
      <c r="D21" s="249">
        <f>'Master escapements'!D25</f>
        <v>403</v>
      </c>
      <c r="E21" s="249">
        <f>'Master escapements'!E25</f>
        <v>15300</v>
      </c>
      <c r="F21" s="249">
        <f>'Master escapements'!F25</f>
        <v>77588.469183807058</v>
      </c>
      <c r="G21" s="249">
        <f>'Master escapements'!G25</f>
        <v>83729</v>
      </c>
      <c r="H21" s="249">
        <f>'Master escapements'!H25</f>
        <v>3866</v>
      </c>
      <c r="I21" s="249">
        <f>'Master escapements'!I25</f>
        <v>1899</v>
      </c>
      <c r="J21" s="249">
        <f>'Master escapements'!J25</f>
        <v>1426</v>
      </c>
      <c r="K21" s="249">
        <f>'Master escapements'!K25</f>
        <v>7017</v>
      </c>
      <c r="M21" s="304"/>
      <c r="N21" s="304"/>
      <c r="O21" s="304"/>
    </row>
    <row r="22" spans="1:15" x14ac:dyDescent="0.2">
      <c r="A22" s="244">
        <f t="shared" si="0"/>
        <v>1993</v>
      </c>
      <c r="B22" s="249">
        <f>'Master escapements'!B26</f>
        <v>859</v>
      </c>
      <c r="C22" s="249">
        <f>'Master escapements'!C26</f>
        <v>1352</v>
      </c>
      <c r="D22" s="249">
        <f>'Master escapements'!D26</f>
        <v>112</v>
      </c>
      <c r="E22" s="249">
        <f>'Master escapements'!E26</f>
        <v>15670</v>
      </c>
      <c r="F22" s="249">
        <f>'Master escapements'!F26</f>
        <v>58216.575707485921</v>
      </c>
      <c r="G22" s="249">
        <f>'Master escapements'!G26</f>
        <v>119330</v>
      </c>
      <c r="H22" s="249">
        <f>'Master escapements'!H26</f>
        <v>4202</v>
      </c>
      <c r="I22" s="249">
        <f>'Master escapements'!I26</f>
        <v>1716.3150783224742</v>
      </c>
      <c r="J22" s="249">
        <f>'Master escapements'!J26</f>
        <v>832</v>
      </c>
      <c r="K22" s="249">
        <f>'Master escapements'!K26</f>
        <v>7270</v>
      </c>
      <c r="M22" s="304"/>
      <c r="N22" s="304"/>
      <c r="O22" s="304"/>
    </row>
    <row r="23" spans="1:15" x14ac:dyDescent="0.2">
      <c r="A23" s="244">
        <f t="shared" si="0"/>
        <v>1994</v>
      </c>
      <c r="B23" s="249">
        <f>'Master escapements'!B27</f>
        <v>1437</v>
      </c>
      <c r="C23" s="249">
        <f>'Master escapements'!C27</f>
        <v>1829</v>
      </c>
      <c r="D23" s="249">
        <f>'Master escapements'!D27</f>
        <v>318</v>
      </c>
      <c r="E23" s="249">
        <f>'Master escapements'!E27</f>
        <v>15920</v>
      </c>
      <c r="F23" s="249">
        <f>'Master escapements'!F27</f>
        <v>194425.20171286893</v>
      </c>
      <c r="G23" s="249">
        <f>'Master escapements'!G27</f>
        <v>96343</v>
      </c>
      <c r="H23" s="249">
        <f>'Master escapements'!H27</f>
        <v>3227</v>
      </c>
      <c r="I23" s="249">
        <f>'Master escapements'!I27</f>
        <v>1965</v>
      </c>
      <c r="J23" s="249">
        <f>'Master escapements'!J27</f>
        <v>1753</v>
      </c>
      <c r="K23" s="249">
        <f>'Master escapements'!K27</f>
        <v>8690</v>
      </c>
      <c r="M23" s="304"/>
      <c r="N23" s="304"/>
      <c r="O23" s="304"/>
    </row>
    <row r="24" spans="1:15" x14ac:dyDescent="0.2">
      <c r="A24" s="244">
        <f t="shared" si="0"/>
        <v>1995</v>
      </c>
      <c r="B24" s="249">
        <f>'Master escapements'!B28</f>
        <v>460</v>
      </c>
      <c r="C24" s="249">
        <f>'Master escapements'!C28</f>
        <v>600</v>
      </c>
      <c r="D24" s="249">
        <f>'Master escapements'!D28</f>
        <v>277</v>
      </c>
      <c r="E24" s="249">
        <f>'Master escapements'!E28</f>
        <v>4945</v>
      </c>
      <c r="F24" s="249">
        <f>'Master escapements'!F28</f>
        <v>56736.778289155831</v>
      </c>
      <c r="G24" s="249">
        <f>'Master escapements'!G28</f>
        <v>55710</v>
      </c>
      <c r="H24" s="249">
        <f>'Master escapements'!H28</f>
        <v>2446</v>
      </c>
      <c r="I24" s="249">
        <f>'Master escapements'!I28</f>
        <v>1487</v>
      </c>
      <c r="J24" s="249">
        <f>'Master escapements'!J28</f>
        <v>1781</v>
      </c>
      <c r="K24" s="249">
        <f>'Master escapements'!K28</f>
        <v>8627</v>
      </c>
      <c r="M24" s="304"/>
      <c r="N24" s="304"/>
      <c r="O24" s="304"/>
    </row>
    <row r="25" spans="1:15" x14ac:dyDescent="0.2">
      <c r="A25" s="244">
        <f t="shared" si="0"/>
        <v>1996</v>
      </c>
      <c r="B25" s="249">
        <f>'Master escapements'!B29</f>
        <v>515</v>
      </c>
      <c r="C25" s="249">
        <f>'Master escapements'!C29</f>
        <v>798</v>
      </c>
      <c r="D25" s="249">
        <f>'Master escapements'!D29</f>
        <v>263</v>
      </c>
      <c r="E25" s="249">
        <f>'Master escapements'!E29</f>
        <v>6050</v>
      </c>
      <c r="F25" s="249">
        <f>'Master escapements'!F29</f>
        <v>37331.253053327193</v>
      </c>
      <c r="G25" s="249">
        <f>'Master escapements'!G29</f>
        <v>44635</v>
      </c>
      <c r="H25" s="249">
        <f>'Master escapements'!H29</f>
        <v>2500</v>
      </c>
      <c r="I25" s="249">
        <f>'Master escapements'!I29</f>
        <v>1451</v>
      </c>
      <c r="J25" s="249">
        <f>'Master escapements'!J29</f>
        <v>950</v>
      </c>
      <c r="K25" s="249">
        <f>'Master escapements'!K29</f>
        <v>8831</v>
      </c>
      <c r="M25" s="304"/>
      <c r="N25" s="304"/>
      <c r="O25" s="304"/>
    </row>
    <row r="26" spans="1:15" x14ac:dyDescent="0.2">
      <c r="A26" s="244">
        <f t="shared" si="0"/>
        <v>1997</v>
      </c>
      <c r="B26" s="249">
        <f>'Master escapements'!B30</f>
        <v>609</v>
      </c>
      <c r="C26" s="249">
        <f>'Master escapements'!C30</f>
        <v>1018</v>
      </c>
      <c r="D26" s="249">
        <f>'Master escapements'!D30</f>
        <v>186</v>
      </c>
      <c r="E26" s="249">
        <f>'Master escapements'!E30</f>
        <v>10050</v>
      </c>
      <c r="F26" s="249">
        <f>'Master escapements'!F30</f>
        <v>43519.496802707559</v>
      </c>
      <c r="G26" s="249">
        <f>'Master escapements'!G30</f>
        <v>32345</v>
      </c>
      <c r="H26" s="249">
        <f>'Master escapements'!H30</f>
        <v>4718</v>
      </c>
      <c r="I26" s="249">
        <f>'Master escapements'!I30</f>
        <v>809</v>
      </c>
      <c r="J26" s="249">
        <f>'Master escapements'!J30</f>
        <v>732</v>
      </c>
      <c r="K26" s="249">
        <f>'Master escapements'!K30</f>
        <v>5024.9558480428277</v>
      </c>
      <c r="M26" s="304"/>
      <c r="N26" s="304"/>
      <c r="O26" s="304"/>
    </row>
    <row r="27" spans="1:15" x14ac:dyDescent="0.2">
      <c r="A27" s="244">
        <f t="shared" si="0"/>
        <v>1998</v>
      </c>
      <c r="B27" s="249">
        <f>'Master escapements'!B31</f>
        <v>862</v>
      </c>
      <c r="C27" s="249">
        <f>'Master escapements'!C31</f>
        <v>1160</v>
      </c>
      <c r="D27" s="249">
        <f>'Master escapements'!D31</f>
        <v>102</v>
      </c>
      <c r="E27" s="249">
        <f>'Master escapements'!E31</f>
        <v>6802</v>
      </c>
      <c r="F27" s="249">
        <f>'Master escapements'!F31</f>
        <v>50758</v>
      </c>
      <c r="G27" s="249">
        <f>'Master escapements'!G31</f>
        <v>61382</v>
      </c>
      <c r="H27" s="249">
        <f>'Master escapements'!H31</f>
        <v>7049</v>
      </c>
      <c r="I27" s="249">
        <f>'Master escapements'!I31</f>
        <v>1242</v>
      </c>
      <c r="J27" s="249">
        <f>'Master escapements'!J31</f>
        <v>983</v>
      </c>
      <c r="K27" s="249">
        <f>'Master escapements'!K31</f>
        <v>7094.5375401263209</v>
      </c>
      <c r="M27" s="304"/>
      <c r="N27" s="304"/>
      <c r="O27" s="304"/>
    </row>
    <row r="28" spans="1:15" x14ac:dyDescent="0.2">
      <c r="A28" s="244">
        <f t="shared" si="0"/>
        <v>1999</v>
      </c>
      <c r="B28" s="249">
        <f>'Master escapements'!B32</f>
        <v>845</v>
      </c>
      <c r="C28" s="249">
        <f>'Master escapements'!C32</f>
        <v>1000</v>
      </c>
      <c r="D28" s="249">
        <f>'Master escapements'!D32</f>
        <v>272</v>
      </c>
      <c r="E28" s="249">
        <f>'Master escapements'!E32</f>
        <v>9920</v>
      </c>
      <c r="F28" s="249">
        <f>'Master escapements'!F32</f>
        <v>57140.359403245857</v>
      </c>
      <c r="G28" s="249">
        <f>'Master escapements'!G32</f>
        <v>60768</v>
      </c>
      <c r="H28" s="249">
        <f>'Master escapements'!H32</f>
        <v>3800</v>
      </c>
      <c r="I28" s="249">
        <f>'Master escapements'!I32</f>
        <v>775.58397313770752</v>
      </c>
      <c r="J28" s="249">
        <f>'Master escapements'!J32</f>
        <v>1246</v>
      </c>
      <c r="K28" s="249">
        <f>'Master escapements'!K32</f>
        <v>8038</v>
      </c>
      <c r="M28" s="304"/>
      <c r="N28" s="304"/>
      <c r="O28" s="304"/>
    </row>
    <row r="29" spans="1:15" ht="13.9" customHeight="1" x14ac:dyDescent="0.2">
      <c r="A29" s="244">
        <f t="shared" si="0"/>
        <v>2000</v>
      </c>
      <c r="B29" s="249">
        <f>'Master escapements'!B33</f>
        <v>683</v>
      </c>
      <c r="C29" s="249">
        <f>'Master escapements'!C33</f>
        <v>961</v>
      </c>
      <c r="D29" s="249">
        <f>'Master escapements'!D33</f>
        <v>202</v>
      </c>
      <c r="E29" s="249">
        <f>'Master escapements'!E33</f>
        <v>10650</v>
      </c>
      <c r="F29" s="249">
        <f>'Master escapements'!F33</f>
        <v>84843</v>
      </c>
      <c r="G29" s="249">
        <f>'Master escapements'!G33</f>
        <v>64700</v>
      </c>
      <c r="H29" s="249">
        <f>'Master escapements'!H33</f>
        <v>2304</v>
      </c>
      <c r="I29" s="249">
        <f>'Master escapements'!I33</f>
        <v>803</v>
      </c>
      <c r="J29" s="249">
        <f>'Master escapements'!J33</f>
        <v>600</v>
      </c>
      <c r="K29" s="249">
        <f>'Master escapements'!K33</f>
        <v>8634</v>
      </c>
      <c r="M29" s="304"/>
      <c r="N29" s="304"/>
      <c r="O29" s="304"/>
    </row>
    <row r="30" spans="1:15" x14ac:dyDescent="0.2">
      <c r="A30" s="244">
        <f t="shared" si="0"/>
        <v>2001</v>
      </c>
      <c r="B30" s="249">
        <f>'Master escapements'!B34</f>
        <v>865</v>
      </c>
      <c r="C30" s="249">
        <f>'Master escapements'!C34</f>
        <v>1119</v>
      </c>
      <c r="D30" s="249">
        <f>'Master escapements'!D34</f>
        <v>106</v>
      </c>
      <c r="E30" s="249">
        <f>'Master escapements'!E34</f>
        <v>19290</v>
      </c>
      <c r="F30" s="249">
        <f>'Master escapements'!F34</f>
        <v>107697</v>
      </c>
      <c r="G30" s="249">
        <f>'Master escapements'!G34</f>
        <v>104394</v>
      </c>
      <c r="H30" s="249">
        <f>'Master escapements'!H34</f>
        <v>2209</v>
      </c>
      <c r="I30" s="249">
        <f>'Master escapements'!I34</f>
        <v>1515</v>
      </c>
      <c r="J30" s="249">
        <f>'Master escapements'!J34</f>
        <v>1580</v>
      </c>
      <c r="K30" s="249">
        <f>'Master escapements'!K34</f>
        <v>11267.116943179739</v>
      </c>
      <c r="M30" s="304"/>
      <c r="N30" s="304"/>
      <c r="O30" s="304"/>
    </row>
    <row r="31" spans="1:15" ht="13.9" customHeight="1" x14ac:dyDescent="0.2">
      <c r="A31" s="244">
        <f t="shared" si="0"/>
        <v>2002</v>
      </c>
      <c r="B31" s="249">
        <f>'Master escapements'!B35</f>
        <v>1176</v>
      </c>
      <c r="C31" s="249">
        <f>'Master escapements'!C35</f>
        <v>2448</v>
      </c>
      <c r="D31" s="249">
        <f>'Master escapements'!D35</f>
        <v>195</v>
      </c>
      <c r="E31" s="249">
        <f>'Master escapements'!E35</f>
        <v>27700</v>
      </c>
      <c r="F31" s="249">
        <f>'Master escapements'!F35</f>
        <v>204925</v>
      </c>
      <c r="G31" s="249">
        <f>'Master escapements'!G35</f>
        <v>219360</v>
      </c>
      <c r="H31" s="249">
        <f>'Master escapements'!H35</f>
        <v>7109</v>
      </c>
      <c r="I31" s="249">
        <f>'Master escapements'!I35</f>
        <v>1868</v>
      </c>
      <c r="J31" s="249">
        <f>'Master escapements'!J35</f>
        <v>3291</v>
      </c>
      <c r="K31" s="249">
        <f>'Master escapements'!K35</f>
        <v>12223</v>
      </c>
      <c r="M31" s="304"/>
      <c r="N31" s="304"/>
      <c r="O31" s="304"/>
    </row>
    <row r="32" spans="1:15" ht="13.9" customHeight="1" x14ac:dyDescent="0.2">
      <c r="A32" s="244">
        <v>2003</v>
      </c>
      <c r="B32" s="249">
        <f>'Master escapements'!B36</f>
        <v>585</v>
      </c>
      <c r="C32" s="249">
        <f>'Master escapements'!C36</f>
        <v>808</v>
      </c>
      <c r="D32" s="249">
        <f>'Master escapements'!D36</f>
        <v>203</v>
      </c>
      <c r="E32" s="249">
        <f>'Master escapements'!E36</f>
        <v>10110</v>
      </c>
      <c r="F32" s="249">
        <f>'Master escapements'!F36</f>
        <v>133109</v>
      </c>
      <c r="G32" s="249">
        <f>'Master escapements'!G36</f>
        <v>183112</v>
      </c>
      <c r="H32" s="249">
        <f>'Master escapements'!H36</f>
        <v>6789</v>
      </c>
      <c r="I32" s="249">
        <f>'Master escapements'!I36</f>
        <v>1101</v>
      </c>
      <c r="J32" s="249">
        <f>'Master escapements'!J36</f>
        <v>1510</v>
      </c>
      <c r="K32" s="249">
        <f>'Master escapements'!K36</f>
        <v>11899.091649078884</v>
      </c>
      <c r="M32" s="304"/>
      <c r="N32" s="304"/>
      <c r="O32" s="304"/>
    </row>
    <row r="33" spans="1:23" ht="13.9" customHeight="1" x14ac:dyDescent="0.2">
      <c r="A33" s="244">
        <v>2004</v>
      </c>
      <c r="B33" s="249">
        <f>'Master escapements'!B37</f>
        <v>416</v>
      </c>
      <c r="C33" s="249">
        <f>'Master escapements'!C37</f>
        <v>364</v>
      </c>
      <c r="D33" s="249">
        <f>'Master escapements'!D37</f>
        <v>284</v>
      </c>
      <c r="E33" s="249">
        <f>'Master escapements'!E37</f>
        <v>14450</v>
      </c>
      <c r="F33" s="249">
        <f>'Master escapements'!F37</f>
        <v>67053</v>
      </c>
      <c r="G33" s="249">
        <f>'Master escapements'!G37</f>
        <v>129327</v>
      </c>
      <c r="H33" s="249">
        <f>'Master escapements'!H37</f>
        <v>3539</v>
      </c>
      <c r="I33" s="249">
        <f>'Master escapements'!I37</f>
        <v>1124</v>
      </c>
      <c r="J33" s="249">
        <f>'Master escapements'!J37</f>
        <v>840</v>
      </c>
      <c r="K33" s="249">
        <f>'Master escapements'!K37</f>
        <v>9904</v>
      </c>
      <c r="M33" s="304"/>
      <c r="N33" s="304"/>
      <c r="O33" s="304"/>
    </row>
    <row r="34" spans="1:23" ht="13.9" customHeight="1" x14ac:dyDescent="0.2">
      <c r="A34" s="244">
        <v>2005</v>
      </c>
      <c r="B34" s="249">
        <f>'Master escapements'!B38</f>
        <v>450</v>
      </c>
      <c r="C34" s="249">
        <f>'Master escapements'!C38</f>
        <v>351</v>
      </c>
      <c r="D34" s="249">
        <f>'Master escapements'!D38</f>
        <v>139</v>
      </c>
      <c r="E34" s="249">
        <f>'Master escapements'!E38</f>
        <v>5220</v>
      </c>
      <c r="F34" s="249">
        <f>'Master escapements'!F38</f>
        <v>34575</v>
      </c>
      <c r="G34" s="249">
        <f>'Master escapements'!G38</f>
        <v>135558</v>
      </c>
      <c r="H34" s="249">
        <f>'Master escapements'!H38</f>
        <v>4257</v>
      </c>
      <c r="I34" s="249">
        <f>'Master escapements'!I38</f>
        <v>1668</v>
      </c>
      <c r="J34" s="249">
        <f>'Master escapements'!J38</f>
        <v>1732</v>
      </c>
      <c r="K34" s="249">
        <f>'Master escapements'!K38</f>
        <v>14840</v>
      </c>
      <c r="M34" s="304"/>
      <c r="N34" s="304"/>
      <c r="O34" s="304"/>
    </row>
    <row r="35" spans="1:23" ht="13.9" customHeight="1" x14ac:dyDescent="0.2">
      <c r="A35" s="244">
        <v>2006</v>
      </c>
      <c r="B35" s="249">
        <f>'Master escapements'!B39</f>
        <v>581</v>
      </c>
      <c r="C35" s="249">
        <f>'Master escapements'!C39</f>
        <v>1110</v>
      </c>
      <c r="D35" s="249">
        <f>'Master escapements'!D39</f>
        <v>439</v>
      </c>
      <c r="E35" s="249">
        <f>'Master escapements'!E39</f>
        <v>5470</v>
      </c>
      <c r="F35" s="249">
        <f>'Master escapements'!F39</f>
        <v>79050</v>
      </c>
      <c r="G35" s="249">
        <f>'Master escapements'!G39</f>
        <v>122384</v>
      </c>
      <c r="H35" s="249">
        <f>'Master escapements'!H39</f>
        <v>4737</v>
      </c>
      <c r="I35" s="249">
        <f>'Master escapements'!I39</f>
        <v>2647</v>
      </c>
      <c r="J35" s="249">
        <f>'Master escapements'!J39</f>
        <v>891</v>
      </c>
      <c r="K35" s="249">
        <f>'Master escapements'!K39</f>
        <v>6900.5412233682428</v>
      </c>
      <c r="M35" s="304"/>
      <c r="N35" s="304"/>
      <c r="O35" s="304"/>
    </row>
    <row r="36" spans="1:23" ht="13.9" customHeight="1" x14ac:dyDescent="0.2">
      <c r="A36" s="244">
        <v>2007</v>
      </c>
      <c r="B36" s="249">
        <f>'Master escapements'!B40</f>
        <v>352</v>
      </c>
      <c r="C36" s="249">
        <f>'Master escapements'!C40</f>
        <v>324</v>
      </c>
      <c r="D36" s="249">
        <f>'Master escapements'!D40</f>
        <v>226</v>
      </c>
      <c r="E36" s="249">
        <f>'Master escapements'!E40</f>
        <v>3915</v>
      </c>
      <c r="F36" s="249">
        <f>'Master escapements'!F40</f>
        <v>24770</v>
      </c>
      <c r="G36" s="249">
        <f>'Master escapements'!G40</f>
        <v>74246</v>
      </c>
      <c r="H36" s="249">
        <f>'Master escapements'!H40</f>
        <v>2567</v>
      </c>
      <c r="I36" s="249">
        <f>'Master escapements'!I40</f>
        <v>1066</v>
      </c>
      <c r="J36" s="249">
        <f>'Master escapements'!J40</f>
        <v>1244</v>
      </c>
      <c r="K36" s="249">
        <f>'Master escapements'!K40</f>
        <v>4316.1913188944191</v>
      </c>
      <c r="M36" s="304"/>
      <c r="N36" s="304"/>
      <c r="O36" s="304"/>
    </row>
    <row r="37" spans="1:23" ht="13.9" customHeight="1" x14ac:dyDescent="0.2">
      <c r="A37" s="244">
        <v>2008</v>
      </c>
      <c r="B37" s="249">
        <f>'Master escapements'!B41</f>
        <v>600</v>
      </c>
      <c r="C37" s="249">
        <f>'Master escapements'!C41</f>
        <v>405</v>
      </c>
      <c r="D37" s="249">
        <f>'Master escapements'!D41</f>
        <v>660</v>
      </c>
      <c r="E37" s="249">
        <f>'Master escapements'!E41</f>
        <v>6870</v>
      </c>
      <c r="F37" s="249">
        <f>'Master escapements'!F41</f>
        <v>56369</v>
      </c>
      <c r="G37" s="249">
        <f>'Master escapements'!G41</f>
        <v>95226</v>
      </c>
      <c r="H37" s="249">
        <f>'Master escapements'!H41</f>
        <v>5173</v>
      </c>
      <c r="I37" s="249">
        <f>'Master escapements'!I41</f>
        <v>1117</v>
      </c>
      <c r="J37" s="249">
        <f>'Master escapements'!J41</f>
        <v>1741</v>
      </c>
      <c r="K37" s="249">
        <f>'Master escapements'!K41</f>
        <v>16752.168254747987</v>
      </c>
      <c r="M37" s="304"/>
      <c r="N37" s="304"/>
      <c r="O37" s="304"/>
    </row>
    <row r="38" spans="1:23" ht="13.9" customHeight="1" x14ac:dyDescent="0.2">
      <c r="A38" s="244">
        <v>2009</v>
      </c>
      <c r="B38" s="249">
        <f>'Master escapements'!B42</f>
        <v>360</v>
      </c>
      <c r="C38" s="249">
        <f>'Master escapements'!C42</f>
        <v>698</v>
      </c>
      <c r="D38" s="249">
        <f>'Master escapements'!D42</f>
        <v>123</v>
      </c>
      <c r="E38" s="249">
        <f>'Master escapements'!E42</f>
        <v>4230</v>
      </c>
      <c r="F38" s="249">
        <f>'Master escapements'!F42</f>
        <v>47911</v>
      </c>
      <c r="G38" s="249">
        <f>'Master escapements'!G42</f>
        <v>103950</v>
      </c>
      <c r="H38" s="249">
        <f>'Master escapements'!H42</f>
        <v>2181</v>
      </c>
      <c r="I38" s="249">
        <f>'Master escapements'!I42</f>
        <v>1156</v>
      </c>
      <c r="J38" s="249">
        <f>'Master escapements'!J42</f>
        <v>2281</v>
      </c>
      <c r="K38" s="249">
        <f>'Master escapements'!K42</f>
        <v>8709.9845470338514</v>
      </c>
      <c r="M38" s="304"/>
      <c r="N38" s="304"/>
      <c r="O38" s="304"/>
    </row>
    <row r="39" spans="1:23" ht="13.9" customHeight="1" x14ac:dyDescent="0.2">
      <c r="A39" s="244">
        <v>2010</v>
      </c>
      <c r="B39" s="249">
        <f>'Master escapements'!B43</f>
        <v>417</v>
      </c>
      <c r="C39" s="249">
        <f>'Master escapements'!C43</f>
        <v>630</v>
      </c>
      <c r="D39" s="249">
        <f>'Master escapements'!D43</f>
        <v>467</v>
      </c>
      <c r="E39" s="249">
        <f>'Master escapements'!E43</f>
        <v>7520</v>
      </c>
      <c r="F39" s="249">
        <f>'Master escapements'!F43</f>
        <v>84909</v>
      </c>
      <c r="G39" s="249">
        <f>'Master escapements'!G43</f>
        <v>126830</v>
      </c>
      <c r="H39" s="249">
        <f>'Master escapements'!H43</f>
        <v>1610</v>
      </c>
      <c r="I39" s="249">
        <f>'Master escapements'!I43</f>
        <v>1273</v>
      </c>
      <c r="J39" s="249">
        <f>'Master escapements'!J43</f>
        <v>2878</v>
      </c>
      <c r="K39" s="249">
        <f>'Master escapements'!K43</f>
        <v>4562.5036185839253</v>
      </c>
      <c r="M39" s="304"/>
      <c r="N39" s="304"/>
      <c r="O39" s="304"/>
    </row>
    <row r="40" spans="1:23" ht="13.9" customHeight="1" x14ac:dyDescent="0.2">
      <c r="A40" s="244">
        <v>2011</v>
      </c>
      <c r="B40" s="249">
        <f>'Master escapements'!B44</f>
        <v>517</v>
      </c>
      <c r="C40" s="249">
        <f>'Master escapements'!C44</f>
        <v>709</v>
      </c>
      <c r="D40" s="249">
        <f>'Master escapements'!D44</f>
        <v>138</v>
      </c>
      <c r="E40" s="249">
        <f>'Master escapements'!E44</f>
        <v>6050</v>
      </c>
      <c r="F40" s="249">
        <f>'Master escapements'!F44</f>
        <v>61099</v>
      </c>
      <c r="G40" s="249">
        <f>'Master escapements'!G44</f>
        <v>70871</v>
      </c>
      <c r="H40" s="249">
        <f>'Master escapements'!H44</f>
        <v>1908</v>
      </c>
      <c r="I40" s="249">
        <f>'Master escapements'!I44</f>
        <v>2222</v>
      </c>
      <c r="J40" s="249">
        <f>'Master escapements'!J44</f>
        <v>2137</v>
      </c>
      <c r="K40" s="249">
        <f>'Master escapements'!K44</f>
        <v>5097.7900309938541</v>
      </c>
      <c r="M40">
        <v>2016</v>
      </c>
      <c r="N40">
        <v>204</v>
      </c>
      <c r="O40">
        <v>717</v>
      </c>
      <c r="P40">
        <v>52</v>
      </c>
      <c r="Q40">
        <v>6733</v>
      </c>
      <c r="R40">
        <v>26280</v>
      </c>
      <c r="S40">
        <v>87704</v>
      </c>
      <c r="T40" t="s">
        <v>84</v>
      </c>
      <c r="U40">
        <v>2943</v>
      </c>
      <c r="V40">
        <v>948</v>
      </c>
      <c r="W40">
        <v>13420</v>
      </c>
    </row>
    <row r="41" spans="1:23" ht="13.9" customHeight="1" x14ac:dyDescent="0.2">
      <c r="A41" s="244">
        <v>2012</v>
      </c>
      <c r="B41" s="249">
        <f>'Master escapements'!B45</f>
        <v>837</v>
      </c>
      <c r="C41" s="249">
        <f>'Master escapements'!C45</f>
        <v>394</v>
      </c>
      <c r="D41" s="249">
        <f>'Master escapements'!D45</f>
        <v>190</v>
      </c>
      <c r="E41" s="249">
        <f>'Master escapements'!E45</f>
        <v>5480</v>
      </c>
      <c r="F41" s="249">
        <f>'Master escapements'!F45</f>
        <v>36961</v>
      </c>
      <c r="G41" s="249">
        <f>'Master escapements'!G45</f>
        <v>70775</v>
      </c>
      <c r="H41" s="249">
        <f>'Master escapements'!H45</f>
        <v>2282</v>
      </c>
      <c r="I41" s="249">
        <f>'Master escapements'!I45</f>
        <v>1157</v>
      </c>
      <c r="J41" s="249">
        <f>'Master escapements'!J45</f>
        <v>1908</v>
      </c>
      <c r="K41" s="249">
        <f>'Master escapements'!K45</f>
        <v>11960.137442047555</v>
      </c>
      <c r="M41">
        <v>2017</v>
      </c>
      <c r="N41">
        <v>283</v>
      </c>
      <c r="O41">
        <v>634</v>
      </c>
      <c r="P41">
        <v>20</v>
      </c>
      <c r="Q41">
        <v>7040</v>
      </c>
      <c r="R41">
        <v>34742</v>
      </c>
      <c r="S41">
        <v>57871</v>
      </c>
      <c r="T41" t="s">
        <v>84</v>
      </c>
      <c r="U41">
        <v>1280</v>
      </c>
      <c r="V41">
        <v>1266</v>
      </c>
      <c r="W41">
        <v>11557</v>
      </c>
    </row>
    <row r="42" spans="1:23" ht="13.9" customHeight="1" x14ac:dyDescent="0.2">
      <c r="A42" s="244">
        <v>2013</v>
      </c>
      <c r="B42" s="249">
        <f>'Master escapements'!B46</f>
        <v>736</v>
      </c>
      <c r="C42" s="249">
        <f>'Master escapements'!C46</f>
        <v>367</v>
      </c>
      <c r="D42" s="249">
        <f>'Master escapements'!D46</f>
        <v>126</v>
      </c>
      <c r="E42" s="249">
        <f>'Master escapements'!E46</f>
        <v>6280</v>
      </c>
      <c r="F42" s="249">
        <f>'Master escapements'!F46</f>
        <v>51324</v>
      </c>
      <c r="G42" s="249">
        <f>'Master escapements'!G46</f>
        <v>68117</v>
      </c>
      <c r="H42" s="249">
        <f>'Master escapements'!H46</f>
        <v>1573</v>
      </c>
      <c r="I42" s="249">
        <f>'Master escapements'!I46</f>
        <v>1414</v>
      </c>
      <c r="J42" s="249">
        <f>'Master escapements'!J46</f>
        <v>3048</v>
      </c>
      <c r="K42" s="249">
        <f>'Master escapements'!K46</f>
        <v>11294.848476759547</v>
      </c>
      <c r="M42" s="304"/>
      <c r="N42" s="304"/>
      <c r="O42" s="304"/>
    </row>
    <row r="43" spans="1:23" ht="13.9" customHeight="1" x14ac:dyDescent="0.2">
      <c r="A43" s="244">
        <v>2014</v>
      </c>
      <c r="B43" s="249">
        <f>'Master escapements'!B47</f>
        <v>1533</v>
      </c>
      <c r="C43" s="249">
        <f>'Master escapements'!C47</f>
        <v>911</v>
      </c>
      <c r="D43" s="249">
        <f>'Master escapements'!D47</f>
        <v>284</v>
      </c>
      <c r="E43" s="249">
        <f>'Master escapements'!E47</f>
        <v>15480</v>
      </c>
      <c r="F43" s="249">
        <f>'Master escapements'!F47</f>
        <v>130200</v>
      </c>
      <c r="G43" s="249">
        <f>'Master escapements'!G47</f>
        <v>124171</v>
      </c>
      <c r="H43" s="249">
        <f>'Master escapements'!H47</f>
        <v>3025</v>
      </c>
      <c r="I43" s="249">
        <f>'Master escapements'!I47</f>
        <v>2161</v>
      </c>
      <c r="J43" s="249">
        <f>'Master escapements'!J47</f>
        <v>4110</v>
      </c>
      <c r="K43" s="249">
        <f>'Master escapements'!K47</f>
        <v>16674.889312790467</v>
      </c>
      <c r="M43" s="304"/>
      <c r="N43" s="304"/>
      <c r="O43" s="304"/>
    </row>
    <row r="44" spans="1:23" ht="13.9" customHeight="1" x14ac:dyDescent="0.2">
      <c r="A44" s="244">
        <v>2015</v>
      </c>
      <c r="B44" s="249">
        <f>'Master escapements'!B48</f>
        <v>517</v>
      </c>
      <c r="C44" s="249">
        <f>'Master escapements'!C48</f>
        <v>1204</v>
      </c>
      <c r="D44" s="249">
        <f>'Master escapements'!D48</f>
        <v>202</v>
      </c>
      <c r="E44" s="249">
        <f>'Master escapements'!E48</f>
        <v>9940</v>
      </c>
      <c r="F44" s="249">
        <f>'Master escapements'!F48</f>
        <v>47372</v>
      </c>
      <c r="G44" s="249">
        <f>'Master escapements'!G48</f>
        <v>60178</v>
      </c>
      <c r="H44" s="249">
        <f>'Master escapements'!H48</f>
        <v>3281</v>
      </c>
      <c r="I44" s="249">
        <f>'Master escapements'!I48</f>
        <v>2244</v>
      </c>
      <c r="J44" s="249">
        <f>'Master escapements'!J48</f>
        <v>956</v>
      </c>
      <c r="K44" s="249">
        <f>'Master escapements'!K48</f>
        <v>10128.133298386627</v>
      </c>
    </row>
    <row r="45" spans="1:23" ht="13.9" customHeight="1" x14ac:dyDescent="0.2">
      <c r="A45" s="244">
        <v>2016</v>
      </c>
      <c r="B45" s="249">
        <f>'Master escapements'!B49</f>
        <v>204</v>
      </c>
      <c r="C45" s="249">
        <f>'Master escapements'!C49</f>
        <v>717</v>
      </c>
      <c r="D45" s="249">
        <f>'Master escapements'!D49</f>
        <v>52</v>
      </c>
      <c r="E45" s="249">
        <f>'Master escapements'!E49</f>
        <v>6733</v>
      </c>
      <c r="F45" s="249">
        <f>'Master escapements'!F49</f>
        <v>26280</v>
      </c>
      <c r="G45" s="249">
        <f>'Master escapements'!G49</f>
        <v>87704</v>
      </c>
      <c r="H45" s="249" t="str">
        <f>'Master escapements'!H49</f>
        <v>-</v>
      </c>
      <c r="I45" s="249">
        <f>'Master escapements'!I49</f>
        <v>2943</v>
      </c>
      <c r="J45" s="249">
        <f>'Master escapements'!J49</f>
        <v>948</v>
      </c>
      <c r="K45" s="249">
        <f>'Master escapements'!K49</f>
        <v>13420</v>
      </c>
    </row>
    <row r="46" spans="1:23" ht="13.9" customHeight="1" x14ac:dyDescent="0.2">
      <c r="A46" s="248">
        <v>2017</v>
      </c>
      <c r="B46" s="246">
        <f>'Master escapements'!B50</f>
        <v>283</v>
      </c>
      <c r="C46" s="246">
        <f>'Master escapements'!C50</f>
        <v>634</v>
      </c>
      <c r="D46" s="246">
        <f>'Master escapements'!D50</f>
        <v>20</v>
      </c>
      <c r="E46" s="246">
        <f>'Master escapements'!E50</f>
        <v>7040</v>
      </c>
      <c r="F46" s="246">
        <f>'Master escapements'!F50</f>
        <v>34482</v>
      </c>
      <c r="G46" s="246">
        <f>'Master escapements'!G50</f>
        <v>57868</v>
      </c>
      <c r="H46" s="246" t="str">
        <f>'Master escapements'!H49</f>
        <v>-</v>
      </c>
      <c r="I46" s="246">
        <f>'Master escapements'!I50</f>
        <v>1280</v>
      </c>
      <c r="J46" s="246">
        <f>'Master escapements'!J50</f>
        <v>1266</v>
      </c>
      <c r="K46" s="246">
        <f>'Master escapements'!K50</f>
        <v>11557</v>
      </c>
    </row>
    <row r="47" spans="1:23" x14ac:dyDescent="0.2">
      <c r="A47" s="244" t="s">
        <v>212</v>
      </c>
      <c r="B47" s="250"/>
      <c r="C47" s="250"/>
      <c r="D47" s="250"/>
      <c r="E47" s="250"/>
      <c r="F47" s="250"/>
      <c r="G47" s="250"/>
      <c r="H47" s="250"/>
      <c r="I47" s="250"/>
      <c r="J47" s="250"/>
      <c r="K47" s="250"/>
    </row>
    <row r="48" spans="1:23" x14ac:dyDescent="0.2">
      <c r="A48" s="244" t="s">
        <v>7</v>
      </c>
      <c r="B48" s="249">
        <v>200</v>
      </c>
      <c r="C48" s="249">
        <v>400</v>
      </c>
      <c r="D48" s="249">
        <v>100</v>
      </c>
      <c r="E48" s="249">
        <v>4000</v>
      </c>
      <c r="F48" s="249">
        <v>30000</v>
      </c>
      <c r="G48" s="249">
        <v>50000</v>
      </c>
      <c r="H48" s="249">
        <v>1300</v>
      </c>
      <c r="I48" s="249">
        <v>400</v>
      </c>
      <c r="J48" s="249">
        <v>500</v>
      </c>
      <c r="K48" s="249">
        <v>4250</v>
      </c>
    </row>
    <row r="49" spans="1:11" x14ac:dyDescent="0.2">
      <c r="A49" s="248" t="s">
        <v>6</v>
      </c>
      <c r="B49" s="246">
        <v>500</v>
      </c>
      <c r="C49" s="246">
        <v>1200</v>
      </c>
      <c r="D49" s="246">
        <v>250</v>
      </c>
      <c r="E49" s="246">
        <v>9200</v>
      </c>
      <c r="F49" s="246">
        <v>70000</v>
      </c>
      <c r="G49" s="246">
        <v>90000</v>
      </c>
      <c r="H49" s="246">
        <v>2900</v>
      </c>
      <c r="I49" s="246">
        <v>800</v>
      </c>
      <c r="J49" s="246">
        <v>1600</v>
      </c>
      <c r="K49" s="246">
        <v>8500</v>
      </c>
    </row>
    <row r="50" spans="1:11" ht="15.75" x14ac:dyDescent="0.2">
      <c r="A50" s="244" t="s">
        <v>211</v>
      </c>
    </row>
    <row r="51" spans="1:11" ht="15.75" x14ac:dyDescent="0.2">
      <c r="A51" s="244" t="s">
        <v>210</v>
      </c>
    </row>
    <row r="52" spans="1:11" ht="15.75" x14ac:dyDescent="0.2">
      <c r="A52" s="273" t="s">
        <v>209</v>
      </c>
    </row>
    <row r="53" spans="1:11" ht="15.75" x14ac:dyDescent="0.2">
      <c r="A53" s="244" t="s">
        <v>208</v>
      </c>
    </row>
  </sheetData>
  <pageMargins left="1.01"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44"/>
  <sheetViews>
    <sheetView showGridLines="0" topLeftCell="A38" zoomScale="85" zoomScaleNormal="85" workbookViewId="0">
      <selection activeCell="K66" sqref="K66"/>
    </sheetView>
  </sheetViews>
  <sheetFormatPr defaultRowHeight="12.75" x14ac:dyDescent="0.2"/>
  <cols>
    <col min="1" max="16384" width="9.140625" style="227"/>
  </cols>
  <sheetData>
    <row r="1" spans="1:36" x14ac:dyDescent="0.2">
      <c r="A1" s="227" t="s">
        <v>186</v>
      </c>
    </row>
    <row r="3" spans="1:36" x14ac:dyDescent="0.2">
      <c r="Y3" s="227" t="s">
        <v>92</v>
      </c>
    </row>
    <row r="5" spans="1:36" x14ac:dyDescent="0.2">
      <c r="AA5" s="227" t="s">
        <v>207</v>
      </c>
    </row>
    <row r="6" spans="1:36" x14ac:dyDescent="0.2">
      <c r="C6" s="227" t="s">
        <v>206</v>
      </c>
      <c r="Q6" s="227" t="s">
        <v>205</v>
      </c>
      <c r="T6" s="278" t="s">
        <v>205</v>
      </c>
      <c r="AA6" s="227" t="s">
        <v>204</v>
      </c>
    </row>
    <row r="7" spans="1:36" x14ac:dyDescent="0.2">
      <c r="B7" s="227" t="s">
        <v>203</v>
      </c>
      <c r="C7" s="227" t="s">
        <v>197</v>
      </c>
      <c r="D7" s="227" t="s">
        <v>7</v>
      </c>
      <c r="E7" s="227" t="s">
        <v>6</v>
      </c>
      <c r="G7" s="227" t="s">
        <v>202</v>
      </c>
      <c r="H7" s="227" t="s">
        <v>197</v>
      </c>
      <c r="I7" s="227" t="s">
        <v>7</v>
      </c>
      <c r="J7" s="227" t="s">
        <v>6</v>
      </c>
      <c r="L7" s="227" t="s">
        <v>201</v>
      </c>
      <c r="M7" s="227" t="s">
        <v>197</v>
      </c>
      <c r="N7" s="227" t="s">
        <v>7</v>
      </c>
      <c r="O7" s="227" t="s">
        <v>6</v>
      </c>
      <c r="Q7" s="240" t="s">
        <v>95</v>
      </c>
      <c r="R7" s="227" t="s">
        <v>197</v>
      </c>
      <c r="T7" s="277" t="s">
        <v>200</v>
      </c>
      <c r="V7" s="227" t="s">
        <v>7</v>
      </c>
      <c r="W7" s="227" t="s">
        <v>6</v>
      </c>
      <c r="Y7" s="277" t="s">
        <v>95</v>
      </c>
      <c r="AA7" s="240" t="s">
        <v>199</v>
      </c>
      <c r="AB7" s="227" t="s">
        <v>197</v>
      </c>
      <c r="AC7" s="227" t="s">
        <v>7</v>
      </c>
      <c r="AD7" s="227" t="s">
        <v>6</v>
      </c>
      <c r="AF7" s="227" t="s">
        <v>198</v>
      </c>
      <c r="AG7" s="227" t="s">
        <v>197</v>
      </c>
      <c r="AH7" s="227" t="s">
        <v>7</v>
      </c>
      <c r="AI7" s="227" t="s">
        <v>6</v>
      </c>
    </row>
    <row r="8" spans="1:36" s="274" customFormat="1" x14ac:dyDescent="0.2">
      <c r="A8" s="274">
        <v>1980</v>
      </c>
      <c r="B8" s="275">
        <f>'Master escapements'!B13</f>
        <v>698</v>
      </c>
      <c r="C8" s="463">
        <v>634.48540292449491</v>
      </c>
      <c r="D8" s="275">
        <f>'Master goals'!$D$6</f>
        <v>200</v>
      </c>
      <c r="E8" s="275">
        <f>'Master goals'!$E$6</f>
        <v>500</v>
      </c>
      <c r="F8" s="274">
        <v>1980</v>
      </c>
      <c r="G8" s="276" t="str">
        <f>'Master escapements'!C13</f>
        <v>-</v>
      </c>
      <c r="K8" s="274">
        <v>1980</v>
      </c>
      <c r="L8" s="276" t="str">
        <f>'Master escapements'!D13</f>
        <v>-</v>
      </c>
      <c r="P8" s="274">
        <v>1980</v>
      </c>
      <c r="Q8" s="276" t="str">
        <f>'Master escapements'!E13</f>
        <v>-</v>
      </c>
      <c r="S8" s="459">
        <v>1980</v>
      </c>
      <c r="T8" s="274" t="s">
        <v>84</v>
      </c>
      <c r="X8" s="274">
        <v>1980</v>
      </c>
      <c r="Y8" s="274" t="s">
        <v>84</v>
      </c>
      <c r="Z8" s="460">
        <v>1980</v>
      </c>
      <c r="AA8" s="275" t="str">
        <f>'Master escapements'!F13</f>
        <v>-</v>
      </c>
      <c r="AE8" s="274">
        <v>1980</v>
      </c>
      <c r="AF8" s="276" t="str">
        <f>'Master escapements'!G13</f>
        <v>-</v>
      </c>
      <c r="AJ8" s="274">
        <v>1980</v>
      </c>
    </row>
    <row r="9" spans="1:36" s="274" customFormat="1" x14ac:dyDescent="0.2">
      <c r="A9" s="274">
        <v>1981</v>
      </c>
      <c r="B9" s="275">
        <f>'Master escapements'!B14</f>
        <v>646</v>
      </c>
      <c r="C9" s="463">
        <v>627.43568709711269</v>
      </c>
      <c r="D9" s="275">
        <f>'Master goals'!$D$6</f>
        <v>200</v>
      </c>
      <c r="E9" s="275">
        <f>'Master goals'!$E$6</f>
        <v>500</v>
      </c>
      <c r="F9" s="274">
        <v>1981</v>
      </c>
      <c r="G9" s="276">
        <f>'Master escapements'!C14</f>
        <v>227</v>
      </c>
      <c r="H9" s="464">
        <v>350.34537876065792</v>
      </c>
      <c r="I9" s="275">
        <f>'Master goals'!$D$7</f>
        <v>400</v>
      </c>
      <c r="J9" s="275">
        <f>'Master goals'!$E$7</f>
        <v>1200</v>
      </c>
      <c r="K9" s="274">
        <v>1981</v>
      </c>
      <c r="L9" s="276">
        <f>'Master escapements'!D14</f>
        <v>219</v>
      </c>
      <c r="M9" s="465">
        <v>248.77658647993115</v>
      </c>
      <c r="N9" s="275">
        <f>'Master goals'!$D$8</f>
        <v>100</v>
      </c>
      <c r="O9" s="275">
        <f>'Master goals'!$E$8</f>
        <v>250</v>
      </c>
      <c r="P9" s="274">
        <v>1981</v>
      </c>
      <c r="Q9" s="276" t="str">
        <f>'Master escapements'!E14</f>
        <v>-</v>
      </c>
      <c r="S9" s="459">
        <v>1981</v>
      </c>
      <c r="T9" s="274" t="s">
        <v>84</v>
      </c>
      <c r="X9" s="274">
        <v>1981</v>
      </c>
      <c r="Y9" s="274" t="s">
        <v>84</v>
      </c>
      <c r="Z9" s="460">
        <v>1981</v>
      </c>
      <c r="AA9" s="275" t="str">
        <f>'Master escapements'!F14</f>
        <v>-</v>
      </c>
      <c r="AE9" s="274">
        <v>1981</v>
      </c>
      <c r="AF9" s="276" t="str">
        <f>'Master escapements'!G14</f>
        <v>-</v>
      </c>
      <c r="AJ9" s="274">
        <v>1981</v>
      </c>
    </row>
    <row r="10" spans="1:36" s="274" customFormat="1" x14ac:dyDescent="0.2">
      <c r="A10" s="274">
        <v>1982</v>
      </c>
      <c r="B10" s="275">
        <f>'Master escapements'!B15</f>
        <v>447</v>
      </c>
      <c r="C10" s="463">
        <v>630.6093136230146</v>
      </c>
      <c r="D10" s="275">
        <f>'Master goals'!$D$6</f>
        <v>200</v>
      </c>
      <c r="E10" s="275">
        <f>'Master goals'!$E$6</f>
        <v>500</v>
      </c>
      <c r="F10" s="274">
        <v>1982</v>
      </c>
      <c r="G10" s="276">
        <f>'Master escapements'!C15</f>
        <v>545</v>
      </c>
      <c r="H10" s="464">
        <v>449.48488016945714</v>
      </c>
      <c r="I10" s="275">
        <f>'Master goals'!$D$7</f>
        <v>400</v>
      </c>
      <c r="J10" s="275">
        <f>'Master goals'!$E$7</f>
        <v>1200</v>
      </c>
      <c r="K10" s="274">
        <v>1982</v>
      </c>
      <c r="L10" s="276">
        <f>'Master escapements'!D15</f>
        <v>320</v>
      </c>
      <c r="M10" s="465">
        <v>246.38859580859744</v>
      </c>
      <c r="N10" s="275">
        <f>'Master goals'!$D$8</f>
        <v>100</v>
      </c>
      <c r="O10" s="275">
        <f>'Master goals'!$E$8</f>
        <v>250</v>
      </c>
      <c r="P10" s="274">
        <v>1982</v>
      </c>
      <c r="Q10" s="276">
        <f>'Master escapements'!E15</f>
        <v>7505</v>
      </c>
      <c r="R10" s="466">
        <v>8490.504997243992</v>
      </c>
      <c r="S10" s="459">
        <v>1982</v>
      </c>
      <c r="T10" s="274" t="s">
        <v>84</v>
      </c>
      <c r="V10" s="458">
        <v>3600</v>
      </c>
      <c r="W10" s="458">
        <v>8100</v>
      </c>
      <c r="X10" s="274">
        <v>1982</v>
      </c>
      <c r="Y10" s="274" t="s">
        <v>84</v>
      </c>
      <c r="Z10" s="460">
        <v>1982</v>
      </c>
      <c r="AA10" s="275" t="str">
        <f>'Master escapements'!F15</f>
        <v>-</v>
      </c>
      <c r="AE10" s="274">
        <v>1982</v>
      </c>
      <c r="AF10" s="276" t="str">
        <f>'Master escapements'!G15</f>
        <v>-</v>
      </c>
      <c r="AJ10" s="274">
        <v>1982</v>
      </c>
    </row>
    <row r="11" spans="1:36" s="274" customFormat="1" x14ac:dyDescent="0.2">
      <c r="A11" s="274">
        <v>1983</v>
      </c>
      <c r="B11" s="275">
        <f>'Master escapements'!B16</f>
        <v>694</v>
      </c>
      <c r="C11" s="463">
        <v>639.6589791860888</v>
      </c>
      <c r="D11" s="275">
        <f>'Master goals'!$D$6</f>
        <v>200</v>
      </c>
      <c r="E11" s="275">
        <f>'Master goals'!$E$6</f>
        <v>500</v>
      </c>
      <c r="F11" s="274">
        <v>1983</v>
      </c>
      <c r="G11" s="276">
        <f>'Master escapements'!C16</f>
        <v>636</v>
      </c>
      <c r="H11" s="464">
        <v>536.30835176717255</v>
      </c>
      <c r="I11" s="275">
        <f>'Master goals'!$D$7</f>
        <v>400</v>
      </c>
      <c r="J11" s="275">
        <f>'Master goals'!$E$7</f>
        <v>1200</v>
      </c>
      <c r="K11" s="274">
        <v>1983</v>
      </c>
      <c r="L11" s="276">
        <f>'Master escapements'!D16</f>
        <v>219</v>
      </c>
      <c r="M11" s="465">
        <v>248.86011423454553</v>
      </c>
      <c r="N11" s="275">
        <f>'Master goals'!$D$8</f>
        <v>100</v>
      </c>
      <c r="O11" s="275">
        <f>'Master goals'!$E$8</f>
        <v>250</v>
      </c>
      <c r="P11" s="274">
        <v>1983</v>
      </c>
      <c r="Q11" s="276">
        <f>'Master escapements'!E16</f>
        <v>9840</v>
      </c>
      <c r="R11" s="466">
        <v>7107.7704522732984</v>
      </c>
      <c r="S11" s="459">
        <v>1983</v>
      </c>
      <c r="T11" s="274" t="s">
        <v>84</v>
      </c>
      <c r="V11" s="458">
        <v>3600</v>
      </c>
      <c r="W11" s="458">
        <v>8100</v>
      </c>
      <c r="X11" s="274">
        <v>1983</v>
      </c>
      <c r="Y11" s="274" t="s">
        <v>84</v>
      </c>
      <c r="Z11" s="460">
        <v>1983</v>
      </c>
      <c r="AA11" s="275" t="str">
        <f>'Master escapements'!F16</f>
        <v>-</v>
      </c>
      <c r="AE11" s="274">
        <v>1983</v>
      </c>
      <c r="AF11" s="276" t="str">
        <f>'Master escapements'!G16</f>
        <v>-</v>
      </c>
      <c r="AJ11" s="274">
        <v>1983</v>
      </c>
    </row>
    <row r="12" spans="1:36" s="274" customFormat="1" x14ac:dyDescent="0.2">
      <c r="A12" s="274">
        <v>1984</v>
      </c>
      <c r="B12" s="275">
        <f>'Master escapements'!B17</f>
        <v>651</v>
      </c>
      <c r="C12" s="463">
        <v>696.51113749614433</v>
      </c>
      <c r="D12" s="275">
        <f>'Master goals'!$D$6</f>
        <v>200</v>
      </c>
      <c r="E12" s="275">
        <f>'Master goals'!$E$6</f>
        <v>500</v>
      </c>
      <c r="F12" s="274">
        <v>1984</v>
      </c>
      <c r="G12" s="276">
        <f>'Master escapements'!C17</f>
        <v>581</v>
      </c>
      <c r="H12" s="464">
        <v>598.08343920078187</v>
      </c>
      <c r="I12" s="275">
        <f>'Master goals'!$D$7</f>
        <v>400</v>
      </c>
      <c r="J12" s="275">
        <f>'Master goals'!$E$7</f>
        <v>1200</v>
      </c>
      <c r="K12" s="274">
        <v>1984</v>
      </c>
      <c r="L12" s="276">
        <f>'Master escapements'!D17</f>
        <v>189</v>
      </c>
      <c r="M12" s="465">
        <v>249.51357348535953</v>
      </c>
      <c r="N12" s="275">
        <f>'Master goals'!$D$8</f>
        <v>100</v>
      </c>
      <c r="O12" s="275">
        <f>'Master goals'!$E$8</f>
        <v>250</v>
      </c>
      <c r="P12" s="274">
        <v>1984</v>
      </c>
      <c r="Q12" s="276">
        <f>'Master escapements'!E17</f>
        <v>2825</v>
      </c>
      <c r="R12" s="466">
        <v>5796.9119280658488</v>
      </c>
      <c r="S12" s="459">
        <v>1984</v>
      </c>
      <c r="T12" s="274" t="s">
        <v>84</v>
      </c>
      <c r="V12" s="458">
        <v>3600</v>
      </c>
      <c r="W12" s="458">
        <v>8100</v>
      </c>
      <c r="X12" s="274">
        <v>1984</v>
      </c>
      <c r="Y12" s="274" t="s">
        <v>84</v>
      </c>
      <c r="Z12" s="460">
        <v>1984</v>
      </c>
      <c r="AA12" s="275" t="str">
        <f>'Master escapements'!F17</f>
        <v>-</v>
      </c>
      <c r="AE12" s="274">
        <v>1984</v>
      </c>
      <c r="AF12" s="276" t="str">
        <f>'Master escapements'!G17</f>
        <v>-</v>
      </c>
      <c r="AJ12" s="274">
        <v>1984</v>
      </c>
    </row>
    <row r="13" spans="1:36" s="274" customFormat="1" x14ac:dyDescent="0.2">
      <c r="A13" s="274">
        <v>1985</v>
      </c>
      <c r="B13" s="275">
        <f>'Master escapements'!B18</f>
        <v>942</v>
      </c>
      <c r="C13" s="463">
        <v>690.0474670459073</v>
      </c>
      <c r="D13" s="275">
        <f>'Master goals'!$D$6</f>
        <v>200</v>
      </c>
      <c r="E13" s="275">
        <f>'Master goals'!$E$6</f>
        <v>500</v>
      </c>
      <c r="F13" s="274">
        <v>1985</v>
      </c>
      <c r="G13" s="276">
        <f>'Master escapements'!C18</f>
        <v>810</v>
      </c>
      <c r="H13" s="464">
        <v>491.96236497290613</v>
      </c>
      <c r="I13" s="275">
        <f>'Master goals'!$D$7</f>
        <v>400</v>
      </c>
      <c r="J13" s="275">
        <f>'Master goals'!$E$7</f>
        <v>1200</v>
      </c>
      <c r="K13" s="274">
        <v>1985</v>
      </c>
      <c r="L13" s="276">
        <f>'Master escapements'!D18</f>
        <v>276</v>
      </c>
      <c r="M13" s="465">
        <v>263.09303755054236</v>
      </c>
      <c r="N13" s="275">
        <f>'Master goals'!$D$8</f>
        <v>100</v>
      </c>
      <c r="O13" s="275">
        <f>'Master goals'!$E$8</f>
        <v>250</v>
      </c>
      <c r="P13" s="274">
        <v>1985</v>
      </c>
      <c r="Q13" s="276">
        <f>'Master escapements'!E18</f>
        <v>6169</v>
      </c>
      <c r="R13" s="466">
        <v>4255.4327170485194</v>
      </c>
      <c r="S13" s="459">
        <v>1985</v>
      </c>
      <c r="T13" s="274" t="s">
        <v>84</v>
      </c>
      <c r="V13" s="458">
        <v>3600</v>
      </c>
      <c r="W13" s="458">
        <v>8100</v>
      </c>
      <c r="X13" s="274">
        <v>1985</v>
      </c>
      <c r="Y13" s="274" t="s">
        <v>84</v>
      </c>
      <c r="Z13" s="460">
        <v>1985</v>
      </c>
      <c r="AA13" s="275" t="str">
        <f>'Master escapements'!F18</f>
        <v>-</v>
      </c>
      <c r="AE13" s="274">
        <v>1985</v>
      </c>
      <c r="AF13" s="276" t="str">
        <f>'Master escapements'!G18</f>
        <v>-</v>
      </c>
      <c r="AJ13" s="274">
        <v>1985</v>
      </c>
    </row>
    <row r="14" spans="1:36" s="274" customFormat="1" x14ac:dyDescent="0.2">
      <c r="A14" s="274">
        <v>1986</v>
      </c>
      <c r="B14" s="275">
        <f>'Master escapements'!B19</f>
        <v>454</v>
      </c>
      <c r="C14" s="463">
        <v>683.90960269837842</v>
      </c>
      <c r="D14" s="275">
        <f>'Master goals'!$D$6</f>
        <v>200</v>
      </c>
      <c r="E14" s="275">
        <f>'Master goals'!$E$6</f>
        <v>500</v>
      </c>
      <c r="F14" s="274">
        <v>1986</v>
      </c>
      <c r="G14" s="276">
        <f>'Master escapements'!C19</f>
        <v>60</v>
      </c>
      <c r="H14" s="464">
        <v>379.94484554351465</v>
      </c>
      <c r="I14" s="275">
        <f>'Master goals'!$D$7</f>
        <v>400</v>
      </c>
      <c r="J14" s="275">
        <f>'Master goals'!$E$7</f>
        <v>1200</v>
      </c>
      <c r="K14" s="274">
        <v>1986</v>
      </c>
      <c r="L14" s="276">
        <f>'Master escapements'!D19</f>
        <v>363</v>
      </c>
      <c r="M14" s="465">
        <v>300.42941953340284</v>
      </c>
      <c r="N14" s="275">
        <f>'Master goals'!$D$8</f>
        <v>100</v>
      </c>
      <c r="O14" s="275">
        <f>'Master goals'!$E$8</f>
        <v>250</v>
      </c>
      <c r="P14" s="274">
        <v>1986</v>
      </c>
      <c r="Q14" s="276">
        <f>'Master escapements'!E19</f>
        <v>1752</v>
      </c>
      <c r="R14" s="466">
        <v>3475.6948779551876</v>
      </c>
      <c r="S14" s="459">
        <v>1986</v>
      </c>
      <c r="T14" s="274" t="s">
        <v>84</v>
      </c>
      <c r="V14" s="458">
        <v>3600</v>
      </c>
      <c r="W14" s="458">
        <v>8100</v>
      </c>
      <c r="X14" s="274">
        <v>1986</v>
      </c>
      <c r="Y14" s="274" t="s">
        <v>84</v>
      </c>
      <c r="Z14" s="460">
        <v>1986</v>
      </c>
      <c r="AA14" s="275" t="str">
        <f>'Master escapements'!F19</f>
        <v>-</v>
      </c>
      <c r="AE14" s="274">
        <v>1986</v>
      </c>
      <c r="AF14" s="276" t="str">
        <f>'Master escapements'!G19</f>
        <v>-</v>
      </c>
      <c r="AJ14" s="274">
        <v>1986</v>
      </c>
    </row>
    <row r="15" spans="1:36" s="274" customFormat="1" x14ac:dyDescent="0.2">
      <c r="A15" s="274">
        <v>1987</v>
      </c>
      <c r="B15" s="275">
        <f>'Master escapements'!B20</f>
        <v>668</v>
      </c>
      <c r="C15" s="463">
        <v>646.5012472191039</v>
      </c>
      <c r="D15" s="275">
        <f>'Master goals'!$D$6</f>
        <v>200</v>
      </c>
      <c r="E15" s="275">
        <f>'Master goals'!$E$6</f>
        <v>500</v>
      </c>
      <c r="F15" s="274">
        <v>1987</v>
      </c>
      <c r="G15" s="276">
        <f>'Master escapements'!C20</f>
        <v>314</v>
      </c>
      <c r="H15" s="464">
        <v>285.26060129064768</v>
      </c>
      <c r="I15" s="275">
        <f>'Master goals'!$D$7</f>
        <v>400</v>
      </c>
      <c r="J15" s="275">
        <f>'Master goals'!$E$7</f>
        <v>1200</v>
      </c>
      <c r="K15" s="274">
        <v>1987</v>
      </c>
      <c r="L15" s="276">
        <f>'Master escapements'!D20</f>
        <v>204</v>
      </c>
      <c r="M15" s="465">
        <v>342.42956545044717</v>
      </c>
      <c r="N15" s="275">
        <f>'Master goals'!$D$8</f>
        <v>100</v>
      </c>
      <c r="O15" s="275">
        <f>'Master goals'!$E$8</f>
        <v>250</v>
      </c>
      <c r="P15" s="274">
        <v>1987</v>
      </c>
      <c r="Q15" s="276">
        <f>'Master escapements'!E20</f>
        <v>3260</v>
      </c>
      <c r="R15" s="466">
        <v>3452.1342319568375</v>
      </c>
      <c r="S15" s="459">
        <v>1987</v>
      </c>
      <c r="T15" s="274" t="s">
        <v>84</v>
      </c>
      <c r="V15" s="458">
        <v>3600</v>
      </c>
      <c r="W15" s="458">
        <v>8100</v>
      </c>
      <c r="X15" s="274">
        <v>1987</v>
      </c>
      <c r="Y15" s="275">
        <v>1113</v>
      </c>
      <c r="Z15" s="460">
        <v>1987</v>
      </c>
      <c r="AA15" s="275">
        <f>'Master escapements'!F20</f>
        <v>37432.148331849698</v>
      </c>
      <c r="AB15" s="461">
        <v>28253.339572070247</v>
      </c>
      <c r="AC15" s="275">
        <f>'Master goals'!$D$13</f>
        <v>30000</v>
      </c>
      <c r="AD15" s="275">
        <f>'Master goals'!$E$13</f>
        <v>70000</v>
      </c>
      <c r="AE15" s="274">
        <v>1987</v>
      </c>
      <c r="AF15" s="276">
        <f>'Master escapements'!G20</f>
        <v>55457</v>
      </c>
      <c r="AG15" s="462">
        <v>40507.917932976248</v>
      </c>
      <c r="AH15" s="275">
        <f>'Master goals'!$D$5</f>
        <v>50000</v>
      </c>
      <c r="AI15" s="275">
        <f>'Master goals'!$E$5</f>
        <v>90000</v>
      </c>
      <c r="AJ15" s="274">
        <v>1987</v>
      </c>
    </row>
    <row r="16" spans="1:36" s="274" customFormat="1" x14ac:dyDescent="0.2">
      <c r="A16" s="274">
        <v>1988</v>
      </c>
      <c r="B16" s="275">
        <f>'Master escapements'!B21</f>
        <v>756</v>
      </c>
      <c r="C16" s="463">
        <v>632.1966507482673</v>
      </c>
      <c r="D16" s="275">
        <f>'Master goals'!$D$6</f>
        <v>200</v>
      </c>
      <c r="E16" s="275">
        <f>'Master goals'!$E$6</f>
        <v>500</v>
      </c>
      <c r="F16" s="274">
        <v>1988</v>
      </c>
      <c r="G16" s="276">
        <f>'Master escapements'!C21</f>
        <v>164</v>
      </c>
      <c r="H16" s="464">
        <v>449.90271759218331</v>
      </c>
      <c r="I16" s="275">
        <f>'Master goals'!$D$7</f>
        <v>400</v>
      </c>
      <c r="J16" s="275">
        <f>'Master goals'!$E$7</f>
        <v>1200</v>
      </c>
      <c r="K16" s="274">
        <v>1988</v>
      </c>
      <c r="L16" s="276">
        <f>'Master escapements'!D21</f>
        <v>542</v>
      </c>
      <c r="M16" s="465">
        <v>338.70457892907825</v>
      </c>
      <c r="N16" s="275">
        <f>'Master goals'!$D$8</f>
        <v>100</v>
      </c>
      <c r="O16" s="275">
        <f>'Master goals'!$E$8</f>
        <v>250</v>
      </c>
      <c r="P16" s="274">
        <v>1988</v>
      </c>
      <c r="Q16" s="276">
        <f>'Master escapements'!E21</f>
        <v>2724</v>
      </c>
      <c r="R16" s="466">
        <v>4824.024535619963</v>
      </c>
      <c r="S16" s="459">
        <v>1988</v>
      </c>
      <c r="T16" s="274" t="s">
        <v>84</v>
      </c>
      <c r="V16" s="458">
        <v>3600</v>
      </c>
      <c r="W16" s="458">
        <v>8100</v>
      </c>
      <c r="X16" s="274">
        <v>1988</v>
      </c>
      <c r="Y16" s="275">
        <v>877</v>
      </c>
      <c r="Z16" s="460">
        <v>1988</v>
      </c>
      <c r="AA16" s="275">
        <f>'Master escapements'!F21</f>
        <v>29495.053088079232</v>
      </c>
      <c r="AB16" s="461">
        <v>41503.683123769617</v>
      </c>
      <c r="AC16" s="275">
        <f>'Master goals'!$D$13</f>
        <v>30000</v>
      </c>
      <c r="AD16" s="275">
        <f>'Master goals'!$E$13</f>
        <v>70000</v>
      </c>
      <c r="AE16" s="274">
        <v>1988</v>
      </c>
      <c r="AF16" s="276">
        <f>'Master escapements'!G21</f>
        <v>39450</v>
      </c>
      <c r="AG16" s="462">
        <v>52905.439035643518</v>
      </c>
      <c r="AH16" s="275">
        <f>'Master goals'!$D$5</f>
        <v>50000</v>
      </c>
      <c r="AI16" s="275">
        <f>'Master goals'!$E$5</f>
        <v>90000</v>
      </c>
      <c r="AJ16" s="274">
        <v>1988</v>
      </c>
    </row>
    <row r="17" spans="1:36" s="274" customFormat="1" x14ac:dyDescent="0.2">
      <c r="A17" s="274">
        <v>1989</v>
      </c>
      <c r="B17" s="275">
        <f>'Master escapements'!B22</f>
        <v>502</v>
      </c>
      <c r="C17" s="463">
        <v>664.34259630190093</v>
      </c>
      <c r="D17" s="275">
        <f>'Master goals'!$D$6</f>
        <v>200</v>
      </c>
      <c r="E17" s="275">
        <f>'Master goals'!$E$6</f>
        <v>500</v>
      </c>
      <c r="F17" s="274">
        <v>1989</v>
      </c>
      <c r="G17" s="276">
        <f>'Master escapements'!C22</f>
        <v>566</v>
      </c>
      <c r="H17" s="464">
        <v>816.22670058615995</v>
      </c>
      <c r="I17" s="275">
        <f>'Master goals'!$D$7</f>
        <v>400</v>
      </c>
      <c r="J17" s="275">
        <f>'Master goals'!$E$7</f>
        <v>1200</v>
      </c>
      <c r="K17" s="274">
        <v>1989</v>
      </c>
      <c r="L17" s="276">
        <f>'Master escapements'!D22</f>
        <v>242</v>
      </c>
      <c r="M17" s="465">
        <v>352.9463043525439</v>
      </c>
      <c r="N17" s="275">
        <f>'Master goals'!$D$8</f>
        <v>100</v>
      </c>
      <c r="O17" s="275">
        <f>'Master goals'!$E$8</f>
        <v>250</v>
      </c>
      <c r="P17" s="274">
        <v>1989</v>
      </c>
      <c r="Q17" s="276">
        <f>'Master escapements'!E22</f>
        <v>7509</v>
      </c>
      <c r="R17" s="466">
        <v>7167.2440454288999</v>
      </c>
      <c r="S17" s="459">
        <v>1989</v>
      </c>
      <c r="T17" s="275">
        <f>'Berners River'!J102</f>
        <v>9320</v>
      </c>
      <c r="U17" s="468">
        <v>10049.667689019585</v>
      </c>
      <c r="V17" s="458">
        <v>3600</v>
      </c>
      <c r="W17" s="458">
        <v>8100</v>
      </c>
      <c r="X17" s="274">
        <v>1989</v>
      </c>
      <c r="Y17" s="275">
        <v>1452</v>
      </c>
      <c r="Z17" s="460">
        <v>1989</v>
      </c>
      <c r="AA17" s="275">
        <f>'Master escapements'!F22</f>
        <v>48833.314804892871</v>
      </c>
      <c r="AB17" s="461">
        <v>54442.437844461216</v>
      </c>
      <c r="AC17" s="275">
        <f>'Master goals'!$D$13</f>
        <v>30000</v>
      </c>
      <c r="AD17" s="275">
        <f>'Master goals'!$E$13</f>
        <v>70000</v>
      </c>
      <c r="AE17" s="274">
        <v>1989</v>
      </c>
      <c r="AF17" s="276">
        <f>'Master escapements'!G22</f>
        <v>56808</v>
      </c>
      <c r="AG17" s="462">
        <v>66014.082441179722</v>
      </c>
      <c r="AH17" s="275">
        <f>'Master goals'!$D$5</f>
        <v>50000</v>
      </c>
      <c r="AI17" s="275">
        <f>'Master goals'!$E$5</f>
        <v>90000</v>
      </c>
      <c r="AJ17" s="274">
        <v>1989</v>
      </c>
    </row>
    <row r="18" spans="1:36" s="274" customFormat="1" x14ac:dyDescent="0.2">
      <c r="A18" s="274">
        <v>1990</v>
      </c>
      <c r="B18" s="275">
        <f>'Master escapements'!B23</f>
        <v>697</v>
      </c>
      <c r="C18" s="463">
        <v>713.68422986724624</v>
      </c>
      <c r="D18" s="275">
        <f>'Master goals'!$D$6</f>
        <v>200</v>
      </c>
      <c r="E18" s="275">
        <f>'Master goals'!$E$6</f>
        <v>500</v>
      </c>
      <c r="F18" s="274">
        <v>1990</v>
      </c>
      <c r="G18" s="276">
        <f>'Master escapements'!C23</f>
        <v>1711</v>
      </c>
      <c r="H18" s="464">
        <v>1266.9081297379664</v>
      </c>
      <c r="I18" s="275">
        <f>'Master goals'!$D$7</f>
        <v>400</v>
      </c>
      <c r="J18" s="275">
        <f>'Master goals'!$E$7</f>
        <v>1200</v>
      </c>
      <c r="K18" s="274">
        <v>1990</v>
      </c>
      <c r="L18" s="276">
        <f>'Master escapements'!D23</f>
        <v>324</v>
      </c>
      <c r="M18" s="465">
        <v>354.74157228734521</v>
      </c>
      <c r="N18" s="275">
        <f>'Master goals'!$D$8</f>
        <v>100</v>
      </c>
      <c r="O18" s="275">
        <f>'Master goals'!$E$8</f>
        <v>250</v>
      </c>
      <c r="P18" s="274">
        <v>1990</v>
      </c>
      <c r="Q18" s="276">
        <f>'Master escapements'!E23</f>
        <v>11050</v>
      </c>
      <c r="R18" s="466">
        <v>9857.3837780889044</v>
      </c>
      <c r="S18" s="459">
        <v>1990</v>
      </c>
      <c r="T18" s="275">
        <f>'Berners River'!J103</f>
        <v>13715</v>
      </c>
      <c r="U18" s="468">
        <v>12623.506151593501</v>
      </c>
      <c r="V18" s="458">
        <v>3600</v>
      </c>
      <c r="W18" s="458">
        <v>8100</v>
      </c>
      <c r="X18" s="274">
        <v>1990</v>
      </c>
      <c r="Y18" s="275">
        <v>3383</v>
      </c>
      <c r="Z18" s="460">
        <v>1990</v>
      </c>
      <c r="AA18" s="275">
        <f>'Master escapements'!F23</f>
        <v>79807</v>
      </c>
      <c r="AB18" s="461">
        <v>67817.38754624674</v>
      </c>
      <c r="AC18" s="275">
        <f>'Master goals'!$D$13</f>
        <v>30000</v>
      </c>
      <c r="AD18" s="275">
        <f>'Master goals'!$E$13</f>
        <v>70000</v>
      </c>
      <c r="AE18" s="274">
        <v>1990</v>
      </c>
      <c r="AF18" s="276">
        <f>'Master escapements'!G23</f>
        <v>72196</v>
      </c>
      <c r="AG18" s="462">
        <v>80303.339345246452</v>
      </c>
      <c r="AH18" s="275">
        <f>'Master goals'!$D$5</f>
        <v>50000</v>
      </c>
      <c r="AI18" s="275">
        <f>'Master goals'!$E$5</f>
        <v>90000</v>
      </c>
      <c r="AJ18" s="274">
        <v>1990</v>
      </c>
    </row>
    <row r="19" spans="1:36" s="274" customFormat="1" x14ac:dyDescent="0.2">
      <c r="A19" s="274">
        <v>1991</v>
      </c>
      <c r="B19" s="275">
        <f>'Master escapements'!B24</f>
        <v>808</v>
      </c>
      <c r="C19" s="463">
        <v>808.38117951167442</v>
      </c>
      <c r="D19" s="275">
        <f>'Master goals'!$D$6</f>
        <v>200</v>
      </c>
      <c r="E19" s="275">
        <f>'Master goals'!$E$6</f>
        <v>500</v>
      </c>
      <c r="F19" s="274">
        <v>1991</v>
      </c>
      <c r="G19" s="276">
        <f>'Master escapements'!C24</f>
        <v>1415</v>
      </c>
      <c r="H19" s="464">
        <v>1680.8958761547656</v>
      </c>
      <c r="I19" s="275">
        <f>'Master goals'!$D$7</f>
        <v>400</v>
      </c>
      <c r="J19" s="275">
        <f>'Master goals'!$E$7</f>
        <v>1200</v>
      </c>
      <c r="K19" s="274">
        <v>1991</v>
      </c>
      <c r="L19" s="276">
        <f>'Master escapements'!D24</f>
        <v>410</v>
      </c>
      <c r="M19" s="465">
        <v>339.53099061454952</v>
      </c>
      <c r="N19" s="275">
        <f>'Master goals'!$D$8</f>
        <v>100</v>
      </c>
      <c r="O19" s="275">
        <f>'Master goals'!$E$8</f>
        <v>250</v>
      </c>
      <c r="P19" s="274">
        <v>1991</v>
      </c>
      <c r="Q19" s="276">
        <f>'Master escapements'!E24</f>
        <v>11530</v>
      </c>
      <c r="R19" s="466">
        <v>12385.414948808473</v>
      </c>
      <c r="S19" s="459">
        <v>1991</v>
      </c>
      <c r="T19" s="275">
        <f>'Berners River'!J104</f>
        <v>14311</v>
      </c>
      <c r="U19" s="468">
        <v>15139.154233989053</v>
      </c>
      <c r="V19" s="458">
        <v>3600</v>
      </c>
      <c r="W19" s="458">
        <v>8100</v>
      </c>
      <c r="X19" s="274">
        <v>1991</v>
      </c>
      <c r="Y19" s="275">
        <v>2513</v>
      </c>
      <c r="Z19" s="460">
        <v>1991</v>
      </c>
      <c r="AA19" s="275">
        <f>'Master escapements'!F24</f>
        <v>84516.611642352465</v>
      </c>
      <c r="AB19" s="461">
        <v>75331.180725372251</v>
      </c>
      <c r="AC19" s="275">
        <f>'Master goals'!$D$13</f>
        <v>30000</v>
      </c>
      <c r="AD19" s="275">
        <f>'Master goals'!$E$13</f>
        <v>70000</v>
      </c>
      <c r="AE19" s="274">
        <v>1991</v>
      </c>
      <c r="AF19" s="276">
        <f>'Master escapements'!G24</f>
        <v>127484</v>
      </c>
      <c r="AG19" s="462">
        <v>94203.549281419735</v>
      </c>
      <c r="AH19" s="275">
        <f>'Master goals'!$D$5</f>
        <v>50000</v>
      </c>
      <c r="AI19" s="275">
        <f>'Master goals'!$E$5</f>
        <v>90000</v>
      </c>
      <c r="AJ19" s="274">
        <v>1991</v>
      </c>
    </row>
    <row r="20" spans="1:36" s="274" customFormat="1" x14ac:dyDescent="0.2">
      <c r="A20" s="274">
        <v>1992</v>
      </c>
      <c r="B20" s="275">
        <f>'Master escapements'!B25</f>
        <v>1020</v>
      </c>
      <c r="C20" s="463">
        <v>933.77325593034675</v>
      </c>
      <c r="D20" s="275">
        <f>'Master goals'!$D$6</f>
        <v>200</v>
      </c>
      <c r="E20" s="275">
        <f>'Master goals'!$E$6</f>
        <v>500</v>
      </c>
      <c r="F20" s="274">
        <v>1992</v>
      </c>
      <c r="G20" s="276">
        <f>'Master escapements'!C25</f>
        <v>2512</v>
      </c>
      <c r="H20" s="464">
        <v>1784.8576725503963</v>
      </c>
      <c r="I20" s="275">
        <f>'Master goals'!$D$7</f>
        <v>400</v>
      </c>
      <c r="J20" s="275">
        <f>'Master goals'!$E$7</f>
        <v>1200</v>
      </c>
      <c r="K20" s="274">
        <v>1992</v>
      </c>
      <c r="L20" s="276">
        <f>'Master escapements'!D25</f>
        <v>403</v>
      </c>
      <c r="M20" s="465">
        <v>313.77764656001318</v>
      </c>
      <c r="N20" s="275">
        <f>'Master goals'!$D$8</f>
        <v>100</v>
      </c>
      <c r="O20" s="275">
        <f>'Master goals'!$E$8</f>
        <v>250</v>
      </c>
      <c r="P20" s="274">
        <v>1992</v>
      </c>
      <c r="Q20" s="276">
        <f>'Master escapements'!E25</f>
        <v>15300</v>
      </c>
      <c r="R20" s="466">
        <v>14065.093142643398</v>
      </c>
      <c r="S20" s="459">
        <v>1992</v>
      </c>
      <c r="T20" s="275">
        <f>'Berners River'!J105</f>
        <v>18991</v>
      </c>
      <c r="U20" s="468">
        <v>17457.853255982249</v>
      </c>
      <c r="V20" s="458">
        <v>3600</v>
      </c>
      <c r="W20" s="458">
        <v>8100</v>
      </c>
      <c r="X20" s="274">
        <v>1992</v>
      </c>
      <c r="Y20" s="275">
        <v>2307</v>
      </c>
      <c r="Z20" s="460">
        <v>1992</v>
      </c>
      <c r="AA20" s="275">
        <f>'Master escapements'!F25</f>
        <v>77588.469183807058</v>
      </c>
      <c r="AB20" s="461">
        <v>86310.023086190791</v>
      </c>
      <c r="AC20" s="275">
        <f>'Master goals'!$D$13</f>
        <v>30000</v>
      </c>
      <c r="AD20" s="275">
        <f>'Master goals'!$E$13</f>
        <v>70000</v>
      </c>
      <c r="AE20" s="274">
        <v>1992</v>
      </c>
      <c r="AF20" s="276">
        <f>'Master escapements'!G25</f>
        <v>83729</v>
      </c>
      <c r="AG20" s="462">
        <v>104182.8916828662</v>
      </c>
      <c r="AH20" s="275">
        <f>'Master goals'!$D$5</f>
        <v>50000</v>
      </c>
      <c r="AI20" s="275">
        <f>'Master goals'!$E$5</f>
        <v>90000</v>
      </c>
      <c r="AJ20" s="274">
        <v>1992</v>
      </c>
    </row>
    <row r="21" spans="1:36" s="274" customFormat="1" x14ac:dyDescent="0.2">
      <c r="A21" s="274">
        <v>1993</v>
      </c>
      <c r="B21" s="275">
        <f>'Master escapements'!B26</f>
        <v>859</v>
      </c>
      <c r="C21" s="463">
        <v>1003.4446484905494</v>
      </c>
      <c r="D21" s="275">
        <f>'Master goals'!$D$6</f>
        <v>200</v>
      </c>
      <c r="E21" s="275">
        <f>'Master goals'!$E$6</f>
        <v>500</v>
      </c>
      <c r="F21" s="274">
        <v>1993</v>
      </c>
      <c r="G21" s="276">
        <f>'Master escapements'!C26</f>
        <v>1352</v>
      </c>
      <c r="H21" s="464">
        <v>1702.765990978779</v>
      </c>
      <c r="I21" s="275">
        <f>'Master goals'!$D$7</f>
        <v>400</v>
      </c>
      <c r="J21" s="275">
        <f>'Master goals'!$E$7</f>
        <v>1200</v>
      </c>
      <c r="K21" s="274">
        <v>1993</v>
      </c>
      <c r="L21" s="276">
        <f>'Master escapements'!D26</f>
        <v>112</v>
      </c>
      <c r="M21" s="465">
        <v>285.74861780771681</v>
      </c>
      <c r="N21" s="275">
        <f>'Master goals'!$D$8</f>
        <v>100</v>
      </c>
      <c r="O21" s="275">
        <f>'Master goals'!$E$8</f>
        <v>250</v>
      </c>
      <c r="P21" s="274">
        <v>1993</v>
      </c>
      <c r="Q21" s="276">
        <f>'Master escapements'!E26</f>
        <v>15670</v>
      </c>
      <c r="R21" s="466">
        <v>14151.93142284412</v>
      </c>
      <c r="S21" s="459">
        <v>1993</v>
      </c>
      <c r="T21" s="275">
        <f>'Berners River'!J106</f>
        <v>19450</v>
      </c>
      <c r="U21" s="468">
        <v>17565.702694109928</v>
      </c>
      <c r="V21" s="458">
        <v>3600</v>
      </c>
      <c r="W21" s="458">
        <v>8100</v>
      </c>
      <c r="X21" s="274">
        <v>1993</v>
      </c>
      <c r="Y21" s="275">
        <v>1731</v>
      </c>
      <c r="Z21" s="460">
        <v>1993</v>
      </c>
      <c r="AA21" s="275">
        <f>'Master escapements'!F26</f>
        <v>58216.575707485921</v>
      </c>
      <c r="AB21" s="461">
        <v>100588.53937340586</v>
      </c>
      <c r="AC21" s="275">
        <f>'Master goals'!$D$13</f>
        <v>30000</v>
      </c>
      <c r="AD21" s="275">
        <f>'Master goals'!$E$13</f>
        <v>70000</v>
      </c>
      <c r="AE21" s="274">
        <v>1993</v>
      </c>
      <c r="AF21" s="276">
        <f>'Master escapements'!G26</f>
        <v>119330</v>
      </c>
      <c r="AG21" s="462">
        <v>98759.288533182917</v>
      </c>
      <c r="AH21" s="275">
        <f>'Master goals'!$D$5</f>
        <v>50000</v>
      </c>
      <c r="AI21" s="275">
        <f>'Master goals'!$E$5</f>
        <v>90000</v>
      </c>
      <c r="AJ21" s="274">
        <v>1993</v>
      </c>
    </row>
    <row r="22" spans="1:36" s="274" customFormat="1" x14ac:dyDescent="0.2">
      <c r="A22" s="274">
        <v>1994</v>
      </c>
      <c r="B22" s="275">
        <f>'Master escapements'!B27</f>
        <v>1437</v>
      </c>
      <c r="C22" s="463">
        <v>904.34816860098158</v>
      </c>
      <c r="D22" s="275">
        <f>'Master goals'!$D$6</f>
        <v>200</v>
      </c>
      <c r="E22" s="275">
        <f>'Master goals'!$E$6</f>
        <v>500</v>
      </c>
      <c r="F22" s="274">
        <v>1994</v>
      </c>
      <c r="G22" s="276">
        <f>'Master escapements'!C27</f>
        <v>1829</v>
      </c>
      <c r="H22" s="464">
        <v>1356.7874345858017</v>
      </c>
      <c r="I22" s="275">
        <f>'Master goals'!$D$7</f>
        <v>400</v>
      </c>
      <c r="J22" s="275">
        <f>'Master goals'!$E$7</f>
        <v>1200</v>
      </c>
      <c r="K22" s="274">
        <v>1994</v>
      </c>
      <c r="L22" s="276">
        <f>'Master escapements'!D27</f>
        <v>318</v>
      </c>
      <c r="M22" s="465">
        <v>257.67438333260975</v>
      </c>
      <c r="N22" s="275">
        <f>'Master goals'!$D$8</f>
        <v>100</v>
      </c>
      <c r="O22" s="275">
        <f>'Master goals'!$E$8</f>
        <v>250</v>
      </c>
      <c r="P22" s="274">
        <v>1994</v>
      </c>
      <c r="Q22" s="276">
        <f>'Master escapements'!E27</f>
        <v>15920</v>
      </c>
      <c r="R22" s="466">
        <v>11992.505798842078</v>
      </c>
      <c r="S22" s="459">
        <v>1994</v>
      </c>
      <c r="T22" s="275">
        <f>'Berners River'!J107</f>
        <v>19760</v>
      </c>
      <c r="U22" s="468">
        <v>14885.333508884276</v>
      </c>
      <c r="V22" s="458">
        <v>3600</v>
      </c>
      <c r="W22" s="458">
        <v>8100</v>
      </c>
      <c r="X22" s="274">
        <v>1994</v>
      </c>
      <c r="Y22" s="275">
        <v>5781</v>
      </c>
      <c r="Z22" s="460">
        <v>1994</v>
      </c>
      <c r="AA22" s="275">
        <f>'Master escapements'!F27</f>
        <v>194425.20171286893</v>
      </c>
      <c r="AB22" s="461">
        <v>96794.09756260147</v>
      </c>
      <c r="AC22" s="275">
        <f>'Master goals'!$D$13</f>
        <v>30000</v>
      </c>
      <c r="AD22" s="275">
        <f>'Master goals'!$E$13</f>
        <v>70000</v>
      </c>
      <c r="AE22" s="274">
        <v>1994</v>
      </c>
      <c r="AF22" s="276">
        <f>'Master escapements'!G27</f>
        <v>96343</v>
      </c>
      <c r="AG22" s="462">
        <v>85383.148588670039</v>
      </c>
      <c r="AH22" s="275">
        <f>'Master goals'!$D$5</f>
        <v>50000</v>
      </c>
      <c r="AI22" s="275">
        <f>'Master goals'!$E$5</f>
        <v>90000</v>
      </c>
      <c r="AJ22" s="274">
        <v>1994</v>
      </c>
    </row>
    <row r="23" spans="1:36" s="274" customFormat="1" x14ac:dyDescent="0.2">
      <c r="A23" s="274">
        <v>1995</v>
      </c>
      <c r="B23" s="275">
        <f>'Master escapements'!B28</f>
        <v>460</v>
      </c>
      <c r="C23" s="463">
        <v>779.41948583333169</v>
      </c>
      <c r="D23" s="275">
        <f>'Master goals'!$D$6</f>
        <v>200</v>
      </c>
      <c r="E23" s="275">
        <f>'Master goals'!$E$6</f>
        <v>500</v>
      </c>
      <c r="F23" s="274">
        <v>1995</v>
      </c>
      <c r="G23" s="276">
        <f>'Master escapements'!C28</f>
        <v>600</v>
      </c>
      <c r="H23" s="464">
        <v>1082.9253572733205</v>
      </c>
      <c r="I23" s="275">
        <f>'Master goals'!$D$7</f>
        <v>400</v>
      </c>
      <c r="J23" s="275">
        <f>'Master goals'!$E$7</f>
        <v>1200</v>
      </c>
      <c r="K23" s="274">
        <v>1995</v>
      </c>
      <c r="L23" s="276">
        <f>'Master escapements'!D28</f>
        <v>277</v>
      </c>
      <c r="M23" s="465">
        <v>258.30859341080082</v>
      </c>
      <c r="N23" s="275">
        <f>'Master goals'!$D$8</f>
        <v>100</v>
      </c>
      <c r="O23" s="275">
        <f>'Master goals'!$E$8</f>
        <v>250</v>
      </c>
      <c r="P23" s="274">
        <v>1995</v>
      </c>
      <c r="Q23" s="276">
        <f>'Master escapements'!E28</f>
        <v>4945</v>
      </c>
      <c r="R23" s="466">
        <v>9625.9920813446552</v>
      </c>
      <c r="S23" s="459">
        <v>1995</v>
      </c>
      <c r="T23" s="275">
        <f>'Berners River'!J108</f>
        <v>6138</v>
      </c>
      <c r="U23" s="468">
        <v>11947.849316432601</v>
      </c>
      <c r="V23" s="458">
        <v>3600</v>
      </c>
      <c r="W23" s="458">
        <v>8100</v>
      </c>
      <c r="X23" s="274">
        <v>1995</v>
      </c>
      <c r="Y23" s="275">
        <v>1687</v>
      </c>
      <c r="Z23" s="460">
        <v>1995</v>
      </c>
      <c r="AA23" s="275">
        <f>'Master escapements'!F28</f>
        <v>56736.778289155831</v>
      </c>
      <c r="AB23" s="461">
        <v>85888.424704145553</v>
      </c>
      <c r="AC23" s="275">
        <f>'Master goals'!$D$13</f>
        <v>30000</v>
      </c>
      <c r="AD23" s="275">
        <f>'Master goals'!$E$13</f>
        <v>70000</v>
      </c>
      <c r="AE23" s="274">
        <v>1995</v>
      </c>
      <c r="AF23" s="276">
        <f>'Master escapements'!G28</f>
        <v>55710</v>
      </c>
      <c r="AG23" s="462">
        <v>67315.917378773695</v>
      </c>
      <c r="AH23" s="275">
        <f>'Master goals'!$D$5</f>
        <v>50000</v>
      </c>
      <c r="AI23" s="275">
        <f>'Master goals'!$E$5</f>
        <v>90000</v>
      </c>
      <c r="AJ23" s="274">
        <v>1995</v>
      </c>
    </row>
    <row r="24" spans="1:36" s="274" customFormat="1" x14ac:dyDescent="0.2">
      <c r="A24" s="274">
        <v>1996</v>
      </c>
      <c r="B24" s="275">
        <f>'Master escapements'!B29</f>
        <v>515</v>
      </c>
      <c r="C24" s="463">
        <v>651.96752864715086</v>
      </c>
      <c r="D24" s="275">
        <f>'Master goals'!$D$6</f>
        <v>200</v>
      </c>
      <c r="E24" s="275">
        <f>'Master goals'!$E$6</f>
        <v>500</v>
      </c>
      <c r="F24" s="274">
        <v>1996</v>
      </c>
      <c r="G24" s="276">
        <f>'Master escapements'!C29</f>
        <v>798</v>
      </c>
      <c r="H24" s="464">
        <v>943.01566652801534</v>
      </c>
      <c r="I24" s="275">
        <f>'Master goals'!$D$7</f>
        <v>400</v>
      </c>
      <c r="J24" s="275">
        <f>'Master goals'!$E$7</f>
        <v>1200</v>
      </c>
      <c r="K24" s="274">
        <v>1996</v>
      </c>
      <c r="L24" s="276">
        <f>'Master escapements'!D29</f>
        <v>263</v>
      </c>
      <c r="M24" s="465">
        <v>236.24198790521763</v>
      </c>
      <c r="N24" s="275">
        <f>'Master goals'!$D$8</f>
        <v>100</v>
      </c>
      <c r="O24" s="275">
        <f>'Master goals'!$E$8</f>
        <v>250</v>
      </c>
      <c r="P24" s="274">
        <v>1996</v>
      </c>
      <c r="Q24" s="276">
        <f>'Master escapements'!E29</f>
        <v>6050</v>
      </c>
      <c r="R24" s="466">
        <v>7855.0095239560969</v>
      </c>
      <c r="S24" s="459">
        <v>1996</v>
      </c>
      <c r="T24" s="275">
        <f>'Berners River'!J109</f>
        <v>7509</v>
      </c>
      <c r="U24" s="468">
        <v>9749.6613696054592</v>
      </c>
      <c r="V24" s="458">
        <v>3600</v>
      </c>
      <c r="W24" s="458">
        <v>8100</v>
      </c>
      <c r="X24" s="274">
        <v>1996</v>
      </c>
      <c r="Y24" s="275">
        <v>1110</v>
      </c>
      <c r="Z24" s="460">
        <v>1996</v>
      </c>
      <c r="AA24" s="275">
        <f>'Master escapements'!F29</f>
        <v>37331.253053327193</v>
      </c>
      <c r="AB24" s="461">
        <v>60954.399145229443</v>
      </c>
      <c r="AC24" s="275">
        <f>'Master goals'!$D$13</f>
        <v>30000</v>
      </c>
      <c r="AD24" s="275">
        <f>'Master goals'!$E$13</f>
        <v>70000</v>
      </c>
      <c r="AE24" s="274">
        <v>1996</v>
      </c>
      <c r="AF24" s="276">
        <f>'Master escapements'!G29</f>
        <v>44635</v>
      </c>
      <c r="AG24" s="462">
        <v>51172.686232873224</v>
      </c>
      <c r="AH24" s="275">
        <f>'Master goals'!$D$5</f>
        <v>50000</v>
      </c>
      <c r="AI24" s="275">
        <f>'Master goals'!$E$5</f>
        <v>90000</v>
      </c>
      <c r="AJ24" s="274">
        <v>1996</v>
      </c>
    </row>
    <row r="25" spans="1:36" s="274" customFormat="1" x14ac:dyDescent="0.2">
      <c r="A25" s="274">
        <v>1997</v>
      </c>
      <c r="B25" s="275">
        <f>'Master escapements'!B30</f>
        <v>609</v>
      </c>
      <c r="C25" s="463">
        <v>658.4700012995944</v>
      </c>
      <c r="D25" s="275">
        <f>'Master goals'!$D$6</f>
        <v>200</v>
      </c>
      <c r="E25" s="275">
        <f>'Master goals'!$E$6</f>
        <v>500</v>
      </c>
      <c r="F25" s="274">
        <v>1997</v>
      </c>
      <c r="G25" s="276">
        <f>'Master escapements'!C30</f>
        <v>1018</v>
      </c>
      <c r="H25" s="464">
        <v>954.37839334053922</v>
      </c>
      <c r="I25" s="275">
        <f>'Master goals'!$D$7</f>
        <v>400</v>
      </c>
      <c r="J25" s="275">
        <f>'Master goals'!$E$7</f>
        <v>1200</v>
      </c>
      <c r="K25" s="274">
        <v>1997</v>
      </c>
      <c r="L25" s="276">
        <f>'Master escapements'!D30</f>
        <v>186</v>
      </c>
      <c r="M25" s="465">
        <v>201.91485419636334</v>
      </c>
      <c r="N25" s="275">
        <f>'Master goals'!$D$8</f>
        <v>100</v>
      </c>
      <c r="O25" s="275">
        <f>'Master goals'!$E$8</f>
        <v>250</v>
      </c>
      <c r="P25" s="274">
        <v>1997</v>
      </c>
      <c r="Q25" s="276">
        <f>'Master escapements'!E30</f>
        <v>10050</v>
      </c>
      <c r="R25" s="466">
        <v>7667.9348385837684</v>
      </c>
      <c r="S25" s="459">
        <v>1997</v>
      </c>
      <c r="T25" s="275">
        <f>'Berners River'!J110</f>
        <v>12474</v>
      </c>
      <c r="U25" s="468">
        <v>9517.5047479592504</v>
      </c>
      <c r="V25" s="458">
        <v>3600</v>
      </c>
      <c r="W25" s="458">
        <v>8100</v>
      </c>
      <c r="X25" s="274">
        <v>1997</v>
      </c>
      <c r="Y25" s="275">
        <v>1294</v>
      </c>
      <c r="Z25" s="460">
        <v>1997</v>
      </c>
      <c r="AA25" s="275">
        <f>'Master escapements'!F30</f>
        <v>43519.496802707559</v>
      </c>
      <c r="AB25" s="461">
        <v>46474.031108798779</v>
      </c>
      <c r="AC25" s="275">
        <f>'Master goals'!$D$13</f>
        <v>30000</v>
      </c>
      <c r="AD25" s="275">
        <f>'Master goals'!$E$13</f>
        <v>70000</v>
      </c>
      <c r="AE25" s="274">
        <v>1997</v>
      </c>
      <c r="AF25" s="276">
        <f>'Master escapements'!G30</f>
        <v>32345</v>
      </c>
      <c r="AG25" s="462">
        <v>48122.241607723459</v>
      </c>
      <c r="AH25" s="275">
        <f>'Master goals'!$D$5</f>
        <v>50000</v>
      </c>
      <c r="AI25" s="275">
        <f>'Master goals'!$E$5</f>
        <v>90000</v>
      </c>
      <c r="AJ25" s="274">
        <v>1997</v>
      </c>
    </row>
    <row r="26" spans="1:36" s="274" customFormat="1" x14ac:dyDescent="0.2">
      <c r="A26" s="274">
        <v>1998</v>
      </c>
      <c r="B26" s="275">
        <f>'Master escapements'!B31</f>
        <v>862</v>
      </c>
      <c r="C26" s="463">
        <v>740.14750630931746</v>
      </c>
      <c r="D26" s="275">
        <f>'Master goals'!$D$6</f>
        <v>200</v>
      </c>
      <c r="E26" s="275">
        <f>'Master goals'!$E$6</f>
        <v>500</v>
      </c>
      <c r="F26" s="274">
        <v>1998</v>
      </c>
      <c r="G26" s="276">
        <f>'Master escapements'!C31</f>
        <v>1160</v>
      </c>
      <c r="H26" s="464">
        <v>1026.4412790108215</v>
      </c>
      <c r="I26" s="275">
        <f>'Master goals'!$D$7</f>
        <v>400</v>
      </c>
      <c r="J26" s="275">
        <f>'Master goals'!$E$7</f>
        <v>1200</v>
      </c>
      <c r="K26" s="274">
        <v>1998</v>
      </c>
      <c r="L26" s="276">
        <f>'Master escapements'!D31</f>
        <v>102</v>
      </c>
      <c r="M26" s="465">
        <v>193.23602176426408</v>
      </c>
      <c r="N26" s="275">
        <f>'Master goals'!$D$8</f>
        <v>100</v>
      </c>
      <c r="O26" s="275">
        <f>'Master goals'!$E$8</f>
        <v>250</v>
      </c>
      <c r="P26" s="274">
        <v>1998</v>
      </c>
      <c r="Q26" s="276">
        <f>'Master escapements'!E31</f>
        <v>6802</v>
      </c>
      <c r="R26" s="466">
        <v>8743.9176403677084</v>
      </c>
      <c r="S26" s="459">
        <v>1998</v>
      </c>
      <c r="T26" s="275">
        <f>'Berners River'!J111</f>
        <v>8443</v>
      </c>
      <c r="U26" s="468">
        <v>10853.109754500181</v>
      </c>
      <c r="V26" s="458">
        <v>3600</v>
      </c>
      <c r="W26" s="458">
        <v>8100</v>
      </c>
      <c r="X26" s="274">
        <v>1998</v>
      </c>
      <c r="Y26" s="275">
        <v>1460</v>
      </c>
      <c r="Z26" s="460">
        <v>1998</v>
      </c>
      <c r="AA26" s="275">
        <f>'Master escapements'!F31</f>
        <v>50758</v>
      </c>
      <c r="AB26" s="461">
        <v>52605.437375019479</v>
      </c>
      <c r="AC26" s="275">
        <f>'Master goals'!$D$13</f>
        <v>30000</v>
      </c>
      <c r="AD26" s="275">
        <f>'Master goals'!$E$13</f>
        <v>70000</v>
      </c>
      <c r="AE26" s="274">
        <v>1998</v>
      </c>
      <c r="AF26" s="276">
        <f>'Master escapements'!G31</f>
        <v>61382</v>
      </c>
      <c r="AG26" s="462">
        <v>52436.286654129923</v>
      </c>
      <c r="AH26" s="275">
        <f>'Master goals'!$D$5</f>
        <v>50000</v>
      </c>
      <c r="AI26" s="275">
        <f>'Master goals'!$E$5</f>
        <v>90000</v>
      </c>
      <c r="AJ26" s="274">
        <v>1998</v>
      </c>
    </row>
    <row r="27" spans="1:36" s="274" customFormat="1" x14ac:dyDescent="0.2">
      <c r="A27" s="274">
        <v>1999</v>
      </c>
      <c r="B27" s="275">
        <f>'Master escapements'!B32</f>
        <v>845</v>
      </c>
      <c r="C27" s="463">
        <v>786.21243403575829</v>
      </c>
      <c r="D27" s="275">
        <f>'Master goals'!$D$6</f>
        <v>200</v>
      </c>
      <c r="E27" s="275">
        <f>'Master goals'!$E$6</f>
        <v>500</v>
      </c>
      <c r="F27" s="274">
        <v>1999</v>
      </c>
      <c r="G27" s="276">
        <f>'Master escapements'!C32</f>
        <v>1000</v>
      </c>
      <c r="H27" s="464">
        <v>1044.7300480982622</v>
      </c>
      <c r="I27" s="275">
        <f>'Master goals'!$D$7</f>
        <v>400</v>
      </c>
      <c r="J27" s="275">
        <f>'Master goals'!$E$7</f>
        <v>1200</v>
      </c>
      <c r="K27" s="274">
        <v>1999</v>
      </c>
      <c r="L27" s="276">
        <f>'Master escapements'!D32</f>
        <v>272</v>
      </c>
      <c r="M27" s="465">
        <v>185.25386194256018</v>
      </c>
      <c r="N27" s="275">
        <f>'Master goals'!$D$8</f>
        <v>100</v>
      </c>
      <c r="O27" s="275">
        <f>'Master goals'!$E$8</f>
        <v>250</v>
      </c>
      <c r="P27" s="274">
        <v>1999</v>
      </c>
      <c r="Q27" s="276">
        <f>'Master escapements'!E32</f>
        <v>9920</v>
      </c>
      <c r="R27" s="466">
        <v>10258.263998296667</v>
      </c>
      <c r="S27" s="459">
        <v>1999</v>
      </c>
      <c r="T27" s="275">
        <f>'Berners River'!J112</f>
        <v>12313</v>
      </c>
      <c r="U27" s="468">
        <v>12732.809561150687</v>
      </c>
      <c r="V27" s="458">
        <v>3600</v>
      </c>
      <c r="W27" s="458">
        <v>8100</v>
      </c>
      <c r="X27" s="274">
        <v>1999</v>
      </c>
      <c r="Y27" s="275">
        <v>1699</v>
      </c>
      <c r="Z27" s="460">
        <v>1999</v>
      </c>
      <c r="AA27" s="275">
        <f>'Master escapements'!F32</f>
        <v>57140.359403245857</v>
      </c>
      <c r="AB27" s="461">
        <v>66302.14317240435</v>
      </c>
      <c r="AC27" s="275">
        <f>'Master goals'!$D$13</f>
        <v>30000</v>
      </c>
      <c r="AD27" s="275">
        <f>'Master goals'!$E$13</f>
        <v>70000</v>
      </c>
      <c r="AE27" s="274">
        <v>1999</v>
      </c>
      <c r="AF27" s="276">
        <f>'Master escapements'!G32</f>
        <v>60768</v>
      </c>
      <c r="AG27" s="462">
        <v>63454.649340340038</v>
      </c>
      <c r="AH27" s="275">
        <f>'Master goals'!$D$5</f>
        <v>50000</v>
      </c>
      <c r="AI27" s="275">
        <f>'Master goals'!$E$5</f>
        <v>90000</v>
      </c>
      <c r="AJ27" s="274">
        <v>1999</v>
      </c>
    </row>
    <row r="28" spans="1:36" s="274" customFormat="1" x14ac:dyDescent="0.2">
      <c r="A28" s="274">
        <v>2000</v>
      </c>
      <c r="B28" s="275">
        <f>'Master escapements'!B33</f>
        <v>683</v>
      </c>
      <c r="C28" s="463">
        <v>838.43290577586106</v>
      </c>
      <c r="D28" s="275">
        <f>'Master goals'!$D$6</f>
        <v>200</v>
      </c>
      <c r="E28" s="275">
        <f>'Master goals'!$E$6</f>
        <v>500</v>
      </c>
      <c r="F28" s="274">
        <v>2000</v>
      </c>
      <c r="G28" s="276">
        <f>'Master escapements'!C33</f>
        <v>961</v>
      </c>
      <c r="H28" s="464">
        <v>1180.1989553406834</v>
      </c>
      <c r="I28" s="275">
        <f>'Master goals'!$D$7</f>
        <v>400</v>
      </c>
      <c r="J28" s="275">
        <f>'Master goals'!$E$7</f>
        <v>1200</v>
      </c>
      <c r="K28" s="274">
        <v>2000</v>
      </c>
      <c r="L28" s="276">
        <f>'Master escapements'!D33</f>
        <v>202</v>
      </c>
      <c r="M28" s="465">
        <v>184.628200045548</v>
      </c>
      <c r="N28" s="275">
        <f>'Master goals'!$D$8</f>
        <v>100</v>
      </c>
      <c r="O28" s="275">
        <f>'Master goals'!$E$8</f>
        <v>250</v>
      </c>
      <c r="P28" s="274">
        <v>2000</v>
      </c>
      <c r="Q28" s="276">
        <f>'Master escapements'!E33</f>
        <v>10650</v>
      </c>
      <c r="R28" s="466">
        <v>13998.922407880746</v>
      </c>
      <c r="S28" s="459">
        <v>2000</v>
      </c>
      <c r="T28" s="275">
        <f>'Berners River'!J113</f>
        <v>13219</v>
      </c>
      <c r="U28" s="468">
        <v>17375.777978873986</v>
      </c>
      <c r="V28" s="458">
        <v>3600</v>
      </c>
      <c r="W28" s="458">
        <v>8100</v>
      </c>
      <c r="X28" s="274">
        <v>2000</v>
      </c>
      <c r="Y28" s="275">
        <v>2635</v>
      </c>
      <c r="Z28" s="460">
        <v>2000</v>
      </c>
      <c r="AA28" s="275">
        <f>'Master escapements'!F33</f>
        <v>84843</v>
      </c>
      <c r="AB28" s="461">
        <v>92192.213524329592</v>
      </c>
      <c r="AC28" s="275">
        <f>'Master goals'!$D$13</f>
        <v>30000</v>
      </c>
      <c r="AD28" s="275">
        <f>'Master goals'!$E$13</f>
        <v>70000</v>
      </c>
      <c r="AE28" s="274">
        <v>2000</v>
      </c>
      <c r="AF28" s="276">
        <f>'Master escapements'!G33</f>
        <v>64700</v>
      </c>
      <c r="AG28" s="462">
        <v>89011.22910598421</v>
      </c>
      <c r="AH28" s="275">
        <f>'Master goals'!$D$5</f>
        <v>50000</v>
      </c>
      <c r="AI28" s="275">
        <f>'Master goals'!$E$5</f>
        <v>90000</v>
      </c>
      <c r="AJ28" s="274">
        <v>2000</v>
      </c>
    </row>
    <row r="29" spans="1:36" s="274" customFormat="1" x14ac:dyDescent="0.2">
      <c r="A29" s="274">
        <v>2001</v>
      </c>
      <c r="B29" s="275">
        <f>'Master escapements'!B34</f>
        <v>865</v>
      </c>
      <c r="C29" s="463">
        <v>868.05754666866778</v>
      </c>
      <c r="D29" s="275">
        <f>'Master goals'!$D$6</f>
        <v>200</v>
      </c>
      <c r="E29" s="275">
        <f>'Master goals'!$E$6</f>
        <v>500</v>
      </c>
      <c r="F29" s="274">
        <v>2001</v>
      </c>
      <c r="G29" s="276">
        <f>'Master escapements'!C34</f>
        <v>1119</v>
      </c>
      <c r="H29" s="464">
        <v>1376.204294412757</v>
      </c>
      <c r="I29" s="275">
        <f>'Master goals'!$D$7</f>
        <v>400</v>
      </c>
      <c r="J29" s="275">
        <f>'Master goals'!$E$7</f>
        <v>1200</v>
      </c>
      <c r="K29" s="274">
        <v>2001</v>
      </c>
      <c r="L29" s="276">
        <f>'Master escapements'!D34</f>
        <v>106</v>
      </c>
      <c r="M29" s="465">
        <v>179.74552535023489</v>
      </c>
      <c r="N29" s="275">
        <f>'Master goals'!$D$8</f>
        <v>100</v>
      </c>
      <c r="O29" s="275">
        <f>'Master goals'!$E$8</f>
        <v>250</v>
      </c>
      <c r="P29" s="274">
        <v>2001</v>
      </c>
      <c r="Q29" s="276">
        <f>'Master escapements'!E34</f>
        <v>19290</v>
      </c>
      <c r="R29" s="466">
        <v>17375.030121737575</v>
      </c>
      <c r="S29" s="459">
        <v>2001</v>
      </c>
      <c r="T29" s="275">
        <f>'Berners River'!J114</f>
        <v>23943</v>
      </c>
      <c r="U29" s="468">
        <v>21566.287440668762</v>
      </c>
      <c r="V29" s="458">
        <v>3600</v>
      </c>
      <c r="W29" s="458">
        <v>8100</v>
      </c>
      <c r="X29" s="274">
        <v>2001</v>
      </c>
      <c r="Y29" s="275">
        <v>3232</v>
      </c>
      <c r="Z29" s="460">
        <v>2001</v>
      </c>
      <c r="AA29" s="275">
        <f>'Master escapements'!F34</f>
        <v>107697</v>
      </c>
      <c r="AB29" s="461">
        <v>124212.42948793317</v>
      </c>
      <c r="AC29" s="275">
        <f>'Master goals'!$D$13</f>
        <v>30000</v>
      </c>
      <c r="AD29" s="275">
        <f>'Master goals'!$E$13</f>
        <v>70000</v>
      </c>
      <c r="AE29" s="274">
        <v>2001</v>
      </c>
      <c r="AF29" s="276">
        <f>'Master escapements'!G34</f>
        <v>104394</v>
      </c>
      <c r="AG29" s="462">
        <v>127203.74865477928</v>
      </c>
      <c r="AH29" s="275">
        <f>'Master goals'!$D$5</f>
        <v>50000</v>
      </c>
      <c r="AI29" s="275">
        <f>'Master goals'!$E$5</f>
        <v>90000</v>
      </c>
      <c r="AJ29" s="274">
        <v>2001</v>
      </c>
    </row>
    <row r="30" spans="1:36" s="274" customFormat="1" x14ac:dyDescent="0.2">
      <c r="A30" s="274">
        <v>2002</v>
      </c>
      <c r="B30" s="275">
        <f>'Master escapements'!B35</f>
        <v>1176</v>
      </c>
      <c r="C30" s="463">
        <v>819.37258768185393</v>
      </c>
      <c r="D30" s="275">
        <f>'Master goals'!$D$6</f>
        <v>200</v>
      </c>
      <c r="E30" s="275">
        <f>'Master goals'!$E$6</f>
        <v>500</v>
      </c>
      <c r="F30" s="274">
        <v>2002</v>
      </c>
      <c r="G30" s="276">
        <f>'Master escapements'!C35</f>
        <v>2448</v>
      </c>
      <c r="H30" s="464">
        <v>1329.4985048859455</v>
      </c>
      <c r="I30" s="275">
        <f>'Master goals'!$D$7</f>
        <v>400</v>
      </c>
      <c r="J30" s="275">
        <f>'Master goals'!$E$7</f>
        <v>1200</v>
      </c>
      <c r="K30" s="274">
        <v>2002</v>
      </c>
      <c r="L30" s="276">
        <f>'Master escapements'!D35</f>
        <v>195</v>
      </c>
      <c r="M30" s="465">
        <v>183.83795021008595</v>
      </c>
      <c r="N30" s="275">
        <f>'Master goals'!$D$8</f>
        <v>100</v>
      </c>
      <c r="O30" s="275">
        <f>'Master goals'!$E$8</f>
        <v>250</v>
      </c>
      <c r="P30" s="274">
        <v>2002</v>
      </c>
      <c r="Q30" s="276">
        <f>'Master escapements'!E35</f>
        <v>27700</v>
      </c>
      <c r="R30" s="466">
        <v>18002.339796564545</v>
      </c>
      <c r="S30" s="459">
        <v>2002</v>
      </c>
      <c r="T30" s="275">
        <f>'Berners River'!J115</f>
        <v>34382</v>
      </c>
      <c r="U30" s="468">
        <v>22344.995012495951</v>
      </c>
      <c r="V30" s="458">
        <v>3600</v>
      </c>
      <c r="W30" s="458">
        <v>8100</v>
      </c>
      <c r="X30" s="274">
        <v>2002</v>
      </c>
      <c r="Y30" s="275">
        <v>5660</v>
      </c>
      <c r="Z30" s="460">
        <v>2002</v>
      </c>
      <c r="AA30" s="275">
        <f>'Master escapements'!F35</f>
        <v>204925</v>
      </c>
      <c r="AB30" s="461">
        <v>135724.37196846525</v>
      </c>
      <c r="AC30" s="275">
        <f>'Master goals'!$D$13</f>
        <v>30000</v>
      </c>
      <c r="AD30" s="275">
        <f>'Master goals'!$E$13</f>
        <v>70000</v>
      </c>
      <c r="AE30" s="274">
        <v>2002</v>
      </c>
      <c r="AF30" s="276">
        <f>'Master escapements'!G35</f>
        <v>219360</v>
      </c>
      <c r="AG30" s="462">
        <v>156108.40560788783</v>
      </c>
      <c r="AH30" s="275">
        <f>'Master goals'!$D$5</f>
        <v>50000</v>
      </c>
      <c r="AI30" s="275">
        <f>'Master goals'!$E$5</f>
        <v>90000</v>
      </c>
      <c r="AJ30" s="274">
        <v>2002</v>
      </c>
    </row>
    <row r="31" spans="1:36" s="274" customFormat="1" x14ac:dyDescent="0.2">
      <c r="A31" s="274">
        <v>2003</v>
      </c>
      <c r="B31" s="275">
        <f>'Master escapements'!B36</f>
        <v>585</v>
      </c>
      <c r="C31" s="463">
        <v>707.70253683757596</v>
      </c>
      <c r="D31" s="275">
        <f>'Master goals'!$D$6</f>
        <v>200</v>
      </c>
      <c r="E31" s="275">
        <f>'Master goals'!$E$6</f>
        <v>500</v>
      </c>
      <c r="F31" s="274">
        <v>2003</v>
      </c>
      <c r="G31" s="276">
        <f>'Master escapements'!C36</f>
        <v>808</v>
      </c>
      <c r="H31" s="464">
        <v>1100.0292622082482</v>
      </c>
      <c r="I31" s="275">
        <f>'Master goals'!$D$7</f>
        <v>400</v>
      </c>
      <c r="J31" s="275">
        <f>'Master goals'!$E$7</f>
        <v>1200</v>
      </c>
      <c r="K31" s="274">
        <v>2003</v>
      </c>
      <c r="L31" s="276">
        <f>'Master escapements'!D36</f>
        <v>203</v>
      </c>
      <c r="M31" s="465">
        <v>205.60745703721935</v>
      </c>
      <c r="N31" s="275">
        <f>'Master goals'!$D$8</f>
        <v>100</v>
      </c>
      <c r="O31" s="275">
        <f>'Master goals'!$E$8</f>
        <v>250</v>
      </c>
      <c r="P31" s="274">
        <v>2003</v>
      </c>
      <c r="Q31" s="276">
        <f>'Master escapements'!E36</f>
        <v>10110</v>
      </c>
      <c r="R31" s="466">
        <v>16161.767102517577</v>
      </c>
      <c r="S31" s="459">
        <v>2003</v>
      </c>
      <c r="T31" s="275">
        <f>'Berners River'!J116</f>
        <v>12549</v>
      </c>
      <c r="U31" s="468">
        <v>20060.502577890526</v>
      </c>
      <c r="V31" s="458">
        <v>3600</v>
      </c>
      <c r="W31" s="458">
        <v>8100</v>
      </c>
      <c r="X31" s="274">
        <v>2003</v>
      </c>
      <c r="Y31" s="275">
        <v>3950</v>
      </c>
      <c r="Z31" s="460">
        <v>2003</v>
      </c>
      <c r="AA31" s="275">
        <f>'Master escapements'!F36</f>
        <v>133109</v>
      </c>
      <c r="AB31" s="461">
        <v>122135.34918022009</v>
      </c>
      <c r="AC31" s="275">
        <f>'Master goals'!$D$13</f>
        <v>30000</v>
      </c>
      <c r="AD31" s="275">
        <f>'Master goals'!$E$13</f>
        <v>70000</v>
      </c>
      <c r="AE31" s="274">
        <v>2003</v>
      </c>
      <c r="AF31" s="276">
        <f>'Master escapements'!G36</f>
        <v>183112</v>
      </c>
      <c r="AG31" s="462">
        <v>165981.75102236209</v>
      </c>
      <c r="AH31" s="275">
        <f>'Master goals'!$D$5</f>
        <v>50000</v>
      </c>
      <c r="AI31" s="275">
        <f>'Master goals'!$E$5</f>
        <v>90000</v>
      </c>
      <c r="AJ31" s="274">
        <v>2003</v>
      </c>
    </row>
    <row r="32" spans="1:36" s="274" customFormat="1" x14ac:dyDescent="0.2">
      <c r="A32" s="274">
        <v>2004</v>
      </c>
      <c r="B32" s="275">
        <f>'Master escapements'!B37</f>
        <v>416</v>
      </c>
      <c r="C32" s="463">
        <v>560.59619570762072</v>
      </c>
      <c r="D32" s="275">
        <f>'Master goals'!$D$6</f>
        <v>200</v>
      </c>
      <c r="E32" s="275">
        <f>'Master goals'!$E$6</f>
        <v>500</v>
      </c>
      <c r="F32" s="274">
        <v>2004</v>
      </c>
      <c r="G32" s="276">
        <f>'Master escapements'!C37</f>
        <v>364</v>
      </c>
      <c r="H32" s="464">
        <v>757.6549240129516</v>
      </c>
      <c r="I32" s="275">
        <f>'Master goals'!$D$7</f>
        <v>400</v>
      </c>
      <c r="J32" s="275">
        <f>'Master goals'!$E$7</f>
        <v>1200</v>
      </c>
      <c r="K32" s="274">
        <v>2004</v>
      </c>
      <c r="L32" s="276">
        <f>'Master escapements'!D37</f>
        <v>284</v>
      </c>
      <c r="M32" s="465">
        <v>232.66042334843004</v>
      </c>
      <c r="N32" s="275">
        <f>'Master goals'!$D$8</f>
        <v>100</v>
      </c>
      <c r="O32" s="275">
        <f>'Master goals'!$E$8</f>
        <v>250</v>
      </c>
      <c r="P32" s="274">
        <v>2004</v>
      </c>
      <c r="Q32" s="276">
        <f>'Master escapements'!E37</f>
        <v>14450</v>
      </c>
      <c r="R32" s="466">
        <v>11398.078276486518</v>
      </c>
      <c r="S32" s="459">
        <v>2004</v>
      </c>
      <c r="T32" s="275">
        <f>'Berners River'!J117</f>
        <v>17936</v>
      </c>
      <c r="U32" s="468">
        <v>14147.627457728016</v>
      </c>
      <c r="V32" s="458">
        <v>3600</v>
      </c>
      <c r="W32" s="458">
        <v>8100</v>
      </c>
      <c r="X32" s="274">
        <v>2004</v>
      </c>
      <c r="Y32" s="275">
        <v>2006</v>
      </c>
      <c r="Z32" s="460">
        <v>2004</v>
      </c>
      <c r="AA32" s="275">
        <f>'Master escapements'!F37</f>
        <v>67053</v>
      </c>
      <c r="AB32" s="461">
        <v>90628.488391480292</v>
      </c>
      <c r="AC32" s="275">
        <f>'Master goals'!$D$13</f>
        <v>30000</v>
      </c>
      <c r="AD32" s="275">
        <f>'Master goals'!$E$13</f>
        <v>70000</v>
      </c>
      <c r="AE32" s="274">
        <v>2004</v>
      </c>
      <c r="AF32" s="276">
        <f>'Master escapements'!G37</f>
        <v>129327</v>
      </c>
      <c r="AG32" s="462">
        <v>153027.72100687728</v>
      </c>
      <c r="AH32" s="275">
        <f>'Master goals'!$D$5</f>
        <v>50000</v>
      </c>
      <c r="AI32" s="275">
        <f>'Master goals'!$E$5</f>
        <v>90000</v>
      </c>
      <c r="AJ32" s="274">
        <v>2004</v>
      </c>
    </row>
    <row r="33" spans="1:36" s="274" customFormat="1" x14ac:dyDescent="0.2">
      <c r="A33" s="274">
        <v>2005</v>
      </c>
      <c r="B33" s="275">
        <f>'Master escapements'!B38</f>
        <v>450</v>
      </c>
      <c r="C33" s="463">
        <v>478.57139733843474</v>
      </c>
      <c r="D33" s="275">
        <f>'Master goals'!$D$6</f>
        <v>200</v>
      </c>
      <c r="E33" s="275">
        <f>'Master goals'!$E$6</f>
        <v>500</v>
      </c>
      <c r="F33" s="274">
        <v>2005</v>
      </c>
      <c r="G33" s="276">
        <f>'Master escapements'!C38</f>
        <v>351</v>
      </c>
      <c r="H33" s="464">
        <v>591.95286861481509</v>
      </c>
      <c r="I33" s="275">
        <f>'Master goals'!$D$7</f>
        <v>400</v>
      </c>
      <c r="J33" s="275">
        <f>'Master goals'!$E$7</f>
        <v>1200</v>
      </c>
      <c r="K33" s="274">
        <v>2005</v>
      </c>
      <c r="L33" s="276">
        <f>'Master escapements'!D38</f>
        <v>139</v>
      </c>
      <c r="M33" s="465">
        <v>268.19972869128975</v>
      </c>
      <c r="N33" s="275">
        <f>'Master goals'!$D$8</f>
        <v>100</v>
      </c>
      <c r="O33" s="275">
        <f>'Master goals'!$E$8</f>
        <v>250</v>
      </c>
      <c r="P33" s="274">
        <v>2005</v>
      </c>
      <c r="Q33" s="276">
        <f>'Master escapements'!E38</f>
        <v>5220</v>
      </c>
      <c r="R33" s="466">
        <v>8009.2286993873913</v>
      </c>
      <c r="S33" s="459">
        <v>2005</v>
      </c>
      <c r="T33" s="275">
        <f>'Berners River'!J118</f>
        <v>6479</v>
      </c>
      <c r="U33" s="468">
        <v>9941.1291852465474</v>
      </c>
      <c r="V33" s="458">
        <v>3600</v>
      </c>
      <c r="W33" s="458">
        <v>8100</v>
      </c>
      <c r="X33" s="274">
        <v>2005</v>
      </c>
      <c r="Y33" s="275">
        <v>977</v>
      </c>
      <c r="Z33" s="460">
        <v>2005</v>
      </c>
      <c r="AA33" s="275">
        <f>'Master escapements'!F38</f>
        <v>34575</v>
      </c>
      <c r="AB33" s="461">
        <v>63175.924295498888</v>
      </c>
      <c r="AC33" s="275">
        <f>'Master goals'!$D$13</f>
        <v>30000</v>
      </c>
      <c r="AD33" s="275">
        <f>'Master goals'!$E$13</f>
        <v>70000</v>
      </c>
      <c r="AE33" s="274">
        <v>2005</v>
      </c>
      <c r="AF33" s="276">
        <f>'Master escapements'!G38</f>
        <v>135558</v>
      </c>
      <c r="AG33" s="462">
        <v>129206.29545706633</v>
      </c>
      <c r="AH33" s="275">
        <f>'Master goals'!$D$5</f>
        <v>50000</v>
      </c>
      <c r="AI33" s="275">
        <f>'Master goals'!$E$5</f>
        <v>90000</v>
      </c>
      <c r="AJ33" s="274">
        <v>2005</v>
      </c>
    </row>
    <row r="34" spans="1:36" s="274" customFormat="1" x14ac:dyDescent="0.2">
      <c r="A34" s="274">
        <v>2006</v>
      </c>
      <c r="B34" s="275">
        <f>'Master escapements'!B39</f>
        <v>581</v>
      </c>
      <c r="C34" s="463">
        <v>474.09331456190478</v>
      </c>
      <c r="D34" s="275">
        <f>'Master goals'!$D$6</f>
        <v>200</v>
      </c>
      <c r="E34" s="275">
        <f>'Master goals'!$E$6</f>
        <v>500</v>
      </c>
      <c r="F34" s="274">
        <v>2006</v>
      </c>
      <c r="G34" s="276">
        <f>'Master escapements'!C39</f>
        <v>1110</v>
      </c>
      <c r="H34" s="464">
        <v>568.7059791955329</v>
      </c>
      <c r="I34" s="275">
        <f>'Master goals'!$D$7</f>
        <v>400</v>
      </c>
      <c r="J34" s="275">
        <f>'Master goals'!$E$7</f>
        <v>1200</v>
      </c>
      <c r="K34" s="274">
        <v>2006</v>
      </c>
      <c r="L34" s="276">
        <f>'Master escapements'!D39</f>
        <v>439</v>
      </c>
      <c r="M34" s="465">
        <v>314.0777645831734</v>
      </c>
      <c r="N34" s="275">
        <f>'Master goals'!$D$8</f>
        <v>100</v>
      </c>
      <c r="O34" s="275">
        <f>'Master goals'!$E$8</f>
        <v>250</v>
      </c>
      <c r="P34" s="274">
        <v>2006</v>
      </c>
      <c r="Q34" s="276">
        <f>'Master escapements'!E39</f>
        <v>5470</v>
      </c>
      <c r="R34" s="466">
        <v>6045.7842824206891</v>
      </c>
      <c r="S34" s="459">
        <v>2006</v>
      </c>
      <c r="T34" s="275">
        <f>'Berners River'!J119</f>
        <v>6789</v>
      </c>
      <c r="U34" s="468">
        <v>7503.891760999988</v>
      </c>
      <c r="V34" s="458">
        <v>3600</v>
      </c>
      <c r="W34" s="458">
        <v>8100</v>
      </c>
      <c r="X34" s="274">
        <v>2006</v>
      </c>
      <c r="Y34" s="275">
        <v>2399</v>
      </c>
      <c r="Z34" s="460">
        <v>2006</v>
      </c>
      <c r="AA34" s="275">
        <f>'Master escapements'!F39</f>
        <v>79050</v>
      </c>
      <c r="AB34" s="461">
        <v>50260.971325482256</v>
      </c>
      <c r="AC34" s="275">
        <f>'Master goals'!$D$13</f>
        <v>30000</v>
      </c>
      <c r="AD34" s="275">
        <f>'Master goals'!$E$13</f>
        <v>70000</v>
      </c>
      <c r="AE34" s="274">
        <v>2006</v>
      </c>
      <c r="AF34" s="276">
        <f>'Master escapements'!G39</f>
        <v>122384</v>
      </c>
      <c r="AG34" s="462">
        <v>111397.14383608141</v>
      </c>
      <c r="AH34" s="275">
        <f>'Master goals'!$D$5</f>
        <v>50000</v>
      </c>
      <c r="AI34" s="275">
        <f>'Master goals'!$E$5</f>
        <v>90000</v>
      </c>
      <c r="AJ34" s="274">
        <v>2006</v>
      </c>
    </row>
    <row r="35" spans="1:36" s="274" customFormat="1" x14ac:dyDescent="0.2">
      <c r="A35" s="274">
        <v>2007</v>
      </c>
      <c r="B35" s="275">
        <f>'Master escapements'!B40</f>
        <v>352</v>
      </c>
      <c r="C35" s="463">
        <v>484.90163823331704</v>
      </c>
      <c r="D35" s="275">
        <f>'Master goals'!$D$6</f>
        <v>200</v>
      </c>
      <c r="E35" s="275">
        <f>'Master goals'!$E$6</f>
        <v>500</v>
      </c>
      <c r="F35" s="274">
        <v>2007</v>
      </c>
      <c r="G35" s="276">
        <f>'Master escapements'!C40</f>
        <v>324</v>
      </c>
      <c r="H35" s="464">
        <v>586.40793265075445</v>
      </c>
      <c r="I35" s="275">
        <f>'Master goals'!$D$7</f>
        <v>400</v>
      </c>
      <c r="J35" s="275">
        <f>'Master goals'!$E$7</f>
        <v>1200</v>
      </c>
      <c r="K35" s="274">
        <v>2007</v>
      </c>
      <c r="L35" s="276">
        <f>'Master escapements'!D40</f>
        <v>226</v>
      </c>
      <c r="M35" s="465">
        <v>372.87120920254534</v>
      </c>
      <c r="N35" s="275">
        <f>'Master goals'!$D$8</f>
        <v>100</v>
      </c>
      <c r="O35" s="275">
        <f>'Master goals'!$E$8</f>
        <v>250</v>
      </c>
      <c r="P35" s="274">
        <v>2007</v>
      </c>
      <c r="Q35" s="276">
        <f>'Master escapements'!E40</f>
        <v>3915</v>
      </c>
      <c r="R35" s="466">
        <v>5233.3863589134635</v>
      </c>
      <c r="S35" s="459">
        <v>2007</v>
      </c>
      <c r="T35" s="275">
        <f>'Berners River'!J120</f>
        <v>4859</v>
      </c>
      <c r="U35" s="468">
        <v>6495.4549629879784</v>
      </c>
      <c r="V35" s="458">
        <v>3600</v>
      </c>
      <c r="W35" s="458">
        <v>8100</v>
      </c>
      <c r="X35" s="274">
        <v>2007</v>
      </c>
      <c r="Y35" s="275">
        <v>758</v>
      </c>
      <c r="Z35" s="460">
        <v>2007</v>
      </c>
      <c r="AA35" s="275">
        <f>'Master escapements'!F40</f>
        <v>24770</v>
      </c>
      <c r="AB35" s="461">
        <v>50084.514588701015</v>
      </c>
      <c r="AC35" s="275">
        <f>'Master goals'!$D$13</f>
        <v>30000</v>
      </c>
      <c r="AD35" s="275">
        <f>'Master goals'!$E$13</f>
        <v>70000</v>
      </c>
      <c r="AE35" s="274">
        <v>2007</v>
      </c>
      <c r="AF35" s="276">
        <f>'Master escapements'!G40</f>
        <v>74246</v>
      </c>
      <c r="AG35" s="462">
        <v>101073.3702567018</v>
      </c>
      <c r="AH35" s="275">
        <f>'Master goals'!$D$5</f>
        <v>50000</v>
      </c>
      <c r="AI35" s="275">
        <f>'Master goals'!$E$5</f>
        <v>90000</v>
      </c>
      <c r="AJ35" s="274">
        <v>2007</v>
      </c>
    </row>
    <row r="36" spans="1:36" s="274" customFormat="1" x14ac:dyDescent="0.2">
      <c r="A36" s="274">
        <v>2008</v>
      </c>
      <c r="B36" s="275">
        <f>'Master escapements'!B41</f>
        <v>600</v>
      </c>
      <c r="C36" s="463">
        <v>454.67293922210388</v>
      </c>
      <c r="D36" s="275">
        <f>'Master goals'!$D$6</f>
        <v>200</v>
      </c>
      <c r="E36" s="275">
        <f>'Master goals'!$E$6</f>
        <v>500</v>
      </c>
      <c r="F36" s="274">
        <v>2008</v>
      </c>
      <c r="G36" s="276">
        <f>'Master escapements'!C41</f>
        <v>405</v>
      </c>
      <c r="H36" s="464">
        <v>552.40393568523984</v>
      </c>
      <c r="I36" s="275">
        <f>'Master goals'!$D$7</f>
        <v>400</v>
      </c>
      <c r="J36" s="275">
        <f>'Master goals'!$E$7</f>
        <v>1200</v>
      </c>
      <c r="K36" s="274">
        <v>2008</v>
      </c>
      <c r="L36" s="276">
        <f>'Master escapements'!D41</f>
        <v>660</v>
      </c>
      <c r="M36" s="465">
        <v>369.62726652423129</v>
      </c>
      <c r="N36" s="275">
        <f>'Master goals'!$D$8</f>
        <v>100</v>
      </c>
      <c r="O36" s="275">
        <f>'Master goals'!$E$8</f>
        <v>250</v>
      </c>
      <c r="P36" s="274">
        <v>2008</v>
      </c>
      <c r="Q36" s="276">
        <f>'Master escapements'!E41</f>
        <v>6870</v>
      </c>
      <c r="R36" s="466">
        <v>5360.4822550346635</v>
      </c>
      <c r="S36" s="459">
        <v>2008</v>
      </c>
      <c r="T36" s="275">
        <f>'Berners River'!J121</f>
        <v>8527</v>
      </c>
      <c r="U36" s="468">
        <v>6653.2519661657807</v>
      </c>
      <c r="V36" s="458">
        <v>3600</v>
      </c>
      <c r="W36" s="458">
        <v>8100</v>
      </c>
      <c r="X36" s="274">
        <v>2008</v>
      </c>
      <c r="Y36" s="275">
        <v>1706</v>
      </c>
      <c r="Z36" s="460">
        <v>2008</v>
      </c>
      <c r="AA36" s="275">
        <f>'Master escapements'!F41</f>
        <v>56369</v>
      </c>
      <c r="AB36" s="461">
        <v>51223.827757801933</v>
      </c>
      <c r="AC36" s="275">
        <f>'Master goals'!$D$13</f>
        <v>30000</v>
      </c>
      <c r="AD36" s="275">
        <f>'Master goals'!$E$13</f>
        <v>70000</v>
      </c>
      <c r="AE36" s="274">
        <v>2008</v>
      </c>
      <c r="AF36" s="276">
        <f>'Master escapements'!G41</f>
        <v>95226</v>
      </c>
      <c r="AG36" s="462">
        <v>97963.110010335367</v>
      </c>
      <c r="AH36" s="275">
        <f>'Master goals'!$D$5</f>
        <v>50000</v>
      </c>
      <c r="AI36" s="275">
        <f>'Master goals'!$E$5</f>
        <v>90000</v>
      </c>
      <c r="AJ36" s="274">
        <v>2008</v>
      </c>
    </row>
    <row r="37" spans="1:36" s="274" customFormat="1" x14ac:dyDescent="0.2">
      <c r="A37" s="274">
        <v>2009</v>
      </c>
      <c r="B37" s="275">
        <f>'Master escapements'!B42</f>
        <v>360</v>
      </c>
      <c r="C37" s="463">
        <v>451.05455637896466</v>
      </c>
      <c r="D37" s="275">
        <f>'Master goals'!$D$6</f>
        <v>200</v>
      </c>
      <c r="E37" s="275">
        <f>'Master goals'!$E$6</f>
        <v>500</v>
      </c>
      <c r="F37" s="274">
        <v>2009</v>
      </c>
      <c r="G37" s="276">
        <f>'Master escapements'!C42</f>
        <v>698</v>
      </c>
      <c r="H37" s="464">
        <v>569.12521704873939</v>
      </c>
      <c r="I37" s="275">
        <f>'Master goals'!$D$7</f>
        <v>400</v>
      </c>
      <c r="J37" s="275">
        <f>'Master goals'!$E$7</f>
        <v>1200</v>
      </c>
      <c r="K37" s="274">
        <v>2009</v>
      </c>
      <c r="L37" s="276">
        <f>'Master escapements'!D42</f>
        <v>123</v>
      </c>
      <c r="M37" s="465">
        <v>360.68205625940482</v>
      </c>
      <c r="N37" s="275">
        <f>'Master goals'!$D$8</f>
        <v>100</v>
      </c>
      <c r="O37" s="275">
        <f>'Master goals'!$E$8</f>
        <v>250</v>
      </c>
      <c r="P37" s="274">
        <v>2009</v>
      </c>
      <c r="Q37" s="276">
        <f>'Master escapements'!E42</f>
        <v>4230</v>
      </c>
      <c r="R37" s="466">
        <v>5900.9476615897574</v>
      </c>
      <c r="S37" s="459">
        <v>2009</v>
      </c>
      <c r="T37" s="275">
        <f>'Berners River'!J122</f>
        <v>5250</v>
      </c>
      <c r="U37" s="468">
        <v>7324.1550049729631</v>
      </c>
      <c r="V37" s="458">
        <v>3600</v>
      </c>
      <c r="W37" s="458">
        <v>8100</v>
      </c>
      <c r="X37" s="274">
        <v>2009</v>
      </c>
      <c r="Y37" s="275">
        <v>1453</v>
      </c>
      <c r="Z37" s="460">
        <v>2009</v>
      </c>
      <c r="AA37" s="275">
        <f>'Master escapements'!F42</f>
        <v>47911</v>
      </c>
      <c r="AB37" s="461">
        <v>58569.42529791472</v>
      </c>
      <c r="AC37" s="275">
        <f>'Master goals'!$D$13</f>
        <v>30000</v>
      </c>
      <c r="AD37" s="275">
        <f>'Master goals'!$E$13</f>
        <v>70000</v>
      </c>
      <c r="AE37" s="274">
        <v>2009</v>
      </c>
      <c r="AF37" s="276">
        <f>'Master escapements'!G42</f>
        <v>103950</v>
      </c>
      <c r="AG37" s="462">
        <v>101297.70556754911</v>
      </c>
      <c r="AH37" s="275">
        <f>'Master goals'!$D$5</f>
        <v>50000</v>
      </c>
      <c r="AI37" s="275">
        <f>'Master goals'!$E$5</f>
        <v>90000</v>
      </c>
      <c r="AJ37" s="274">
        <v>2009</v>
      </c>
    </row>
    <row r="38" spans="1:36" s="274" customFormat="1" x14ac:dyDescent="0.2">
      <c r="A38" s="274">
        <v>2010</v>
      </c>
      <c r="B38" s="275">
        <f>'Master escapements'!B43</f>
        <v>417</v>
      </c>
      <c r="C38" s="463">
        <v>488.35712520768357</v>
      </c>
      <c r="D38" s="275">
        <f>'Master goals'!$D$6</f>
        <v>200</v>
      </c>
      <c r="E38" s="275">
        <f>'Master goals'!$E$6</f>
        <v>500</v>
      </c>
      <c r="F38" s="274">
        <v>2010</v>
      </c>
      <c r="G38" s="276">
        <f>'Master escapements'!C43</f>
        <v>630</v>
      </c>
      <c r="H38" s="464">
        <v>621.56379743497405</v>
      </c>
      <c r="I38" s="275">
        <f>'Master goals'!$D$7</f>
        <v>400</v>
      </c>
      <c r="J38" s="275">
        <f>'Master goals'!$E$7</f>
        <v>1200</v>
      </c>
      <c r="K38" s="274">
        <v>2010</v>
      </c>
      <c r="L38" s="276">
        <f>'Master escapements'!D43</f>
        <v>467</v>
      </c>
      <c r="M38" s="465">
        <v>286.0479775145684</v>
      </c>
      <c r="N38" s="275">
        <f>'Master goals'!$D$8</f>
        <v>100</v>
      </c>
      <c r="O38" s="275">
        <f>'Master goals'!$E$8</f>
        <v>250</v>
      </c>
      <c r="P38" s="274">
        <v>2010</v>
      </c>
      <c r="Q38" s="276">
        <f>'Master escapements'!E43</f>
        <v>7520</v>
      </c>
      <c r="R38" s="466">
        <v>6030.4594992745988</v>
      </c>
      <c r="S38" s="459">
        <v>2010</v>
      </c>
      <c r="T38" s="275">
        <f>'Berners River'!J123</f>
        <v>9334</v>
      </c>
      <c r="U38" s="468">
        <v>7484.9374508306591</v>
      </c>
      <c r="V38" s="458">
        <v>3600</v>
      </c>
      <c r="W38" s="458">
        <v>8100</v>
      </c>
      <c r="X38" s="274">
        <v>2010</v>
      </c>
      <c r="Y38" s="275">
        <v>2650</v>
      </c>
      <c r="Z38" s="460">
        <v>2010</v>
      </c>
      <c r="AA38" s="275">
        <f>'Master escapements'!F43</f>
        <v>84909</v>
      </c>
      <c r="AB38" s="461">
        <v>61665.777975463228</v>
      </c>
      <c r="AC38" s="275">
        <f>'Master goals'!$D$13</f>
        <v>30000</v>
      </c>
      <c r="AD38" s="275">
        <f>'Master goals'!$E$13</f>
        <v>70000</v>
      </c>
      <c r="AE38" s="274">
        <v>2010</v>
      </c>
      <c r="AF38" s="276">
        <f>'Master escapements'!G43</f>
        <v>126830</v>
      </c>
      <c r="AG38" s="462">
        <v>97846.186831734696</v>
      </c>
      <c r="AH38" s="275">
        <f>'Master goals'!$D$5</f>
        <v>50000</v>
      </c>
      <c r="AI38" s="275">
        <f>'Master goals'!$E$5</f>
        <v>90000</v>
      </c>
      <c r="AJ38" s="274">
        <v>2010</v>
      </c>
    </row>
    <row r="39" spans="1:36" s="274" customFormat="1" x14ac:dyDescent="0.2">
      <c r="A39" s="274">
        <v>2011</v>
      </c>
      <c r="B39" s="275">
        <f>'Master escapements'!B44</f>
        <v>517</v>
      </c>
      <c r="C39" s="463">
        <v>579.60817178069476</v>
      </c>
      <c r="D39" s="275">
        <f>'Master goals'!$D$6</f>
        <v>200</v>
      </c>
      <c r="E39" s="275">
        <f>'Master goals'!$E$6</f>
        <v>500</v>
      </c>
      <c r="F39" s="274">
        <v>2011</v>
      </c>
      <c r="G39" s="276">
        <f>'Master escapements'!C44</f>
        <v>709</v>
      </c>
      <c r="H39" s="464">
        <v>572.66503289528521</v>
      </c>
      <c r="I39" s="275">
        <f>'Master goals'!$D$7</f>
        <v>400</v>
      </c>
      <c r="J39" s="275">
        <f>'Master goals'!$E$7</f>
        <v>1200</v>
      </c>
      <c r="K39" s="274">
        <v>2011</v>
      </c>
      <c r="L39" s="276">
        <f>'Master escapements'!D44</f>
        <v>138</v>
      </c>
      <c r="M39" s="465">
        <v>232.98144501377476</v>
      </c>
      <c r="N39" s="275">
        <f>'Master goals'!$D$8</f>
        <v>100</v>
      </c>
      <c r="O39" s="275">
        <f>'Master goals'!$E$8</f>
        <v>250</v>
      </c>
      <c r="P39" s="274">
        <v>2011</v>
      </c>
      <c r="Q39" s="276">
        <f>'Master escapements'!E44</f>
        <v>6050</v>
      </c>
      <c r="R39" s="466">
        <v>6121.6611964581389</v>
      </c>
      <c r="S39" s="459">
        <v>2011</v>
      </c>
      <c r="T39" s="275">
        <f>'Berners River'!J124</f>
        <v>7509</v>
      </c>
      <c r="U39" s="468">
        <v>7598.2325791865387</v>
      </c>
      <c r="V39" s="458">
        <v>3600</v>
      </c>
      <c r="W39" s="458">
        <v>8100</v>
      </c>
      <c r="X39" s="274">
        <v>2011</v>
      </c>
      <c r="Y39" s="275">
        <v>1979</v>
      </c>
      <c r="Z39" s="460">
        <v>2011</v>
      </c>
      <c r="AA39" s="275">
        <f>'Master escapements'!F44</f>
        <v>61099</v>
      </c>
      <c r="AB39" s="461">
        <v>58717.366154768526</v>
      </c>
      <c r="AC39" s="275">
        <f>'Master goals'!$D$13</f>
        <v>30000</v>
      </c>
      <c r="AD39" s="275">
        <f>'Master goals'!$E$13</f>
        <v>70000</v>
      </c>
      <c r="AE39" s="274">
        <v>2011</v>
      </c>
      <c r="AF39" s="276">
        <f>'Master escapements'!G44</f>
        <v>70871</v>
      </c>
      <c r="AG39" s="462">
        <v>88227.603839530653</v>
      </c>
      <c r="AH39" s="275">
        <f>'Master goals'!$D$5</f>
        <v>50000</v>
      </c>
      <c r="AI39" s="275">
        <f>'Master goals'!$E$5</f>
        <v>90000</v>
      </c>
      <c r="AJ39" s="274">
        <v>2011</v>
      </c>
    </row>
    <row r="40" spans="1:36" s="274" customFormat="1" x14ac:dyDescent="0.2">
      <c r="A40" s="274">
        <v>2012</v>
      </c>
      <c r="B40" s="275">
        <f>'Master escapements'!B45</f>
        <v>837</v>
      </c>
      <c r="C40" s="463">
        <v>756.67657141001746</v>
      </c>
      <c r="D40" s="275">
        <f>'Master goals'!$D$6</f>
        <v>200</v>
      </c>
      <c r="E40" s="275">
        <f>'Master goals'!$E$6</f>
        <v>500</v>
      </c>
      <c r="F40" s="274">
        <v>2012</v>
      </c>
      <c r="G40" s="276">
        <f>'Master escapements'!C45</f>
        <v>394</v>
      </c>
      <c r="H40" s="464">
        <v>543.1796857892873</v>
      </c>
      <c r="I40" s="275">
        <f>'Master goals'!$D$7</f>
        <v>400</v>
      </c>
      <c r="J40" s="275">
        <f>'Master goals'!$E$7</f>
        <v>1200</v>
      </c>
      <c r="K40" s="274">
        <v>2012</v>
      </c>
      <c r="L40" s="276">
        <f>'Master escapements'!D45</f>
        <v>190</v>
      </c>
      <c r="M40" s="465">
        <v>197.37929776905318</v>
      </c>
      <c r="N40" s="275">
        <f>'Master goals'!$D$8</f>
        <v>100</v>
      </c>
      <c r="O40" s="275">
        <f>'Master goals'!$E$8</f>
        <v>250</v>
      </c>
      <c r="P40" s="274">
        <v>2012</v>
      </c>
      <c r="Q40" s="276">
        <f>'Master escapements'!E45</f>
        <v>5480</v>
      </c>
      <c r="R40" s="466">
        <v>7035.8980642535344</v>
      </c>
      <c r="S40" s="459">
        <v>2012</v>
      </c>
      <c r="T40" s="275">
        <f>'Berners River'!J125</f>
        <v>6802</v>
      </c>
      <c r="U40" s="468">
        <v>8733.0620395676378</v>
      </c>
      <c r="V40" s="458">
        <v>3600</v>
      </c>
      <c r="W40" s="458">
        <v>8100</v>
      </c>
      <c r="X40" s="274">
        <v>2012</v>
      </c>
      <c r="Y40" s="275">
        <v>1150</v>
      </c>
      <c r="Z40" s="460">
        <v>2012</v>
      </c>
      <c r="AA40" s="275">
        <f>'Master escapements'!F45</f>
        <v>36961</v>
      </c>
      <c r="AB40" s="461">
        <v>60958.421104684327</v>
      </c>
      <c r="AC40" s="275">
        <f>'Master goals'!$D$13</f>
        <v>30000</v>
      </c>
      <c r="AD40" s="275">
        <f>'Master goals'!$E$13</f>
        <v>70000</v>
      </c>
      <c r="AE40" s="274">
        <v>2012</v>
      </c>
      <c r="AF40" s="276">
        <f>'Master escapements'!G45</f>
        <v>70775</v>
      </c>
      <c r="AG40" s="462">
        <v>81069.147549855843</v>
      </c>
      <c r="AH40" s="275">
        <f>'Master goals'!$D$5</f>
        <v>50000</v>
      </c>
      <c r="AI40" s="275">
        <f>'Master goals'!$E$5</f>
        <v>90000</v>
      </c>
      <c r="AJ40" s="274">
        <v>2012</v>
      </c>
    </row>
    <row r="41" spans="1:36" s="274" customFormat="1" x14ac:dyDescent="0.2">
      <c r="A41" s="274">
        <v>2013</v>
      </c>
      <c r="B41" s="275">
        <f>'Master escapements'!B46</f>
        <v>736</v>
      </c>
      <c r="C41" s="463">
        <v>922.41060199854121</v>
      </c>
      <c r="D41" s="275">
        <f>'Master goals'!$D$6</f>
        <v>200</v>
      </c>
      <c r="E41" s="275">
        <f>'Master goals'!$E$6</f>
        <v>500</v>
      </c>
      <c r="F41" s="274">
        <v>2013</v>
      </c>
      <c r="G41" s="276">
        <f>'Master escapements'!C46</f>
        <v>367</v>
      </c>
      <c r="H41" s="464">
        <v>631.35979459952068</v>
      </c>
      <c r="I41" s="275">
        <f>'Master goals'!$D$7</f>
        <v>400</v>
      </c>
      <c r="J41" s="275">
        <f>'Master goals'!$E$7</f>
        <v>1200</v>
      </c>
      <c r="K41" s="274">
        <v>2013</v>
      </c>
      <c r="L41" s="276">
        <f>'Master escapements'!D46</f>
        <v>126</v>
      </c>
      <c r="M41" s="465">
        <v>191.72234621016861</v>
      </c>
      <c r="N41" s="275">
        <f>'Master goals'!$D$8</f>
        <v>100</v>
      </c>
      <c r="O41" s="275">
        <f>'Master goals'!$E$8</f>
        <v>250</v>
      </c>
      <c r="P41" s="274">
        <v>2013</v>
      </c>
      <c r="Q41" s="276">
        <f>'Master escapements'!E46</f>
        <v>6280</v>
      </c>
      <c r="R41" s="466">
        <v>8776.8239170942161</v>
      </c>
      <c r="S41" s="459">
        <v>2013</v>
      </c>
      <c r="T41" s="275">
        <f>'Berners River'!J126</f>
        <v>7795</v>
      </c>
      <c r="U41" s="468">
        <v>10894.005718000059</v>
      </c>
      <c r="V41" s="458">
        <v>3600</v>
      </c>
      <c r="W41" s="458">
        <v>8100</v>
      </c>
      <c r="X41" s="274">
        <v>2013</v>
      </c>
      <c r="Y41" s="275">
        <v>1546</v>
      </c>
      <c r="Z41" s="460">
        <v>2013</v>
      </c>
      <c r="AA41" s="275">
        <f>'Master escapements'!F46</f>
        <v>51324</v>
      </c>
      <c r="AB41" s="461">
        <v>68446.816578566533</v>
      </c>
      <c r="AC41" s="275">
        <f>'Master goals'!$D$13</f>
        <v>30000</v>
      </c>
      <c r="AD41" s="275">
        <f>'Master goals'!$E$13</f>
        <v>70000</v>
      </c>
      <c r="AE41" s="274">
        <v>2013</v>
      </c>
      <c r="AF41" s="276">
        <f>'Master escapements'!G46</f>
        <v>68117</v>
      </c>
      <c r="AG41" s="462">
        <v>82651.1297520394</v>
      </c>
      <c r="AH41" s="275">
        <f>'Master goals'!$D$5</f>
        <v>50000</v>
      </c>
      <c r="AI41" s="275">
        <f>'Master goals'!$E$5</f>
        <v>90000</v>
      </c>
      <c r="AJ41" s="274">
        <v>2013</v>
      </c>
    </row>
    <row r="42" spans="1:36" s="274" customFormat="1" x14ac:dyDescent="0.2">
      <c r="A42" s="274">
        <v>2014</v>
      </c>
      <c r="B42" s="275">
        <f>'Master escapements'!B47</f>
        <v>1533</v>
      </c>
      <c r="C42" s="463">
        <v>865.56366591064739</v>
      </c>
      <c r="D42" s="275">
        <f>'Master goals'!$D$6</f>
        <v>200</v>
      </c>
      <c r="E42" s="275">
        <f>'Master goals'!$E$6</f>
        <v>500</v>
      </c>
      <c r="F42" s="274">
        <v>2014</v>
      </c>
      <c r="G42" s="276">
        <f>'Master escapements'!C47</f>
        <v>911</v>
      </c>
      <c r="H42" s="464">
        <v>775.50884702845531</v>
      </c>
      <c r="I42" s="275">
        <f>'Master goals'!$D$7</f>
        <v>400</v>
      </c>
      <c r="J42" s="275">
        <f>'Master goals'!$E$7</f>
        <v>1200</v>
      </c>
      <c r="K42" s="274">
        <v>2014</v>
      </c>
      <c r="L42" s="276">
        <f>'Master escapements'!D47</f>
        <v>284</v>
      </c>
      <c r="M42" s="465">
        <v>189.84986795081522</v>
      </c>
      <c r="N42" s="275">
        <f>'Master goals'!$D$8</f>
        <v>100</v>
      </c>
      <c r="O42" s="275">
        <f>'Master goals'!$E$8</f>
        <v>250</v>
      </c>
      <c r="P42" s="274">
        <v>2014</v>
      </c>
      <c r="Q42" s="276">
        <f>'Master escapements'!E47</f>
        <v>15480</v>
      </c>
      <c r="R42" s="466">
        <v>9825.1648633505647</v>
      </c>
      <c r="S42" s="459">
        <v>2014</v>
      </c>
      <c r="T42" s="275">
        <f>'Berners River'!J127</f>
        <v>19214</v>
      </c>
      <c r="U42" s="468">
        <v>12195.27009536954</v>
      </c>
      <c r="V42" s="458">
        <v>3600</v>
      </c>
      <c r="W42" s="458">
        <v>8100</v>
      </c>
      <c r="X42" s="274">
        <v>2014</v>
      </c>
      <c r="Y42" s="275">
        <v>3926</v>
      </c>
      <c r="Z42" s="460">
        <v>2014</v>
      </c>
      <c r="AA42" s="275">
        <f>'Master escapements'!F47</f>
        <v>130200</v>
      </c>
      <c r="AB42" s="461">
        <v>69014.886498596199</v>
      </c>
      <c r="AC42" s="275">
        <f>'Master goals'!$D$13</f>
        <v>30000</v>
      </c>
      <c r="AD42" s="275">
        <f>'Master goals'!$E$13</f>
        <v>70000</v>
      </c>
      <c r="AE42" s="274">
        <v>2014</v>
      </c>
      <c r="AF42" s="276">
        <f>'Master escapements'!G47</f>
        <v>124171</v>
      </c>
      <c r="AG42" s="462">
        <v>84401.531267005907</v>
      </c>
      <c r="AH42" s="275">
        <f>'Master goals'!$D$5</f>
        <v>50000</v>
      </c>
      <c r="AI42" s="275">
        <f>'Master goals'!$E$5</f>
        <v>90000</v>
      </c>
      <c r="AJ42" s="274">
        <v>2014</v>
      </c>
    </row>
    <row r="43" spans="1:36" s="274" customFormat="1" x14ac:dyDescent="0.2">
      <c r="A43" s="274">
        <v>2015</v>
      </c>
      <c r="B43" s="275">
        <f>'Master escapements'!B48</f>
        <v>517</v>
      </c>
      <c r="C43" s="463">
        <v>650.92707236193314</v>
      </c>
      <c r="D43" s="275">
        <f>'Master goals'!$D$6</f>
        <v>200</v>
      </c>
      <c r="E43" s="275">
        <f>'Master goals'!$E$6</f>
        <v>500</v>
      </c>
      <c r="F43" s="274">
        <v>2015</v>
      </c>
      <c r="G43" s="276">
        <f>'Master escapements'!C48</f>
        <v>1204</v>
      </c>
      <c r="H43" s="464">
        <v>794.83098847885879</v>
      </c>
      <c r="I43" s="275">
        <f>'Master goals'!$D$7</f>
        <v>400</v>
      </c>
      <c r="J43" s="275">
        <f>'Master goals'!$E$7</f>
        <v>1200</v>
      </c>
      <c r="K43" s="274">
        <v>2015</v>
      </c>
      <c r="L43" s="276">
        <f>'Master escapements'!D48</f>
        <v>202</v>
      </c>
      <c r="M43" s="465">
        <v>142.28391255680097</v>
      </c>
      <c r="N43" s="275">
        <f>'Master goals'!$D$8</f>
        <v>100</v>
      </c>
      <c r="O43" s="275">
        <f>'Master goals'!$E$8</f>
        <v>250</v>
      </c>
      <c r="P43" s="274">
        <v>2015</v>
      </c>
      <c r="Q43" s="276">
        <f>'Master escapements'!E48</f>
        <v>9940</v>
      </c>
      <c r="R43" s="466">
        <v>9182.3682647988262</v>
      </c>
      <c r="S43" s="459">
        <v>2015</v>
      </c>
      <c r="T43" s="275">
        <f>'Berners River'!J128</f>
        <v>12338</v>
      </c>
      <c r="U43" s="468">
        <v>11397.342851418469</v>
      </c>
      <c r="V43" s="458">
        <v>3600</v>
      </c>
      <c r="W43" s="458">
        <v>8100</v>
      </c>
      <c r="X43" s="274">
        <v>2015</v>
      </c>
      <c r="Y43" s="275">
        <v>1461</v>
      </c>
      <c r="Z43" s="460">
        <v>2015</v>
      </c>
      <c r="AA43" s="275">
        <f>'Master escapements'!F48</f>
        <v>47372</v>
      </c>
      <c r="AB43" s="461">
        <v>57282.408186591107</v>
      </c>
      <c r="AC43" s="275">
        <f>'Master goals'!$D$13</f>
        <v>30000</v>
      </c>
      <c r="AD43" s="275">
        <f>'Master goals'!$E$13</f>
        <v>70000</v>
      </c>
      <c r="AE43" s="274">
        <v>2015</v>
      </c>
      <c r="AF43" s="276">
        <f>'Master escapements'!G48</f>
        <v>60178</v>
      </c>
      <c r="AG43" s="462">
        <v>80524.746977644812</v>
      </c>
      <c r="AH43" s="275">
        <f>'Master goals'!$D$5</f>
        <v>50000</v>
      </c>
      <c r="AI43" s="275">
        <f>'Master goals'!$E$5</f>
        <v>90000</v>
      </c>
      <c r="AJ43" s="274">
        <v>2015</v>
      </c>
    </row>
    <row r="44" spans="1:36" s="274" customFormat="1" x14ac:dyDescent="0.2">
      <c r="A44" s="274">
        <v>2016</v>
      </c>
      <c r="B44" s="275">
        <f>'Master escapements'!B49</f>
        <v>204</v>
      </c>
      <c r="C44" s="463">
        <v>425.56654872932177</v>
      </c>
      <c r="D44" s="275">
        <f>'Master goals'!$D$6</f>
        <v>200</v>
      </c>
      <c r="E44" s="275">
        <f>'Master goals'!$E$6</f>
        <v>500</v>
      </c>
      <c r="F44" s="274">
        <v>2016</v>
      </c>
      <c r="G44" s="276">
        <f>'Master escapements'!C49</f>
        <v>717</v>
      </c>
      <c r="H44" s="464">
        <v>802.50892275611523</v>
      </c>
      <c r="I44" s="275">
        <f>'Master goals'!$D$7</f>
        <v>400</v>
      </c>
      <c r="J44" s="275">
        <f>'Master goals'!$E$7</f>
        <v>1200</v>
      </c>
      <c r="K44" s="274">
        <v>2016</v>
      </c>
      <c r="L44" s="276">
        <f>'Master escapements'!D49</f>
        <v>52</v>
      </c>
      <c r="M44" s="465">
        <v>91.960223861699433</v>
      </c>
      <c r="N44" s="275">
        <f>'Master goals'!$D$8</f>
        <v>100</v>
      </c>
      <c r="O44" s="275">
        <f>'Master goals'!$E$8</f>
        <v>250</v>
      </c>
      <c r="P44" s="274">
        <v>2016</v>
      </c>
      <c r="Q44" s="276">
        <f>'Master escapements'!E49</f>
        <v>6733</v>
      </c>
      <c r="R44" s="466">
        <v>8351.2075946646655</v>
      </c>
      <c r="S44" s="459">
        <v>2016</v>
      </c>
      <c r="T44" s="275">
        <f>'Berners River'!J129</f>
        <v>8357</v>
      </c>
      <c r="U44" s="468">
        <v>10365.619401513555</v>
      </c>
      <c r="V44" s="458">
        <v>3600</v>
      </c>
      <c r="W44" s="458">
        <v>8100</v>
      </c>
      <c r="X44" s="274">
        <v>2016</v>
      </c>
      <c r="Y44" s="275">
        <v>823</v>
      </c>
      <c r="Z44" s="460">
        <v>2016</v>
      </c>
      <c r="AA44" s="275">
        <f>'Master escapements'!F49</f>
        <v>26280</v>
      </c>
      <c r="AB44" s="461">
        <v>43972.13726977515</v>
      </c>
      <c r="AC44" s="275">
        <f>'Master goals'!$D$13</f>
        <v>30000</v>
      </c>
      <c r="AD44" s="275">
        <f>'Master goals'!$E$13</f>
        <v>70000</v>
      </c>
      <c r="AE44" s="274">
        <v>2016</v>
      </c>
      <c r="AF44" s="276">
        <f>'Master escapements'!G49</f>
        <v>87704</v>
      </c>
      <c r="AG44" s="462">
        <v>73767.326182598044</v>
      </c>
      <c r="AH44" s="275">
        <f>'Master goals'!$D$5</f>
        <v>50000</v>
      </c>
      <c r="AI44" s="275">
        <f>'Master goals'!$E$5</f>
        <v>90000</v>
      </c>
      <c r="AJ44" s="274">
        <v>2016</v>
      </c>
    </row>
    <row r="45" spans="1:36" s="274" customFormat="1" x14ac:dyDescent="0.2">
      <c r="A45" s="274">
        <v>2017</v>
      </c>
      <c r="B45" s="275">
        <f>'Master escapements'!B50</f>
        <v>283</v>
      </c>
      <c r="C45" s="463">
        <v>174.53906758778794</v>
      </c>
      <c r="D45" s="275">
        <f>'Master goals'!$D$6</f>
        <v>200</v>
      </c>
      <c r="E45" s="275">
        <f>'Master goals'!$E$6</f>
        <v>500</v>
      </c>
      <c r="F45" s="274">
        <v>2017</v>
      </c>
      <c r="G45" s="276">
        <f>'Master escapements'!C50</f>
        <v>634</v>
      </c>
      <c r="H45" s="464">
        <v>779.29498287304364</v>
      </c>
      <c r="I45" s="275">
        <f>'Master goals'!$D$7</f>
        <v>400</v>
      </c>
      <c r="J45" s="275">
        <f>'Master goals'!$E$7</f>
        <v>1200</v>
      </c>
      <c r="K45" s="274">
        <v>2017</v>
      </c>
      <c r="L45" s="276">
        <f>'Master escapements'!D50</f>
        <v>20</v>
      </c>
      <c r="M45" s="465">
        <v>33.554318879449852</v>
      </c>
      <c r="N45" s="275">
        <f>'Master goals'!$D$8</f>
        <v>100</v>
      </c>
      <c r="O45" s="275">
        <f>'Master goals'!$E$8</f>
        <v>250</v>
      </c>
      <c r="P45" s="274">
        <v>2017</v>
      </c>
      <c r="Q45" s="276">
        <f>'Master escapements'!E50</f>
        <v>7040</v>
      </c>
      <c r="R45" s="466">
        <v>7180.4979698385432</v>
      </c>
      <c r="S45" s="459">
        <v>2017</v>
      </c>
      <c r="T45" s="275">
        <f>'Berners River'!J130</f>
        <v>8738</v>
      </c>
      <c r="U45" s="468">
        <v>8912.4333065447299</v>
      </c>
      <c r="V45" s="458">
        <v>3600</v>
      </c>
      <c r="W45" s="458">
        <v>8100</v>
      </c>
      <c r="X45" s="274">
        <v>2017</v>
      </c>
      <c r="Y45" s="275">
        <v>1021</v>
      </c>
      <c r="Z45" s="460">
        <v>2017</v>
      </c>
      <c r="AA45" s="275">
        <f>'Master escapements'!F50</f>
        <v>34482</v>
      </c>
      <c r="AB45" s="461">
        <v>28017.849297810499</v>
      </c>
      <c r="AC45" s="275">
        <f>'Master goals'!$D$13</f>
        <v>30000</v>
      </c>
      <c r="AD45" s="275">
        <f>'Master goals'!$E$13</f>
        <v>70000</v>
      </c>
      <c r="AE45" s="274">
        <v>2017</v>
      </c>
      <c r="AF45" s="276">
        <f>'Master escapements'!G50</f>
        <v>57868</v>
      </c>
      <c r="AG45" s="462">
        <v>65972.575381206014</v>
      </c>
      <c r="AH45" s="275">
        <f>'Master goals'!$D$5</f>
        <v>50000</v>
      </c>
      <c r="AI45" s="275">
        <f>'Master goals'!$E$5</f>
        <v>90000</v>
      </c>
      <c r="AJ45" s="274">
        <v>2017</v>
      </c>
    </row>
    <row r="47" spans="1:36" x14ac:dyDescent="0.2">
      <c r="G47" s="227">
        <f>COUNT(G9:G44)</f>
        <v>36</v>
      </c>
      <c r="X47" s="227">
        <f>AA35/30000</f>
        <v>0.82566666666666666</v>
      </c>
    </row>
    <row r="48" spans="1:36" ht="13.5" thickBot="1" x14ac:dyDescent="0.25">
      <c r="N48" s="262" t="s">
        <v>196</v>
      </c>
      <c r="O48" s="262"/>
      <c r="P48" s="262"/>
      <c r="Q48" s="262"/>
      <c r="R48" s="258"/>
      <c r="S48" s="258"/>
      <c r="T48" s="262"/>
      <c r="U48" s="272" t="s">
        <v>195</v>
      </c>
      <c r="V48" s="262"/>
      <c r="X48" s="227">
        <f>AA44/30000</f>
        <v>0.876</v>
      </c>
    </row>
    <row r="49" spans="14:43" ht="12.75" customHeight="1" x14ac:dyDescent="0.2">
      <c r="N49" s="271"/>
      <c r="O49" s="542" t="s">
        <v>194</v>
      </c>
      <c r="P49" s="542"/>
      <c r="Q49" s="542"/>
      <c r="R49" s="543" t="s">
        <v>8</v>
      </c>
      <c r="S49" s="543"/>
      <c r="T49" s="542" t="s">
        <v>193</v>
      </c>
      <c r="U49" s="542"/>
      <c r="V49" s="270"/>
    </row>
    <row r="50" spans="14:43" ht="24.75" thickBot="1" x14ac:dyDescent="0.25">
      <c r="N50" s="269" t="s">
        <v>3</v>
      </c>
      <c r="O50" s="269" t="s">
        <v>192</v>
      </c>
      <c r="P50" s="269" t="s">
        <v>191</v>
      </c>
      <c r="Q50" s="269" t="s">
        <v>190</v>
      </c>
      <c r="R50" s="258" t="s">
        <v>189</v>
      </c>
      <c r="S50" s="264" t="s">
        <v>188</v>
      </c>
      <c r="T50" s="269" t="s">
        <v>189</v>
      </c>
      <c r="U50" s="269" t="s">
        <v>188</v>
      </c>
      <c r="V50" s="269" t="s">
        <v>187</v>
      </c>
      <c r="X50" s="227">
        <f>COUNT(AA15:AA44)</f>
        <v>30</v>
      </c>
    </row>
    <row r="51" spans="14:43" x14ac:dyDescent="0.2">
      <c r="N51" s="268">
        <v>1980</v>
      </c>
      <c r="O51" s="238">
        <f t="shared" ref="O51:O88" si="0">B8</f>
        <v>698</v>
      </c>
      <c r="P51" s="260" t="str">
        <f t="shared" ref="P51:P88" si="1">G8</f>
        <v>-</v>
      </c>
      <c r="Q51" s="260" t="str">
        <f t="shared" ref="Q51:Q88" si="2">L8</f>
        <v>-</v>
      </c>
      <c r="R51" s="260" t="str">
        <f t="shared" ref="R51:R88" si="3">Q8</f>
        <v>-</v>
      </c>
      <c r="S51" s="267" t="str">
        <f t="shared" ref="S51:S88" si="4">T8</f>
        <v>-</v>
      </c>
      <c r="T51" s="260" t="str">
        <f>AA8</f>
        <v>-</v>
      </c>
      <c r="U51" s="260" t="str">
        <f t="shared" ref="U51:U88" si="5">AA8</f>
        <v>-</v>
      </c>
      <c r="V51" s="260" t="str">
        <f t="shared" ref="V51:V88" si="6">AF8</f>
        <v>-</v>
      </c>
      <c r="X51" s="227">
        <f>COUNT(AA34:AA44)</f>
        <v>11</v>
      </c>
      <c r="AG51" s="242"/>
      <c r="AH51" s="242"/>
      <c r="AI51" s="242"/>
      <c r="AJ51" s="242"/>
      <c r="AK51" s="242"/>
      <c r="AL51" s="242"/>
      <c r="AM51" s="242"/>
      <c r="AN51" s="242"/>
      <c r="AO51" s="242"/>
      <c r="AP51" s="242"/>
      <c r="AQ51" s="242"/>
    </row>
    <row r="52" spans="14:43" x14ac:dyDescent="0.2">
      <c r="N52" s="268">
        <v>1981</v>
      </c>
      <c r="O52" s="238">
        <f t="shared" si="0"/>
        <v>646</v>
      </c>
      <c r="P52" s="260">
        <f t="shared" si="1"/>
        <v>227</v>
      </c>
      <c r="Q52" s="260">
        <f t="shared" si="2"/>
        <v>219</v>
      </c>
      <c r="R52" s="260" t="str">
        <f t="shared" si="3"/>
        <v>-</v>
      </c>
      <c r="S52" s="267" t="str">
        <f t="shared" si="4"/>
        <v>-</v>
      </c>
      <c r="T52" s="260" t="str">
        <f t="shared" ref="T52:T81" si="7">Y9</f>
        <v>-</v>
      </c>
      <c r="U52" s="260" t="str">
        <f t="shared" si="5"/>
        <v>-</v>
      </c>
      <c r="V52" s="260" t="str">
        <f t="shared" si="6"/>
        <v>-</v>
      </c>
      <c r="AG52" s="242"/>
      <c r="AH52" s="242"/>
      <c r="AI52" s="242"/>
      <c r="AJ52" s="242"/>
      <c r="AK52" s="242"/>
      <c r="AL52" s="242"/>
      <c r="AM52" s="242"/>
      <c r="AN52" s="242"/>
      <c r="AO52" s="242"/>
      <c r="AP52" s="242"/>
      <c r="AQ52" s="242"/>
    </row>
    <row r="53" spans="14:43" x14ac:dyDescent="0.2">
      <c r="N53" s="268">
        <v>1982</v>
      </c>
      <c r="O53" s="238">
        <f t="shared" si="0"/>
        <v>447</v>
      </c>
      <c r="P53" s="260">
        <f t="shared" si="1"/>
        <v>545</v>
      </c>
      <c r="Q53" s="260">
        <f t="shared" si="2"/>
        <v>320</v>
      </c>
      <c r="R53" s="260">
        <f t="shared" si="3"/>
        <v>7505</v>
      </c>
      <c r="S53" s="267" t="str">
        <f t="shared" si="4"/>
        <v>-</v>
      </c>
      <c r="T53" s="260" t="str">
        <f t="shared" si="7"/>
        <v>-</v>
      </c>
      <c r="U53" s="260" t="str">
        <f t="shared" si="5"/>
        <v>-</v>
      </c>
      <c r="V53" s="260" t="str">
        <f t="shared" si="6"/>
        <v>-</v>
      </c>
      <c r="AA53" s="242"/>
      <c r="AG53" s="242"/>
      <c r="AH53" s="242"/>
      <c r="AI53" s="242"/>
      <c r="AJ53" s="242"/>
      <c r="AK53" s="242"/>
      <c r="AL53" s="242"/>
      <c r="AM53" s="242"/>
      <c r="AN53" s="242"/>
      <c r="AO53" s="242"/>
      <c r="AP53" s="242"/>
      <c r="AQ53" s="242"/>
    </row>
    <row r="54" spans="14:43" x14ac:dyDescent="0.2">
      <c r="N54" s="268">
        <v>1983</v>
      </c>
      <c r="O54" s="238">
        <f t="shared" si="0"/>
        <v>694</v>
      </c>
      <c r="P54" s="260">
        <f t="shared" si="1"/>
        <v>636</v>
      </c>
      <c r="Q54" s="260">
        <f t="shared" si="2"/>
        <v>219</v>
      </c>
      <c r="R54" s="260">
        <f t="shared" si="3"/>
        <v>9840</v>
      </c>
      <c r="S54" s="267" t="str">
        <f t="shared" si="4"/>
        <v>-</v>
      </c>
      <c r="T54" s="260" t="str">
        <f t="shared" si="7"/>
        <v>-</v>
      </c>
      <c r="U54" s="260" t="str">
        <f t="shared" si="5"/>
        <v>-</v>
      </c>
      <c r="V54" s="260" t="str">
        <f t="shared" si="6"/>
        <v>-</v>
      </c>
      <c r="AA54" s="242"/>
      <c r="AG54" s="242"/>
      <c r="AH54" s="242"/>
      <c r="AI54" s="242"/>
      <c r="AJ54" s="242"/>
      <c r="AK54" s="242"/>
      <c r="AL54" s="242"/>
      <c r="AM54" s="242"/>
      <c r="AN54" s="242"/>
      <c r="AO54" s="242"/>
      <c r="AP54" s="242"/>
      <c r="AQ54" s="242"/>
    </row>
    <row r="55" spans="14:43" x14ac:dyDescent="0.2">
      <c r="N55" s="268">
        <v>1984</v>
      </c>
      <c r="O55" s="238">
        <f t="shared" si="0"/>
        <v>651</v>
      </c>
      <c r="P55" s="260">
        <f t="shared" si="1"/>
        <v>581</v>
      </c>
      <c r="Q55" s="260">
        <f t="shared" si="2"/>
        <v>189</v>
      </c>
      <c r="R55" s="260">
        <f t="shared" si="3"/>
        <v>2825</v>
      </c>
      <c r="S55" s="267" t="str">
        <f t="shared" si="4"/>
        <v>-</v>
      </c>
      <c r="T55" s="260" t="str">
        <f t="shared" si="7"/>
        <v>-</v>
      </c>
      <c r="U55" s="260" t="str">
        <f t="shared" si="5"/>
        <v>-</v>
      </c>
      <c r="V55" s="260" t="str">
        <f t="shared" si="6"/>
        <v>-</v>
      </c>
      <c r="AA55" s="242"/>
      <c r="AG55" s="242"/>
      <c r="AH55" s="242"/>
      <c r="AI55" s="242"/>
      <c r="AJ55" s="242"/>
      <c r="AK55" s="242"/>
      <c r="AL55" s="242"/>
      <c r="AM55" s="242"/>
      <c r="AN55" s="242"/>
      <c r="AO55" s="242"/>
      <c r="AP55" s="242"/>
      <c r="AQ55" s="242"/>
    </row>
    <row r="56" spans="14:43" x14ac:dyDescent="0.2">
      <c r="N56" s="268">
        <v>1985</v>
      </c>
      <c r="O56" s="238">
        <f t="shared" si="0"/>
        <v>942</v>
      </c>
      <c r="P56" s="260">
        <f t="shared" si="1"/>
        <v>810</v>
      </c>
      <c r="Q56" s="260">
        <f t="shared" si="2"/>
        <v>276</v>
      </c>
      <c r="R56" s="260">
        <f t="shared" si="3"/>
        <v>6169</v>
      </c>
      <c r="S56" s="267" t="str">
        <f t="shared" si="4"/>
        <v>-</v>
      </c>
      <c r="T56" s="260" t="str">
        <f t="shared" si="7"/>
        <v>-</v>
      </c>
      <c r="U56" s="260" t="str">
        <f t="shared" si="5"/>
        <v>-</v>
      </c>
      <c r="V56" s="260" t="str">
        <f t="shared" si="6"/>
        <v>-</v>
      </c>
      <c r="AA56" s="242"/>
      <c r="AG56" s="242"/>
      <c r="AH56" s="242"/>
      <c r="AI56" s="242"/>
      <c r="AJ56" s="242"/>
      <c r="AK56" s="242"/>
      <c r="AL56" s="242"/>
      <c r="AM56" s="242"/>
      <c r="AN56" s="242"/>
      <c r="AO56" s="242"/>
      <c r="AP56" s="242"/>
      <c r="AQ56" s="242"/>
    </row>
    <row r="57" spans="14:43" x14ac:dyDescent="0.2">
      <c r="N57" s="268">
        <v>1986</v>
      </c>
      <c r="O57" s="238">
        <f t="shared" si="0"/>
        <v>454</v>
      </c>
      <c r="P57" s="260">
        <f t="shared" si="1"/>
        <v>60</v>
      </c>
      <c r="Q57" s="260">
        <f t="shared" si="2"/>
        <v>363</v>
      </c>
      <c r="R57" s="260">
        <f t="shared" si="3"/>
        <v>1752</v>
      </c>
      <c r="S57" s="267" t="str">
        <f t="shared" si="4"/>
        <v>-</v>
      </c>
      <c r="T57" s="260" t="str">
        <f t="shared" si="7"/>
        <v>-</v>
      </c>
      <c r="U57" s="260" t="str">
        <f t="shared" si="5"/>
        <v>-</v>
      </c>
      <c r="V57" s="260" t="str">
        <f t="shared" si="6"/>
        <v>-</v>
      </c>
      <c r="AA57" s="242"/>
      <c r="AG57" s="242"/>
      <c r="AH57" s="242"/>
      <c r="AI57" s="242"/>
      <c r="AJ57" s="242"/>
      <c r="AK57" s="242"/>
      <c r="AL57" s="242"/>
      <c r="AM57" s="242"/>
      <c r="AN57" s="242"/>
      <c r="AO57" s="242"/>
      <c r="AP57" s="242"/>
      <c r="AQ57" s="242"/>
    </row>
    <row r="58" spans="14:43" x14ac:dyDescent="0.2">
      <c r="N58" s="268">
        <v>1987</v>
      </c>
      <c r="O58" s="238">
        <f t="shared" si="0"/>
        <v>668</v>
      </c>
      <c r="P58" s="260">
        <f t="shared" si="1"/>
        <v>314</v>
      </c>
      <c r="Q58" s="260">
        <f t="shared" si="2"/>
        <v>204</v>
      </c>
      <c r="R58" s="260">
        <f t="shared" si="3"/>
        <v>3260</v>
      </c>
      <c r="S58" s="267" t="str">
        <f t="shared" si="4"/>
        <v>-</v>
      </c>
      <c r="T58" s="260">
        <f t="shared" si="7"/>
        <v>1113</v>
      </c>
      <c r="U58" s="260">
        <f t="shared" si="5"/>
        <v>37432.148331849698</v>
      </c>
      <c r="V58" s="260">
        <f t="shared" si="6"/>
        <v>55457</v>
      </c>
      <c r="X58" s="242"/>
      <c r="Y58" s="242"/>
      <c r="AA58" s="242"/>
      <c r="AC58" s="242"/>
      <c r="AD58" s="242"/>
      <c r="AE58" s="242"/>
      <c r="AG58" s="242"/>
      <c r="AH58" s="242"/>
      <c r="AI58" s="242"/>
      <c r="AJ58" s="242"/>
      <c r="AK58" s="242"/>
      <c r="AL58" s="242"/>
      <c r="AM58" s="242"/>
      <c r="AN58" s="242"/>
      <c r="AO58" s="242"/>
      <c r="AP58" s="242"/>
      <c r="AQ58" s="242"/>
    </row>
    <row r="59" spans="14:43" x14ac:dyDescent="0.2">
      <c r="N59" s="268">
        <v>1988</v>
      </c>
      <c r="O59" s="238">
        <f t="shared" si="0"/>
        <v>756</v>
      </c>
      <c r="P59" s="260">
        <f t="shared" si="1"/>
        <v>164</v>
      </c>
      <c r="Q59" s="260">
        <f t="shared" si="2"/>
        <v>542</v>
      </c>
      <c r="R59" s="260">
        <f t="shared" si="3"/>
        <v>2724</v>
      </c>
      <c r="S59" s="267" t="str">
        <f t="shared" si="4"/>
        <v>-</v>
      </c>
      <c r="T59" s="260">
        <f t="shared" si="7"/>
        <v>877</v>
      </c>
      <c r="U59" s="260">
        <f t="shared" si="5"/>
        <v>29495.053088079232</v>
      </c>
      <c r="V59" s="260">
        <f t="shared" si="6"/>
        <v>39450</v>
      </c>
      <c r="X59" s="242"/>
      <c r="Y59" s="242"/>
      <c r="AA59" s="242"/>
      <c r="AD59" s="242"/>
      <c r="AE59" s="242"/>
      <c r="AG59" s="242"/>
      <c r="AH59" s="242"/>
      <c r="AI59" s="242"/>
      <c r="AJ59" s="242"/>
      <c r="AK59" s="242"/>
      <c r="AL59" s="242"/>
      <c r="AM59" s="242"/>
      <c r="AN59" s="242"/>
      <c r="AO59" s="242"/>
      <c r="AP59" s="242"/>
      <c r="AQ59" s="242"/>
    </row>
    <row r="60" spans="14:43" x14ac:dyDescent="0.2">
      <c r="N60" s="268">
        <v>1989</v>
      </c>
      <c r="O60" s="238">
        <f t="shared" si="0"/>
        <v>502</v>
      </c>
      <c r="P60" s="260">
        <f t="shared" si="1"/>
        <v>566</v>
      </c>
      <c r="Q60" s="260">
        <f t="shared" si="2"/>
        <v>242</v>
      </c>
      <c r="R60" s="260">
        <f t="shared" si="3"/>
        <v>7509</v>
      </c>
      <c r="S60" s="267">
        <f t="shared" si="4"/>
        <v>9320</v>
      </c>
      <c r="T60" s="260">
        <f t="shared" si="7"/>
        <v>1452</v>
      </c>
      <c r="U60" s="260">
        <f t="shared" si="5"/>
        <v>48833.314804892871</v>
      </c>
      <c r="V60" s="260">
        <f t="shared" si="6"/>
        <v>56808</v>
      </c>
      <c r="X60" s="242"/>
      <c r="Y60" s="242"/>
      <c r="AA60" s="242"/>
      <c r="AB60" s="242"/>
      <c r="AC60" s="242"/>
      <c r="AD60" s="242"/>
      <c r="AE60" s="242"/>
      <c r="AG60" s="242"/>
      <c r="AH60" s="242"/>
      <c r="AI60" s="242"/>
      <c r="AJ60" s="242"/>
      <c r="AK60" s="242"/>
      <c r="AL60" s="242"/>
      <c r="AM60" s="242"/>
      <c r="AN60" s="242"/>
      <c r="AO60" s="242"/>
      <c r="AP60" s="242"/>
      <c r="AQ60" s="242"/>
    </row>
    <row r="61" spans="14:43" x14ac:dyDescent="0.2">
      <c r="N61" s="268">
        <v>1990</v>
      </c>
      <c r="O61" s="238">
        <f t="shared" si="0"/>
        <v>697</v>
      </c>
      <c r="P61" s="260">
        <f t="shared" si="1"/>
        <v>1711</v>
      </c>
      <c r="Q61" s="260">
        <f t="shared" si="2"/>
        <v>324</v>
      </c>
      <c r="R61" s="260">
        <f t="shared" si="3"/>
        <v>11050</v>
      </c>
      <c r="S61" s="267">
        <f t="shared" si="4"/>
        <v>13715</v>
      </c>
      <c r="T61" s="260">
        <f t="shared" si="7"/>
        <v>3383</v>
      </c>
      <c r="U61" s="260">
        <f t="shared" si="5"/>
        <v>79807</v>
      </c>
      <c r="V61" s="260">
        <f t="shared" si="6"/>
        <v>72196</v>
      </c>
      <c r="X61" s="242"/>
      <c r="Y61" s="242"/>
      <c r="AA61" s="242"/>
      <c r="AB61" s="242"/>
      <c r="AC61" s="242"/>
      <c r="AE61" s="242"/>
      <c r="AG61" s="242"/>
      <c r="AH61" s="242"/>
      <c r="AI61" s="242"/>
      <c r="AJ61" s="242"/>
      <c r="AK61" s="242"/>
      <c r="AL61" s="242"/>
      <c r="AM61" s="242"/>
      <c r="AN61" s="242"/>
      <c r="AO61" s="242"/>
      <c r="AP61" s="242"/>
      <c r="AQ61" s="242"/>
    </row>
    <row r="62" spans="14:43" x14ac:dyDescent="0.2">
      <c r="N62" s="268">
        <v>1991</v>
      </c>
      <c r="O62" s="238">
        <f t="shared" si="0"/>
        <v>808</v>
      </c>
      <c r="P62" s="260">
        <f t="shared" si="1"/>
        <v>1415</v>
      </c>
      <c r="Q62" s="260">
        <f t="shared" si="2"/>
        <v>410</v>
      </c>
      <c r="R62" s="260">
        <f t="shared" si="3"/>
        <v>11530</v>
      </c>
      <c r="S62" s="267">
        <f t="shared" si="4"/>
        <v>14311</v>
      </c>
      <c r="T62" s="260">
        <f t="shared" si="7"/>
        <v>2513</v>
      </c>
      <c r="U62" s="260">
        <f t="shared" si="5"/>
        <v>84516.611642352465</v>
      </c>
      <c r="V62" s="260">
        <f t="shared" si="6"/>
        <v>127484</v>
      </c>
      <c r="X62" s="242"/>
      <c r="Y62" s="242"/>
      <c r="AA62" s="242"/>
      <c r="AB62" s="242"/>
      <c r="AC62" s="242"/>
      <c r="AD62" s="242"/>
      <c r="AE62" s="242"/>
      <c r="AG62" s="242"/>
      <c r="AH62" s="242"/>
      <c r="AI62" s="242"/>
      <c r="AJ62" s="242"/>
      <c r="AK62" s="242"/>
      <c r="AL62" s="242"/>
      <c r="AM62" s="242"/>
      <c r="AN62" s="242"/>
      <c r="AO62" s="242"/>
      <c r="AP62" s="242"/>
      <c r="AQ62" s="242"/>
    </row>
    <row r="63" spans="14:43" x14ac:dyDescent="0.2">
      <c r="N63" s="268">
        <v>1992</v>
      </c>
      <c r="O63" s="238">
        <f t="shared" si="0"/>
        <v>1020</v>
      </c>
      <c r="P63" s="260">
        <f t="shared" si="1"/>
        <v>2512</v>
      </c>
      <c r="Q63" s="260">
        <f t="shared" si="2"/>
        <v>403</v>
      </c>
      <c r="R63" s="260">
        <f t="shared" si="3"/>
        <v>15300</v>
      </c>
      <c r="S63" s="267">
        <f t="shared" si="4"/>
        <v>18991</v>
      </c>
      <c r="T63" s="260">
        <f t="shared" si="7"/>
        <v>2307</v>
      </c>
      <c r="U63" s="260">
        <f t="shared" si="5"/>
        <v>77588.469183807058</v>
      </c>
      <c r="V63" s="260">
        <f t="shared" si="6"/>
        <v>83729</v>
      </c>
      <c r="X63" s="242"/>
      <c r="Y63" s="242"/>
      <c r="AA63" s="242"/>
      <c r="AB63" s="242"/>
      <c r="AC63" s="242"/>
      <c r="AD63" s="242"/>
      <c r="AE63" s="242"/>
      <c r="AG63" s="242"/>
      <c r="AH63" s="242"/>
      <c r="AI63" s="242"/>
      <c r="AJ63" s="242"/>
      <c r="AK63" s="242"/>
      <c r="AL63" s="242"/>
      <c r="AM63" s="242"/>
      <c r="AN63" s="242"/>
      <c r="AO63" s="242"/>
      <c r="AP63" s="242"/>
      <c r="AQ63" s="242"/>
    </row>
    <row r="64" spans="14:43" x14ac:dyDescent="0.2">
      <c r="N64" s="268">
        <v>1993</v>
      </c>
      <c r="O64" s="238">
        <f t="shared" si="0"/>
        <v>859</v>
      </c>
      <c r="P64" s="260">
        <f t="shared" si="1"/>
        <v>1352</v>
      </c>
      <c r="Q64" s="260">
        <f t="shared" si="2"/>
        <v>112</v>
      </c>
      <c r="R64" s="260">
        <f t="shared" si="3"/>
        <v>15670</v>
      </c>
      <c r="S64" s="267">
        <f t="shared" si="4"/>
        <v>19450</v>
      </c>
      <c r="T64" s="260">
        <f t="shared" si="7"/>
        <v>1731</v>
      </c>
      <c r="U64" s="260">
        <f t="shared" si="5"/>
        <v>58216.575707485921</v>
      </c>
      <c r="V64" s="260">
        <f t="shared" si="6"/>
        <v>119330</v>
      </c>
      <c r="X64" s="242"/>
      <c r="Y64" s="242"/>
      <c r="AA64" s="242"/>
      <c r="AB64" s="242"/>
      <c r="AC64" s="242"/>
      <c r="AD64" s="242"/>
      <c r="AE64" s="242"/>
      <c r="AG64" s="242"/>
      <c r="AH64" s="242"/>
      <c r="AI64" s="242"/>
      <c r="AJ64" s="242"/>
      <c r="AK64" s="242"/>
      <c r="AL64" s="242"/>
      <c r="AM64" s="242"/>
      <c r="AN64" s="242"/>
      <c r="AO64" s="242"/>
      <c r="AP64" s="242"/>
      <c r="AQ64" s="242"/>
    </row>
    <row r="65" spans="14:43" x14ac:dyDescent="0.2">
      <c r="N65" s="268">
        <v>1994</v>
      </c>
      <c r="O65" s="238">
        <f t="shared" si="0"/>
        <v>1437</v>
      </c>
      <c r="P65" s="260">
        <f t="shared" si="1"/>
        <v>1829</v>
      </c>
      <c r="Q65" s="260">
        <f t="shared" si="2"/>
        <v>318</v>
      </c>
      <c r="R65" s="260">
        <f t="shared" si="3"/>
        <v>15920</v>
      </c>
      <c r="S65" s="267">
        <f t="shared" si="4"/>
        <v>19760</v>
      </c>
      <c r="T65" s="260">
        <f t="shared" si="7"/>
        <v>5781</v>
      </c>
      <c r="U65" s="260">
        <f t="shared" si="5"/>
        <v>194425.20171286893</v>
      </c>
      <c r="V65" s="260">
        <f t="shared" si="6"/>
        <v>96343</v>
      </c>
      <c r="X65" s="242"/>
      <c r="Y65" s="242"/>
      <c r="AA65" s="242"/>
      <c r="AB65" s="242"/>
      <c r="AC65" s="242"/>
      <c r="AD65" s="242"/>
      <c r="AE65" s="242"/>
      <c r="AG65" s="242"/>
      <c r="AH65" s="242"/>
      <c r="AI65" s="242"/>
      <c r="AJ65" s="242"/>
      <c r="AK65" s="242"/>
      <c r="AL65" s="242"/>
      <c r="AM65" s="242"/>
      <c r="AN65" s="242"/>
      <c r="AO65" s="242"/>
      <c r="AP65" s="242"/>
      <c r="AQ65" s="242"/>
    </row>
    <row r="66" spans="14:43" x14ac:dyDescent="0.2">
      <c r="N66" s="268">
        <v>1995</v>
      </c>
      <c r="O66" s="238">
        <f t="shared" si="0"/>
        <v>460</v>
      </c>
      <c r="P66" s="260">
        <f t="shared" si="1"/>
        <v>600</v>
      </c>
      <c r="Q66" s="260">
        <f t="shared" si="2"/>
        <v>277</v>
      </c>
      <c r="R66" s="260">
        <f t="shared" si="3"/>
        <v>4945</v>
      </c>
      <c r="S66" s="267">
        <f t="shared" si="4"/>
        <v>6138</v>
      </c>
      <c r="T66" s="260">
        <f t="shared" si="7"/>
        <v>1687</v>
      </c>
      <c r="U66" s="260">
        <f t="shared" si="5"/>
        <v>56736.778289155831</v>
      </c>
      <c r="V66" s="260">
        <f t="shared" si="6"/>
        <v>55710</v>
      </c>
      <c r="X66" s="242"/>
      <c r="Y66" s="242"/>
      <c r="AA66" s="242"/>
      <c r="AB66" s="242"/>
      <c r="AC66" s="242"/>
      <c r="AD66" s="242"/>
      <c r="AE66" s="242"/>
      <c r="AG66" s="242"/>
      <c r="AH66" s="242"/>
      <c r="AI66" s="242"/>
      <c r="AJ66" s="242"/>
      <c r="AK66" s="242"/>
      <c r="AL66" s="242"/>
      <c r="AM66" s="242"/>
      <c r="AN66" s="242"/>
      <c r="AO66" s="242"/>
      <c r="AP66" s="242"/>
      <c r="AQ66" s="242"/>
    </row>
    <row r="67" spans="14:43" x14ac:dyDescent="0.2">
      <c r="N67" s="268">
        <v>1996</v>
      </c>
      <c r="O67" s="238">
        <f t="shared" si="0"/>
        <v>515</v>
      </c>
      <c r="P67" s="260">
        <f t="shared" si="1"/>
        <v>798</v>
      </c>
      <c r="Q67" s="260">
        <f t="shared" si="2"/>
        <v>263</v>
      </c>
      <c r="R67" s="260">
        <f t="shared" si="3"/>
        <v>6050</v>
      </c>
      <c r="S67" s="267">
        <f t="shared" si="4"/>
        <v>7509</v>
      </c>
      <c r="T67" s="260">
        <f t="shared" si="7"/>
        <v>1110</v>
      </c>
      <c r="U67" s="260">
        <f t="shared" si="5"/>
        <v>37331.253053327193</v>
      </c>
      <c r="V67" s="260">
        <f t="shared" si="6"/>
        <v>44635</v>
      </c>
      <c r="X67" s="242"/>
      <c r="Y67" s="242"/>
      <c r="AA67" s="242"/>
      <c r="AB67" s="242"/>
      <c r="AC67" s="242"/>
      <c r="AD67" s="242"/>
      <c r="AE67" s="242"/>
      <c r="AG67" s="242"/>
      <c r="AH67" s="242"/>
      <c r="AI67" s="242"/>
      <c r="AJ67" s="242"/>
      <c r="AK67" s="242"/>
      <c r="AL67" s="242"/>
      <c r="AM67" s="242"/>
      <c r="AN67" s="242"/>
      <c r="AO67" s="242"/>
      <c r="AP67" s="242"/>
      <c r="AQ67" s="242"/>
    </row>
    <row r="68" spans="14:43" x14ac:dyDescent="0.2">
      <c r="N68" s="268">
        <v>1997</v>
      </c>
      <c r="O68" s="238">
        <f t="shared" si="0"/>
        <v>609</v>
      </c>
      <c r="P68" s="260">
        <f t="shared" si="1"/>
        <v>1018</v>
      </c>
      <c r="Q68" s="260">
        <f t="shared" si="2"/>
        <v>186</v>
      </c>
      <c r="R68" s="260">
        <f t="shared" si="3"/>
        <v>10050</v>
      </c>
      <c r="S68" s="267">
        <f t="shared" si="4"/>
        <v>12474</v>
      </c>
      <c r="T68" s="260">
        <f t="shared" si="7"/>
        <v>1294</v>
      </c>
      <c r="U68" s="260">
        <f t="shared" si="5"/>
        <v>43519.496802707559</v>
      </c>
      <c r="V68" s="260">
        <f t="shared" si="6"/>
        <v>32345</v>
      </c>
      <c r="X68" s="242"/>
      <c r="Y68" s="242"/>
      <c r="AA68" s="242"/>
      <c r="AB68" s="242"/>
      <c r="AC68" s="242"/>
      <c r="AD68" s="242"/>
      <c r="AE68" s="242"/>
      <c r="AG68" s="242"/>
      <c r="AH68" s="242"/>
      <c r="AI68" s="242"/>
      <c r="AJ68" s="242"/>
      <c r="AK68" s="242"/>
      <c r="AL68" s="242"/>
      <c r="AM68" s="242"/>
      <c r="AN68" s="242"/>
      <c r="AO68" s="242"/>
      <c r="AP68" s="242"/>
      <c r="AQ68" s="242"/>
    </row>
    <row r="69" spans="14:43" x14ac:dyDescent="0.2">
      <c r="N69" s="268">
        <v>1998</v>
      </c>
      <c r="O69" s="238">
        <f t="shared" si="0"/>
        <v>862</v>
      </c>
      <c r="P69" s="260">
        <f t="shared" si="1"/>
        <v>1160</v>
      </c>
      <c r="Q69" s="260">
        <f t="shared" si="2"/>
        <v>102</v>
      </c>
      <c r="R69" s="260">
        <f t="shared" si="3"/>
        <v>6802</v>
      </c>
      <c r="S69" s="267">
        <f t="shared" si="4"/>
        <v>8443</v>
      </c>
      <c r="T69" s="260">
        <f t="shared" si="7"/>
        <v>1460</v>
      </c>
      <c r="U69" s="260">
        <f t="shared" si="5"/>
        <v>50758</v>
      </c>
      <c r="V69" s="260">
        <f t="shared" si="6"/>
        <v>61382</v>
      </c>
      <c r="W69" s="242"/>
      <c r="X69" s="242"/>
      <c r="Y69" s="242"/>
      <c r="AA69" s="242"/>
      <c r="AB69" s="242"/>
      <c r="AC69" s="242"/>
      <c r="AE69" s="242"/>
      <c r="AG69" s="242"/>
      <c r="AH69" s="242"/>
      <c r="AI69" s="242"/>
      <c r="AJ69" s="242"/>
      <c r="AK69" s="242"/>
      <c r="AL69" s="242"/>
      <c r="AM69" s="242"/>
      <c r="AN69" s="242"/>
      <c r="AO69" s="242"/>
      <c r="AP69" s="242"/>
      <c r="AQ69" s="242"/>
    </row>
    <row r="70" spans="14:43" x14ac:dyDescent="0.2">
      <c r="N70" s="268">
        <v>1999</v>
      </c>
      <c r="O70" s="238">
        <f t="shared" si="0"/>
        <v>845</v>
      </c>
      <c r="P70" s="260">
        <f t="shared" si="1"/>
        <v>1000</v>
      </c>
      <c r="Q70" s="260">
        <f t="shared" si="2"/>
        <v>272</v>
      </c>
      <c r="R70" s="260">
        <f t="shared" si="3"/>
        <v>9920</v>
      </c>
      <c r="S70" s="267">
        <f t="shared" si="4"/>
        <v>12313</v>
      </c>
      <c r="T70" s="260">
        <f t="shared" si="7"/>
        <v>1699</v>
      </c>
      <c r="U70" s="260">
        <f t="shared" si="5"/>
        <v>57140.359403245857</v>
      </c>
      <c r="V70" s="260">
        <f t="shared" si="6"/>
        <v>60768</v>
      </c>
      <c r="X70" s="242"/>
      <c r="Y70" s="242"/>
      <c r="AA70" s="242"/>
      <c r="AB70" s="242"/>
      <c r="AC70" s="242"/>
      <c r="AD70" s="242"/>
      <c r="AE70" s="242"/>
      <c r="AG70" s="242"/>
      <c r="AH70" s="242"/>
      <c r="AI70" s="242"/>
      <c r="AJ70" s="242"/>
      <c r="AK70" s="242"/>
      <c r="AL70" s="242"/>
      <c r="AM70" s="242"/>
      <c r="AN70" s="242"/>
      <c r="AO70" s="242"/>
      <c r="AP70" s="242"/>
      <c r="AQ70" s="242"/>
    </row>
    <row r="71" spans="14:43" x14ac:dyDescent="0.2">
      <c r="N71" s="268">
        <v>2000</v>
      </c>
      <c r="O71" s="238">
        <f t="shared" si="0"/>
        <v>683</v>
      </c>
      <c r="P71" s="260">
        <f t="shared" si="1"/>
        <v>961</v>
      </c>
      <c r="Q71" s="260">
        <f t="shared" si="2"/>
        <v>202</v>
      </c>
      <c r="R71" s="260">
        <f t="shared" si="3"/>
        <v>10650</v>
      </c>
      <c r="S71" s="267">
        <f t="shared" si="4"/>
        <v>13219</v>
      </c>
      <c r="T71" s="260">
        <f t="shared" si="7"/>
        <v>2635</v>
      </c>
      <c r="U71" s="260">
        <f t="shared" si="5"/>
        <v>84843</v>
      </c>
      <c r="V71" s="260">
        <f t="shared" si="6"/>
        <v>64700</v>
      </c>
      <c r="X71" s="242"/>
      <c r="Y71" s="242"/>
      <c r="AA71" s="242"/>
      <c r="AB71" s="242"/>
      <c r="AC71" s="242"/>
      <c r="AD71" s="242"/>
      <c r="AE71" s="242"/>
      <c r="AG71" s="242"/>
      <c r="AH71" s="242"/>
      <c r="AI71" s="242"/>
      <c r="AJ71" s="242"/>
      <c r="AK71" s="242"/>
      <c r="AL71" s="242"/>
      <c r="AM71" s="242"/>
      <c r="AN71" s="242"/>
      <c r="AO71" s="242"/>
      <c r="AP71" s="242"/>
      <c r="AQ71" s="242"/>
    </row>
    <row r="72" spans="14:43" x14ac:dyDescent="0.2">
      <c r="N72" s="268">
        <v>2001</v>
      </c>
      <c r="O72" s="238">
        <f t="shared" si="0"/>
        <v>865</v>
      </c>
      <c r="P72" s="260">
        <f t="shared" si="1"/>
        <v>1119</v>
      </c>
      <c r="Q72" s="260">
        <f t="shared" si="2"/>
        <v>106</v>
      </c>
      <c r="R72" s="260">
        <f t="shared" si="3"/>
        <v>19290</v>
      </c>
      <c r="S72" s="267">
        <f t="shared" si="4"/>
        <v>23943</v>
      </c>
      <c r="T72" s="260">
        <f t="shared" si="7"/>
        <v>3232</v>
      </c>
      <c r="U72" s="260">
        <f t="shared" si="5"/>
        <v>107697</v>
      </c>
      <c r="V72" s="260">
        <f t="shared" si="6"/>
        <v>104394</v>
      </c>
      <c r="X72" s="242"/>
      <c r="Y72" s="242"/>
      <c r="AA72" s="242"/>
      <c r="AB72" s="242"/>
      <c r="AC72" s="242"/>
      <c r="AD72" s="242"/>
      <c r="AE72" s="242"/>
      <c r="AG72" s="242"/>
      <c r="AH72" s="242"/>
      <c r="AI72" s="242"/>
      <c r="AJ72" s="242"/>
      <c r="AK72" s="242"/>
      <c r="AL72" s="242"/>
      <c r="AM72" s="242"/>
      <c r="AN72" s="242"/>
      <c r="AO72" s="242"/>
      <c r="AP72" s="242"/>
      <c r="AQ72" s="242"/>
    </row>
    <row r="73" spans="14:43" x14ac:dyDescent="0.2">
      <c r="N73" s="268">
        <v>2002</v>
      </c>
      <c r="O73" s="238">
        <f t="shared" si="0"/>
        <v>1176</v>
      </c>
      <c r="P73" s="260">
        <f t="shared" si="1"/>
        <v>2448</v>
      </c>
      <c r="Q73" s="260">
        <f t="shared" si="2"/>
        <v>195</v>
      </c>
      <c r="R73" s="260">
        <f t="shared" si="3"/>
        <v>27700</v>
      </c>
      <c r="S73" s="267">
        <f t="shared" si="4"/>
        <v>34382</v>
      </c>
      <c r="T73" s="260">
        <f t="shared" si="7"/>
        <v>5660</v>
      </c>
      <c r="U73" s="260">
        <f t="shared" si="5"/>
        <v>204925</v>
      </c>
      <c r="V73" s="260">
        <f t="shared" si="6"/>
        <v>219360</v>
      </c>
      <c r="X73" s="242"/>
      <c r="Y73" s="242"/>
      <c r="AA73" s="242"/>
      <c r="AB73" s="242"/>
      <c r="AC73" s="242"/>
      <c r="AE73" s="242"/>
      <c r="AG73" s="242"/>
      <c r="AH73" s="242"/>
      <c r="AI73" s="242"/>
      <c r="AJ73" s="242"/>
      <c r="AK73" s="242"/>
      <c r="AL73" s="242"/>
      <c r="AM73" s="242"/>
      <c r="AN73" s="242"/>
      <c r="AO73" s="242"/>
      <c r="AP73" s="242"/>
      <c r="AQ73" s="242"/>
    </row>
    <row r="74" spans="14:43" x14ac:dyDescent="0.2">
      <c r="N74" s="268">
        <v>2003</v>
      </c>
      <c r="O74" s="238">
        <f t="shared" si="0"/>
        <v>585</v>
      </c>
      <c r="P74" s="260">
        <f t="shared" si="1"/>
        <v>808</v>
      </c>
      <c r="Q74" s="260">
        <f t="shared" si="2"/>
        <v>203</v>
      </c>
      <c r="R74" s="260">
        <f t="shared" si="3"/>
        <v>10110</v>
      </c>
      <c r="S74" s="267">
        <f t="shared" si="4"/>
        <v>12549</v>
      </c>
      <c r="T74" s="260">
        <f t="shared" si="7"/>
        <v>3950</v>
      </c>
      <c r="U74" s="260">
        <f t="shared" si="5"/>
        <v>133109</v>
      </c>
      <c r="V74" s="260">
        <f t="shared" si="6"/>
        <v>183112</v>
      </c>
      <c r="X74" s="242"/>
      <c r="Y74" s="242"/>
      <c r="AA74" s="242"/>
      <c r="AB74" s="242"/>
      <c r="AC74" s="242"/>
      <c r="AE74" s="242"/>
      <c r="AG74" s="242"/>
      <c r="AH74" s="242"/>
      <c r="AI74" s="242"/>
      <c r="AJ74" s="242"/>
      <c r="AK74" s="242"/>
      <c r="AL74" s="242"/>
      <c r="AM74" s="242"/>
      <c r="AN74" s="242"/>
      <c r="AO74" s="242"/>
      <c r="AP74" s="242"/>
      <c r="AQ74" s="242"/>
    </row>
    <row r="75" spans="14:43" x14ac:dyDescent="0.2">
      <c r="N75" s="268">
        <v>2004</v>
      </c>
      <c r="O75" s="238">
        <f t="shared" si="0"/>
        <v>416</v>
      </c>
      <c r="P75" s="260">
        <f t="shared" si="1"/>
        <v>364</v>
      </c>
      <c r="Q75" s="260">
        <f t="shared" si="2"/>
        <v>284</v>
      </c>
      <c r="R75" s="260">
        <f t="shared" si="3"/>
        <v>14450</v>
      </c>
      <c r="S75" s="267">
        <f t="shared" si="4"/>
        <v>17936</v>
      </c>
      <c r="T75" s="260">
        <f t="shared" si="7"/>
        <v>2006</v>
      </c>
      <c r="U75" s="260">
        <f t="shared" si="5"/>
        <v>67053</v>
      </c>
      <c r="V75" s="260">
        <f t="shared" si="6"/>
        <v>129327</v>
      </c>
      <c r="X75" s="242"/>
      <c r="Y75" s="242"/>
      <c r="AA75" s="242"/>
      <c r="AB75" s="242"/>
      <c r="AC75" s="242"/>
      <c r="AD75" s="242"/>
      <c r="AE75" s="242"/>
      <c r="AG75" s="242"/>
      <c r="AH75" s="242"/>
      <c r="AI75" s="242"/>
      <c r="AJ75" s="242"/>
      <c r="AK75" s="242"/>
      <c r="AL75" s="242"/>
      <c r="AM75" s="242"/>
      <c r="AN75" s="242"/>
      <c r="AO75" s="242"/>
      <c r="AP75" s="242"/>
      <c r="AQ75" s="242"/>
    </row>
    <row r="76" spans="14:43" x14ac:dyDescent="0.2">
      <c r="N76" s="268">
        <v>2005</v>
      </c>
      <c r="O76" s="238">
        <f t="shared" si="0"/>
        <v>450</v>
      </c>
      <c r="P76" s="260">
        <f t="shared" si="1"/>
        <v>351</v>
      </c>
      <c r="Q76" s="260">
        <f t="shared" si="2"/>
        <v>139</v>
      </c>
      <c r="R76" s="260">
        <f t="shared" si="3"/>
        <v>5220</v>
      </c>
      <c r="S76" s="267">
        <f t="shared" si="4"/>
        <v>6479</v>
      </c>
      <c r="T76" s="260">
        <f t="shared" si="7"/>
        <v>977</v>
      </c>
      <c r="U76" s="260">
        <f t="shared" si="5"/>
        <v>34575</v>
      </c>
      <c r="V76" s="260">
        <f t="shared" si="6"/>
        <v>135558</v>
      </c>
      <c r="X76" s="242"/>
      <c r="Y76" s="242"/>
      <c r="AA76" s="242"/>
      <c r="AB76" s="242"/>
      <c r="AE76" s="242"/>
      <c r="AG76" s="242"/>
      <c r="AH76" s="242"/>
      <c r="AI76" s="242"/>
      <c r="AJ76" s="242"/>
      <c r="AK76" s="242"/>
      <c r="AL76" s="242"/>
      <c r="AM76" s="242"/>
      <c r="AN76" s="242"/>
      <c r="AO76" s="242"/>
      <c r="AP76" s="242"/>
      <c r="AQ76" s="242"/>
    </row>
    <row r="77" spans="14:43" x14ac:dyDescent="0.2">
      <c r="N77" s="268">
        <v>2006</v>
      </c>
      <c r="O77" s="238">
        <f t="shared" si="0"/>
        <v>581</v>
      </c>
      <c r="P77" s="260">
        <f t="shared" si="1"/>
        <v>1110</v>
      </c>
      <c r="Q77" s="260">
        <f t="shared" si="2"/>
        <v>439</v>
      </c>
      <c r="R77" s="260">
        <f t="shared" si="3"/>
        <v>5470</v>
      </c>
      <c r="S77" s="267">
        <f t="shared" si="4"/>
        <v>6789</v>
      </c>
      <c r="T77" s="260">
        <f t="shared" si="7"/>
        <v>2399</v>
      </c>
      <c r="U77" s="260">
        <f t="shared" si="5"/>
        <v>79050</v>
      </c>
      <c r="V77" s="260">
        <f t="shared" si="6"/>
        <v>122384</v>
      </c>
      <c r="X77" s="242"/>
      <c r="Y77" s="242"/>
      <c r="AA77" s="242"/>
      <c r="AB77" s="242"/>
      <c r="AC77" s="242"/>
      <c r="AD77" s="242"/>
      <c r="AE77" s="242"/>
      <c r="AG77" s="242"/>
      <c r="AH77" s="242"/>
      <c r="AI77" s="242"/>
      <c r="AJ77" s="242"/>
      <c r="AK77" s="242"/>
      <c r="AL77" s="242"/>
      <c r="AM77" s="242"/>
      <c r="AN77" s="242"/>
      <c r="AO77" s="242"/>
      <c r="AP77" s="242"/>
      <c r="AQ77" s="242"/>
    </row>
    <row r="78" spans="14:43" x14ac:dyDescent="0.2">
      <c r="N78" s="268">
        <v>2007</v>
      </c>
      <c r="O78" s="238">
        <f t="shared" si="0"/>
        <v>352</v>
      </c>
      <c r="P78" s="260">
        <f t="shared" si="1"/>
        <v>324</v>
      </c>
      <c r="Q78" s="260">
        <f t="shared" si="2"/>
        <v>226</v>
      </c>
      <c r="R78" s="260">
        <f t="shared" si="3"/>
        <v>3915</v>
      </c>
      <c r="S78" s="267">
        <f t="shared" si="4"/>
        <v>4859</v>
      </c>
      <c r="T78" s="260">
        <f t="shared" si="7"/>
        <v>758</v>
      </c>
      <c r="U78" s="260">
        <f t="shared" si="5"/>
        <v>24770</v>
      </c>
      <c r="V78" s="260">
        <f t="shared" si="6"/>
        <v>74246</v>
      </c>
      <c r="X78" s="242"/>
      <c r="Y78" s="242"/>
      <c r="AA78" s="242"/>
      <c r="AB78" s="242"/>
      <c r="AD78" s="242"/>
      <c r="AE78" s="242"/>
      <c r="AG78" s="242"/>
      <c r="AH78" s="242"/>
      <c r="AI78" s="242"/>
      <c r="AJ78" s="242"/>
      <c r="AK78" s="242"/>
      <c r="AL78" s="242"/>
      <c r="AM78" s="242"/>
      <c r="AN78" s="242"/>
      <c r="AO78" s="242"/>
      <c r="AP78" s="242"/>
      <c r="AQ78" s="242"/>
    </row>
    <row r="79" spans="14:43" x14ac:dyDescent="0.2">
      <c r="N79" s="268">
        <v>2008</v>
      </c>
      <c r="O79" s="238">
        <f t="shared" si="0"/>
        <v>600</v>
      </c>
      <c r="P79" s="260">
        <f t="shared" si="1"/>
        <v>405</v>
      </c>
      <c r="Q79" s="260">
        <f t="shared" si="2"/>
        <v>660</v>
      </c>
      <c r="R79" s="260">
        <f t="shared" si="3"/>
        <v>6870</v>
      </c>
      <c r="S79" s="267">
        <f t="shared" si="4"/>
        <v>8527</v>
      </c>
      <c r="T79" s="260">
        <f t="shared" si="7"/>
        <v>1706</v>
      </c>
      <c r="U79" s="260">
        <f t="shared" si="5"/>
        <v>56369</v>
      </c>
      <c r="V79" s="260">
        <f t="shared" si="6"/>
        <v>95226</v>
      </c>
      <c r="X79" s="242"/>
      <c r="Y79" s="242"/>
      <c r="AA79" s="242"/>
      <c r="AB79" s="242"/>
      <c r="AC79" s="242"/>
      <c r="AD79" s="242"/>
      <c r="AE79" s="242"/>
      <c r="AG79" s="242"/>
      <c r="AH79" s="242"/>
      <c r="AI79" s="242"/>
      <c r="AJ79" s="242"/>
      <c r="AK79" s="242"/>
      <c r="AL79" s="242"/>
      <c r="AM79" s="242"/>
      <c r="AN79" s="242"/>
      <c r="AO79" s="242"/>
      <c r="AP79" s="242"/>
      <c r="AQ79" s="242"/>
    </row>
    <row r="80" spans="14:43" x14ac:dyDescent="0.2">
      <c r="N80" s="268">
        <v>2009</v>
      </c>
      <c r="O80" s="238">
        <f t="shared" si="0"/>
        <v>360</v>
      </c>
      <c r="P80" s="260">
        <f t="shared" si="1"/>
        <v>698</v>
      </c>
      <c r="Q80" s="260">
        <f t="shared" si="2"/>
        <v>123</v>
      </c>
      <c r="R80" s="260">
        <f t="shared" si="3"/>
        <v>4230</v>
      </c>
      <c r="S80" s="267">
        <f t="shared" si="4"/>
        <v>5250</v>
      </c>
      <c r="T80" s="260">
        <f t="shared" si="7"/>
        <v>1453</v>
      </c>
      <c r="U80" s="260">
        <f t="shared" si="5"/>
        <v>47911</v>
      </c>
      <c r="V80" s="260">
        <f t="shared" si="6"/>
        <v>103950</v>
      </c>
      <c r="X80" s="242"/>
      <c r="Y80" s="242"/>
      <c r="AA80" s="242"/>
      <c r="AB80" s="242"/>
      <c r="AC80" s="242"/>
      <c r="AD80" s="242"/>
      <c r="AE80" s="242"/>
      <c r="AG80" s="242"/>
      <c r="AH80" s="242"/>
      <c r="AI80" s="242"/>
      <c r="AJ80" s="242"/>
      <c r="AK80" s="242"/>
      <c r="AL80" s="242"/>
      <c r="AM80" s="242"/>
      <c r="AN80" s="242"/>
      <c r="AO80" s="242"/>
      <c r="AP80" s="242"/>
      <c r="AQ80" s="242"/>
    </row>
    <row r="81" spans="14:43" x14ac:dyDescent="0.2">
      <c r="N81" s="268">
        <v>2010</v>
      </c>
      <c r="O81" s="238">
        <f t="shared" si="0"/>
        <v>417</v>
      </c>
      <c r="P81" s="260">
        <f t="shared" si="1"/>
        <v>630</v>
      </c>
      <c r="Q81" s="260">
        <f t="shared" si="2"/>
        <v>467</v>
      </c>
      <c r="R81" s="260">
        <f t="shared" si="3"/>
        <v>7520</v>
      </c>
      <c r="S81" s="267">
        <f t="shared" si="4"/>
        <v>9334</v>
      </c>
      <c r="T81" s="260">
        <f t="shared" si="7"/>
        <v>2650</v>
      </c>
      <c r="U81" s="260">
        <f t="shared" si="5"/>
        <v>84909</v>
      </c>
      <c r="V81" s="260">
        <f t="shared" si="6"/>
        <v>126830</v>
      </c>
      <c r="X81" s="242"/>
      <c r="Y81" s="242"/>
      <c r="AA81" s="242"/>
      <c r="AB81" s="242"/>
      <c r="AC81" s="242"/>
      <c r="AD81" s="242"/>
      <c r="AE81" s="242"/>
      <c r="AG81" s="242"/>
      <c r="AH81" s="242"/>
      <c r="AI81" s="242"/>
      <c r="AJ81" s="242"/>
      <c r="AK81" s="242"/>
      <c r="AL81" s="242"/>
      <c r="AM81" s="242"/>
      <c r="AN81" s="242"/>
      <c r="AO81" s="242"/>
      <c r="AP81" s="242"/>
      <c r="AQ81" s="242"/>
    </row>
    <row r="82" spans="14:43" x14ac:dyDescent="0.2">
      <c r="N82" s="268">
        <v>2011</v>
      </c>
      <c r="O82" s="238">
        <f t="shared" si="0"/>
        <v>517</v>
      </c>
      <c r="P82" s="260">
        <f t="shared" si="1"/>
        <v>709</v>
      </c>
      <c r="Q82" s="260">
        <f t="shared" si="2"/>
        <v>138</v>
      </c>
      <c r="R82" s="260">
        <f t="shared" si="3"/>
        <v>6050</v>
      </c>
      <c r="S82" s="267">
        <f t="shared" si="4"/>
        <v>7509</v>
      </c>
      <c r="T82" s="260"/>
      <c r="U82" s="260">
        <f t="shared" si="5"/>
        <v>61099</v>
      </c>
      <c r="V82" s="260">
        <f t="shared" si="6"/>
        <v>70871</v>
      </c>
      <c r="X82" s="242"/>
      <c r="Y82" s="242"/>
      <c r="AA82" s="242"/>
      <c r="AB82" s="242"/>
      <c r="AD82" s="242"/>
      <c r="AE82" s="242"/>
      <c r="AG82" s="242"/>
      <c r="AH82" s="242"/>
      <c r="AI82" s="242"/>
      <c r="AJ82" s="242"/>
      <c r="AK82" s="242"/>
      <c r="AL82" s="242"/>
      <c r="AM82" s="242"/>
      <c r="AN82" s="242"/>
      <c r="AO82" s="242"/>
      <c r="AP82" s="242"/>
      <c r="AQ82" s="242"/>
    </row>
    <row r="83" spans="14:43" x14ac:dyDescent="0.2">
      <c r="N83" s="268">
        <v>2012</v>
      </c>
      <c r="O83" s="238">
        <f t="shared" si="0"/>
        <v>837</v>
      </c>
      <c r="P83" s="260">
        <f t="shared" si="1"/>
        <v>394</v>
      </c>
      <c r="Q83" s="260">
        <f t="shared" si="2"/>
        <v>190</v>
      </c>
      <c r="R83" s="260">
        <f t="shared" si="3"/>
        <v>5480</v>
      </c>
      <c r="S83" s="267">
        <f t="shared" si="4"/>
        <v>6802</v>
      </c>
      <c r="T83" s="260"/>
      <c r="U83" s="260">
        <f t="shared" si="5"/>
        <v>36961</v>
      </c>
      <c r="V83" s="260">
        <f t="shared" si="6"/>
        <v>70775</v>
      </c>
      <c r="X83" s="242"/>
      <c r="Y83" s="242"/>
      <c r="AA83" s="242"/>
      <c r="AB83" s="242"/>
      <c r="AD83" s="242"/>
      <c r="AE83" s="242"/>
      <c r="AG83" s="242"/>
      <c r="AH83" s="242"/>
      <c r="AI83" s="242"/>
      <c r="AJ83" s="242"/>
      <c r="AK83" s="242"/>
      <c r="AL83" s="242"/>
      <c r="AM83" s="242"/>
      <c r="AN83" s="242"/>
      <c r="AO83" s="242"/>
      <c r="AP83" s="242"/>
      <c r="AQ83" s="242"/>
    </row>
    <row r="84" spans="14:43" x14ac:dyDescent="0.2">
      <c r="N84" s="268">
        <v>2013</v>
      </c>
      <c r="O84" s="238">
        <f t="shared" si="0"/>
        <v>736</v>
      </c>
      <c r="P84" s="260">
        <f t="shared" si="1"/>
        <v>367</v>
      </c>
      <c r="Q84" s="260">
        <f t="shared" si="2"/>
        <v>126</v>
      </c>
      <c r="R84" s="260">
        <f t="shared" si="3"/>
        <v>6280</v>
      </c>
      <c r="S84" s="267">
        <f t="shared" si="4"/>
        <v>7795</v>
      </c>
      <c r="T84" s="260"/>
      <c r="U84" s="260">
        <f t="shared" si="5"/>
        <v>51324</v>
      </c>
      <c r="V84" s="260">
        <f t="shared" si="6"/>
        <v>68117</v>
      </c>
      <c r="X84" s="242"/>
      <c r="Y84" s="242"/>
      <c r="AA84" s="242"/>
      <c r="AB84" s="242"/>
      <c r="AD84" s="242"/>
      <c r="AE84" s="242"/>
      <c r="AG84" s="242"/>
      <c r="AH84" s="242"/>
      <c r="AI84" s="242"/>
      <c r="AJ84" s="242"/>
      <c r="AK84" s="242"/>
      <c r="AL84" s="242"/>
      <c r="AM84" s="242"/>
      <c r="AN84" s="242"/>
      <c r="AO84" s="242"/>
      <c r="AP84" s="242"/>
      <c r="AQ84" s="242"/>
    </row>
    <row r="85" spans="14:43" x14ac:dyDescent="0.2">
      <c r="N85" s="268">
        <v>2014</v>
      </c>
      <c r="O85" s="238">
        <f t="shared" si="0"/>
        <v>1533</v>
      </c>
      <c r="P85" s="260">
        <f t="shared" si="1"/>
        <v>911</v>
      </c>
      <c r="Q85" s="260">
        <f t="shared" si="2"/>
        <v>284</v>
      </c>
      <c r="R85" s="260">
        <f t="shared" si="3"/>
        <v>15480</v>
      </c>
      <c r="S85" s="267">
        <f t="shared" si="4"/>
        <v>19214</v>
      </c>
      <c r="T85" s="260"/>
      <c r="U85" s="260">
        <f t="shared" si="5"/>
        <v>130200</v>
      </c>
      <c r="V85" s="260">
        <f t="shared" si="6"/>
        <v>124171</v>
      </c>
      <c r="X85" s="242"/>
      <c r="Y85" s="242"/>
      <c r="AA85" s="242"/>
      <c r="AB85" s="242"/>
      <c r="AD85" s="242"/>
      <c r="AE85" s="242"/>
      <c r="AG85" s="242"/>
      <c r="AH85" s="242"/>
      <c r="AI85" s="242"/>
      <c r="AJ85" s="242"/>
      <c r="AK85" s="242"/>
      <c r="AL85" s="242"/>
      <c r="AM85" s="242"/>
      <c r="AN85" s="242"/>
      <c r="AO85" s="242"/>
      <c r="AP85" s="242"/>
      <c r="AQ85" s="242"/>
    </row>
    <row r="86" spans="14:43" x14ac:dyDescent="0.2">
      <c r="N86" s="268">
        <v>2015</v>
      </c>
      <c r="O86" s="238">
        <f t="shared" si="0"/>
        <v>517</v>
      </c>
      <c r="P86" s="260">
        <f t="shared" si="1"/>
        <v>1204</v>
      </c>
      <c r="Q86" s="260">
        <f t="shared" si="2"/>
        <v>202</v>
      </c>
      <c r="R86" s="260">
        <f t="shared" si="3"/>
        <v>9940</v>
      </c>
      <c r="S86" s="267">
        <f t="shared" si="4"/>
        <v>12338</v>
      </c>
      <c r="T86" s="260"/>
      <c r="U86" s="260">
        <f t="shared" si="5"/>
        <v>47372</v>
      </c>
      <c r="V86" s="260">
        <f t="shared" si="6"/>
        <v>60178</v>
      </c>
      <c r="X86" s="242"/>
      <c r="Y86" s="242"/>
      <c r="AA86" s="242"/>
      <c r="AB86" s="242"/>
      <c r="AD86" s="242"/>
      <c r="AE86" s="242"/>
      <c r="AG86" s="242"/>
      <c r="AH86" s="242"/>
      <c r="AI86" s="242"/>
      <c r="AJ86" s="242"/>
      <c r="AK86" s="242"/>
      <c r="AL86" s="242"/>
      <c r="AM86" s="242"/>
      <c r="AN86" s="242"/>
      <c r="AO86" s="242"/>
      <c r="AP86" s="242"/>
      <c r="AQ86" s="242"/>
    </row>
    <row r="87" spans="14:43" x14ac:dyDescent="0.2">
      <c r="N87" s="268">
        <v>2016</v>
      </c>
      <c r="O87" s="238">
        <f t="shared" si="0"/>
        <v>204</v>
      </c>
      <c r="P87" s="260">
        <f t="shared" si="1"/>
        <v>717</v>
      </c>
      <c r="Q87" s="260">
        <f t="shared" si="2"/>
        <v>52</v>
      </c>
      <c r="R87" s="260">
        <f t="shared" si="3"/>
        <v>6733</v>
      </c>
      <c r="S87" s="267">
        <f t="shared" si="4"/>
        <v>8357</v>
      </c>
      <c r="T87" s="260"/>
      <c r="U87" s="260">
        <f t="shared" si="5"/>
        <v>26280</v>
      </c>
      <c r="V87" s="260">
        <f t="shared" si="6"/>
        <v>87704</v>
      </c>
      <c r="X87" s="242"/>
      <c r="Y87" s="242"/>
      <c r="AA87" s="242"/>
      <c r="AB87" s="242"/>
      <c r="AD87" s="242"/>
      <c r="AE87" s="242"/>
      <c r="AG87" s="242"/>
      <c r="AH87" s="242"/>
      <c r="AI87" s="242"/>
      <c r="AJ87" s="242"/>
      <c r="AK87" s="242"/>
      <c r="AL87" s="242"/>
      <c r="AM87" s="242"/>
      <c r="AN87" s="242"/>
      <c r="AO87" s="242"/>
      <c r="AP87" s="242"/>
      <c r="AQ87" s="242"/>
    </row>
    <row r="88" spans="14:43" x14ac:dyDescent="0.2">
      <c r="N88" s="266">
        <v>2017</v>
      </c>
      <c r="O88" s="265">
        <f t="shared" si="0"/>
        <v>283</v>
      </c>
      <c r="P88" s="257">
        <f t="shared" si="1"/>
        <v>634</v>
      </c>
      <c r="Q88" s="260">
        <f t="shared" si="2"/>
        <v>20</v>
      </c>
      <c r="R88" s="257">
        <f t="shared" si="3"/>
        <v>7040</v>
      </c>
      <c r="S88" s="264">
        <f t="shared" si="4"/>
        <v>8738</v>
      </c>
      <c r="T88" s="257"/>
      <c r="U88" s="260">
        <f t="shared" si="5"/>
        <v>34482</v>
      </c>
      <c r="V88" s="260">
        <f t="shared" si="6"/>
        <v>57868</v>
      </c>
    </row>
    <row r="89" spans="14:43" x14ac:dyDescent="0.2">
      <c r="N89" s="263" t="s">
        <v>32</v>
      </c>
      <c r="O89" s="263">
        <f>AVERAGE(O51:O88)</f>
        <v>675.84210526315792</v>
      </c>
      <c r="P89" s="263">
        <f t="shared" ref="P89:U89" si="8">AVERAGE(P51:P88)</f>
        <v>850.05405405405406</v>
      </c>
      <c r="Q89" s="263">
        <f t="shared" si="8"/>
        <v>251.27027027027026</v>
      </c>
      <c r="R89" s="263">
        <f t="shared" si="8"/>
        <v>8923.5833333333339</v>
      </c>
      <c r="S89" s="263">
        <f>AVERAGE(S51:S88)</f>
        <v>12291.172413793103</v>
      </c>
      <c r="T89" s="263">
        <f t="shared" si="8"/>
        <v>2243.0416666666665</v>
      </c>
      <c r="U89" s="263">
        <f t="shared" si="8"/>
        <v>69959.008452250724</v>
      </c>
      <c r="V89" s="263">
        <f>AVERAGE(V51:V88)</f>
        <v>90464.774193548394</v>
      </c>
    </row>
    <row r="90" spans="14:43" x14ac:dyDescent="0.2">
      <c r="N90" s="261" t="s">
        <v>157</v>
      </c>
      <c r="O90" s="261"/>
      <c r="P90" s="261"/>
      <c r="Q90" s="261"/>
      <c r="R90" s="261"/>
      <c r="S90" s="262"/>
      <c r="T90" s="261"/>
      <c r="U90" s="261"/>
      <c r="V90" s="261"/>
    </row>
    <row r="91" spans="14:43" x14ac:dyDescent="0.2">
      <c r="N91" s="261" t="s">
        <v>113</v>
      </c>
      <c r="O91" s="261">
        <v>340</v>
      </c>
      <c r="P91" s="261" t="s">
        <v>165</v>
      </c>
      <c r="Q91" s="261" t="s">
        <v>165</v>
      </c>
      <c r="R91" s="260">
        <v>6300</v>
      </c>
      <c r="S91" s="262"/>
      <c r="T91" s="260">
        <v>1550</v>
      </c>
      <c r="U91" s="260">
        <v>50000</v>
      </c>
      <c r="V91" s="260">
        <v>70000</v>
      </c>
    </row>
    <row r="92" spans="14:43" x14ac:dyDescent="0.2">
      <c r="N92" s="261" t="s">
        <v>7</v>
      </c>
      <c r="O92" s="261">
        <v>200</v>
      </c>
      <c r="P92" s="261">
        <v>400</v>
      </c>
      <c r="Q92" s="261">
        <v>100</v>
      </c>
      <c r="R92" s="260">
        <v>4000</v>
      </c>
      <c r="S92" s="262"/>
      <c r="T92" s="261">
        <v>950</v>
      </c>
      <c r="U92" s="260">
        <v>30000</v>
      </c>
      <c r="V92" s="260">
        <v>50000</v>
      </c>
    </row>
    <row r="93" spans="14:43" x14ac:dyDescent="0.2">
      <c r="N93" s="259" t="s">
        <v>6</v>
      </c>
      <c r="O93" s="259">
        <v>500</v>
      </c>
      <c r="P93" s="257">
        <v>1200</v>
      </c>
      <c r="Q93" s="259">
        <v>250</v>
      </c>
      <c r="R93" s="257">
        <v>9200</v>
      </c>
      <c r="S93" s="258"/>
      <c r="T93" s="257">
        <v>2200</v>
      </c>
      <c r="U93" s="257">
        <v>70000</v>
      </c>
      <c r="V93" s="257">
        <v>90000</v>
      </c>
    </row>
    <row r="98" spans="1:1" x14ac:dyDescent="0.2">
      <c r="A98" s="295" t="s">
        <v>363</v>
      </c>
    </row>
    <row r="114" spans="28:29" x14ac:dyDescent="0.2">
      <c r="AB114" s="242"/>
      <c r="AC114" s="242"/>
    </row>
    <row r="115" spans="28:29" x14ac:dyDescent="0.2">
      <c r="AB115" s="242"/>
      <c r="AC115" s="242"/>
    </row>
    <row r="116" spans="28:29" x14ac:dyDescent="0.2">
      <c r="AB116" s="242"/>
      <c r="AC116" s="242"/>
    </row>
    <row r="117" spans="28:29" x14ac:dyDescent="0.2">
      <c r="AB117" s="242"/>
      <c r="AC117" s="242"/>
    </row>
    <row r="118" spans="28:29" x14ac:dyDescent="0.2">
      <c r="AB118" s="242"/>
      <c r="AC118" s="242"/>
    </row>
    <row r="119" spans="28:29" x14ac:dyDescent="0.2">
      <c r="AB119" s="242"/>
      <c r="AC119" s="242"/>
    </row>
    <row r="120" spans="28:29" x14ac:dyDescent="0.2">
      <c r="AB120" s="242"/>
      <c r="AC120" s="242"/>
    </row>
    <row r="121" spans="28:29" x14ac:dyDescent="0.2">
      <c r="AB121" s="242"/>
      <c r="AC121" s="242"/>
    </row>
    <row r="122" spans="28:29" x14ac:dyDescent="0.2">
      <c r="AB122" s="242"/>
      <c r="AC122" s="242"/>
    </row>
    <row r="123" spans="28:29" x14ac:dyDescent="0.2">
      <c r="AB123" s="242"/>
      <c r="AC123" s="242"/>
    </row>
    <row r="124" spans="28:29" x14ac:dyDescent="0.2">
      <c r="AB124" s="242"/>
      <c r="AC124" s="242"/>
    </row>
    <row r="125" spans="28:29" x14ac:dyDescent="0.2">
      <c r="AB125" s="242"/>
      <c r="AC125" s="242"/>
    </row>
    <row r="126" spans="28:29" x14ac:dyDescent="0.2">
      <c r="AB126" s="242"/>
      <c r="AC126" s="242"/>
    </row>
    <row r="127" spans="28:29" x14ac:dyDescent="0.2">
      <c r="AB127" s="242"/>
      <c r="AC127" s="242"/>
    </row>
    <row r="128" spans="28:29" x14ac:dyDescent="0.2">
      <c r="AB128" s="242"/>
      <c r="AC128" s="242"/>
    </row>
    <row r="129" spans="27:29" x14ac:dyDescent="0.2">
      <c r="AB129" s="242"/>
      <c r="AC129" s="242"/>
    </row>
    <row r="130" spans="27:29" x14ac:dyDescent="0.2">
      <c r="AB130" s="242"/>
      <c r="AC130" s="242"/>
    </row>
    <row r="131" spans="27:29" x14ac:dyDescent="0.2">
      <c r="AB131" s="242"/>
      <c r="AC131" s="242"/>
    </row>
    <row r="132" spans="27:29" x14ac:dyDescent="0.2">
      <c r="AB132" s="242"/>
      <c r="AC132" s="242"/>
    </row>
    <row r="133" spans="27:29" x14ac:dyDescent="0.2">
      <c r="AB133" s="242"/>
      <c r="AC133" s="242"/>
    </row>
    <row r="134" spans="27:29" x14ac:dyDescent="0.2">
      <c r="AB134" s="242"/>
      <c r="AC134" s="242"/>
    </row>
    <row r="135" spans="27:29" x14ac:dyDescent="0.2">
      <c r="AB135" s="242"/>
      <c r="AC135" s="242"/>
    </row>
    <row r="136" spans="27:29" x14ac:dyDescent="0.2">
      <c r="AB136" s="242"/>
      <c r="AC136" s="242"/>
    </row>
    <row r="137" spans="27:29" x14ac:dyDescent="0.2">
      <c r="AB137" s="242"/>
      <c r="AC137" s="242"/>
    </row>
    <row r="138" spans="27:29" x14ac:dyDescent="0.2">
      <c r="AB138" s="242"/>
      <c r="AC138" s="242"/>
    </row>
    <row r="139" spans="27:29" x14ac:dyDescent="0.2">
      <c r="AB139" s="242"/>
      <c r="AC139" s="242"/>
    </row>
    <row r="140" spans="27:29" x14ac:dyDescent="0.2">
      <c r="AB140" s="242"/>
      <c r="AC140" s="242"/>
    </row>
    <row r="141" spans="27:29" x14ac:dyDescent="0.2">
      <c r="AB141" s="242"/>
      <c r="AC141" s="242"/>
    </row>
    <row r="142" spans="27:29" x14ac:dyDescent="0.2">
      <c r="AB142" s="242"/>
      <c r="AC142" s="242"/>
    </row>
    <row r="143" spans="27:29" x14ac:dyDescent="0.2">
      <c r="AB143" s="242"/>
      <c r="AC143" s="242"/>
    </row>
    <row r="144" spans="27:29" x14ac:dyDescent="0.2">
      <c r="AA144" s="256"/>
      <c r="AB144" s="256"/>
      <c r="AC144" s="242"/>
    </row>
  </sheetData>
  <mergeCells count="3">
    <mergeCell ref="O49:Q49"/>
    <mergeCell ref="R49:S49"/>
    <mergeCell ref="T49:U4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showGridLines="0" topLeftCell="A76" workbookViewId="0">
      <selection activeCell="N93" sqref="N93"/>
    </sheetView>
  </sheetViews>
  <sheetFormatPr defaultRowHeight="12.75" x14ac:dyDescent="0.2"/>
  <cols>
    <col min="1" max="1" width="9.140625" style="244"/>
    <col min="2" max="3" width="10" style="244" customWidth="1"/>
    <col min="4" max="4" width="9.7109375" style="244" customWidth="1"/>
    <col min="5" max="5" width="10.85546875" style="244" customWidth="1"/>
    <col min="6" max="6" width="9.140625" style="244"/>
    <col min="7" max="7" width="10.42578125" style="244" customWidth="1"/>
    <col min="8" max="8" width="14.7109375" style="244" customWidth="1"/>
    <col min="9" max="16384" width="9.140625" style="244"/>
  </cols>
  <sheetData>
    <row r="1" spans="1:23" x14ac:dyDescent="0.2">
      <c r="A1" s="244" t="s">
        <v>186</v>
      </c>
    </row>
    <row r="5" spans="1:23" x14ac:dyDescent="0.2">
      <c r="A5" s="244" t="s">
        <v>185</v>
      </c>
    </row>
    <row r="6" spans="1:23" x14ac:dyDescent="0.2">
      <c r="L6" s="244" t="s">
        <v>265</v>
      </c>
      <c r="R6" s="304"/>
    </row>
    <row r="7" spans="1:23" x14ac:dyDescent="0.2">
      <c r="A7" s="255"/>
      <c r="B7" s="254"/>
      <c r="C7" s="254"/>
      <c r="D7" s="254"/>
      <c r="E7" s="254"/>
      <c r="F7" s="254"/>
      <c r="G7" s="254" t="s">
        <v>183</v>
      </c>
      <c r="H7" s="254" t="s">
        <v>184</v>
      </c>
      <c r="L7" s="279"/>
      <c r="M7" s="279" t="s">
        <v>183</v>
      </c>
      <c r="N7" s="279"/>
      <c r="O7" s="279"/>
      <c r="P7" s="279"/>
      <c r="Q7" s="279"/>
      <c r="R7" s="279" t="s">
        <v>182</v>
      </c>
      <c r="S7" s="279"/>
      <c r="T7" s="279"/>
      <c r="U7" s="279"/>
      <c r="V7" s="279"/>
      <c r="W7" s="244">
        <f>COUNT(W28:W42)</f>
        <v>15</v>
      </c>
    </row>
    <row r="8" spans="1:23" x14ac:dyDescent="0.2">
      <c r="A8" s="253"/>
      <c r="B8" s="252" t="s">
        <v>181</v>
      </c>
      <c r="C8" s="252" t="s">
        <v>180</v>
      </c>
      <c r="D8" s="252" t="s">
        <v>179</v>
      </c>
      <c r="E8" s="252" t="s">
        <v>178</v>
      </c>
      <c r="F8" s="252" t="s">
        <v>177</v>
      </c>
      <c r="G8" s="252" t="s">
        <v>135</v>
      </c>
      <c r="H8" s="252" t="s">
        <v>134</v>
      </c>
      <c r="L8" s="279"/>
      <c r="M8" s="279" t="s">
        <v>135</v>
      </c>
      <c r="N8" s="279"/>
      <c r="O8" s="279"/>
      <c r="P8" s="279"/>
      <c r="Q8" s="279"/>
      <c r="R8" s="279" t="s">
        <v>176</v>
      </c>
      <c r="S8" s="279"/>
      <c r="T8" s="279"/>
      <c r="U8" s="279"/>
      <c r="V8" s="279"/>
      <c r="W8" s="244">
        <f>COUNT(W10:W27)</f>
        <v>18</v>
      </c>
    </row>
    <row r="9" spans="1:23" x14ac:dyDescent="0.2">
      <c r="A9" s="248" t="s">
        <v>3</v>
      </c>
      <c r="B9" s="247" t="s">
        <v>125</v>
      </c>
      <c r="C9" s="247" t="s">
        <v>175</v>
      </c>
      <c r="D9" s="247" t="s">
        <v>125</v>
      </c>
      <c r="E9" s="247" t="s">
        <v>124</v>
      </c>
      <c r="F9" s="247" t="s">
        <v>124</v>
      </c>
      <c r="G9" s="247" t="s">
        <v>95</v>
      </c>
      <c r="H9" s="247" t="s">
        <v>123</v>
      </c>
      <c r="L9" s="279"/>
      <c r="M9" s="279" t="s">
        <v>95</v>
      </c>
      <c r="N9" s="279" t="s">
        <v>266</v>
      </c>
      <c r="O9" s="279"/>
      <c r="P9" s="279"/>
      <c r="Q9" s="279"/>
      <c r="R9" s="279" t="s">
        <v>123</v>
      </c>
      <c r="S9" s="279" t="s">
        <v>266</v>
      </c>
      <c r="T9" s="279"/>
      <c r="U9" s="279"/>
      <c r="V9" s="279"/>
    </row>
    <row r="10" spans="1:23" ht="13.5" x14ac:dyDescent="0.25">
      <c r="A10" s="244">
        <v>1982</v>
      </c>
      <c r="B10" s="250">
        <v>317</v>
      </c>
      <c r="C10" s="249">
        <v>46</v>
      </c>
      <c r="D10" s="251">
        <v>116.12776717673277</v>
      </c>
      <c r="E10" s="251">
        <v>580.1231967466498</v>
      </c>
      <c r="F10" s="251">
        <v>486.07093683116358</v>
      </c>
      <c r="G10" s="249">
        <f>'Master escapements'!I15</f>
        <v>1545.3219007545463</v>
      </c>
      <c r="H10" s="249">
        <f>'Master escapements'!M15</f>
        <v>2655</v>
      </c>
      <c r="L10" s="279">
        <v>1982</v>
      </c>
      <c r="M10" s="267">
        <f>G10</f>
        <v>1545.3219007545463</v>
      </c>
      <c r="N10" s="279">
        <v>1338.3684016473112</v>
      </c>
      <c r="O10" s="267">
        <f>'Master goals'!$D$10</f>
        <v>400</v>
      </c>
      <c r="P10" s="267">
        <f>'Master goals'!$E$10</f>
        <v>800</v>
      </c>
      <c r="Q10" s="279">
        <v>1982</v>
      </c>
      <c r="R10" s="267">
        <f>H10</f>
        <v>2655</v>
      </c>
      <c r="S10" s="279">
        <v>2446.0837358628933</v>
      </c>
      <c r="T10" s="267">
        <f>'Master goals'!$D$11</f>
        <v>1300</v>
      </c>
      <c r="U10" s="267">
        <f>'Master goals'!$E$11</f>
        <v>2900</v>
      </c>
      <c r="V10" s="279"/>
      <c r="W10" s="249">
        <v>1552</v>
      </c>
    </row>
    <row r="11" spans="1:23" ht="13.5" x14ac:dyDescent="0.25">
      <c r="A11" s="244">
        <v>1983</v>
      </c>
      <c r="B11" s="250">
        <v>45</v>
      </c>
      <c r="C11" s="249">
        <v>31</v>
      </c>
      <c r="D11" s="249">
        <v>20</v>
      </c>
      <c r="E11" s="249">
        <v>217</v>
      </c>
      <c r="F11" s="251">
        <v>143.62998799081362</v>
      </c>
      <c r="G11" s="249">
        <f>'Master escapements'!I16</f>
        <v>456.62998799081362</v>
      </c>
      <c r="H11" s="249">
        <f>'Master escapements'!M16</f>
        <v>1931</v>
      </c>
      <c r="L11" s="279">
        <v>1983</v>
      </c>
      <c r="M11" s="267">
        <f t="shared" ref="M11:M45" si="0">G11</f>
        <v>456.62998799081362</v>
      </c>
      <c r="N11" s="279">
        <v>1292.6091386782891</v>
      </c>
      <c r="O11" s="267">
        <f>'Master goals'!$D$10</f>
        <v>400</v>
      </c>
      <c r="P11" s="267">
        <f>'Master goals'!$E$10</f>
        <v>800</v>
      </c>
      <c r="Q11" s="279">
        <v>1983</v>
      </c>
      <c r="R11" s="267">
        <f>H11</f>
        <v>1931</v>
      </c>
      <c r="S11" s="279">
        <v>2288.9140396969606</v>
      </c>
      <c r="T11" s="267">
        <f>'Master goals'!$D$11</f>
        <v>1300</v>
      </c>
      <c r="U11" s="267">
        <f>'Master goals'!$E$11</f>
        <v>2900</v>
      </c>
      <c r="V11" s="279"/>
      <c r="W11" s="249">
        <v>1573</v>
      </c>
    </row>
    <row r="12" spans="1:23" ht="13.5" x14ac:dyDescent="0.25">
      <c r="A12" s="244">
        <v>1984</v>
      </c>
      <c r="B12" s="250">
        <v>385</v>
      </c>
      <c r="C12" s="249">
        <v>160</v>
      </c>
      <c r="D12" s="249">
        <v>154</v>
      </c>
      <c r="E12" s="249">
        <v>715</v>
      </c>
      <c r="F12" s="251">
        <v>648.85879557770011</v>
      </c>
      <c r="G12" s="249">
        <f>'Master escapements'!I17</f>
        <v>2062.8587955777002</v>
      </c>
      <c r="H12" s="249" t="str">
        <f>'Master escapements'!M17</f>
        <v>-</v>
      </c>
      <c r="L12" s="279">
        <v>1984</v>
      </c>
      <c r="M12" s="267">
        <f t="shared" si="0"/>
        <v>2062.8587955777002</v>
      </c>
      <c r="N12" s="279">
        <v>1195.0280044908995</v>
      </c>
      <c r="O12" s="267">
        <f>'Master goals'!$D$10</f>
        <v>400</v>
      </c>
      <c r="P12" s="267">
        <f>'Master goals'!$E$10</f>
        <v>800</v>
      </c>
      <c r="Q12" s="279">
        <v>1984</v>
      </c>
      <c r="R12" s="267" t="s">
        <v>84</v>
      </c>
      <c r="S12" s="279">
        <v>2119.1538462290482</v>
      </c>
      <c r="T12" s="267">
        <f>'Master goals'!$D$11</f>
        <v>1300</v>
      </c>
      <c r="U12" s="267">
        <f>'Master goals'!$E$11</f>
        <v>2900</v>
      </c>
      <c r="V12" s="279"/>
      <c r="W12" s="249">
        <v>1610</v>
      </c>
    </row>
    <row r="13" spans="1:23" ht="13.5" x14ac:dyDescent="0.25">
      <c r="A13" s="244">
        <v>1985</v>
      </c>
      <c r="B13" s="250">
        <v>193</v>
      </c>
      <c r="C13" s="249">
        <v>144</v>
      </c>
      <c r="D13" s="249">
        <v>109</v>
      </c>
      <c r="E13" s="249">
        <v>408</v>
      </c>
      <c r="F13" s="251">
        <v>391.88501514737845</v>
      </c>
      <c r="G13" s="249">
        <f>'Master escapements'!I18</f>
        <v>1245.8850151473785</v>
      </c>
      <c r="H13" s="249">
        <f>'Master escapements'!M18</f>
        <v>2324</v>
      </c>
      <c r="L13" s="279">
        <v>1985</v>
      </c>
      <c r="M13" s="267">
        <f t="shared" si="0"/>
        <v>1245.8850151473785</v>
      </c>
      <c r="N13" s="279">
        <v>1141.5813150991385</v>
      </c>
      <c r="O13" s="267">
        <f>'Master goals'!$D$10</f>
        <v>400</v>
      </c>
      <c r="P13" s="267">
        <f>'Master goals'!$E$10</f>
        <v>800</v>
      </c>
      <c r="Q13" s="279">
        <v>1985</v>
      </c>
      <c r="R13" s="267">
        <f t="shared" ref="R13:R45" si="1">H13</f>
        <v>2324</v>
      </c>
      <c r="S13" s="279">
        <v>1971.2842767494574</v>
      </c>
      <c r="T13" s="267">
        <f>'Master goals'!$D$11</f>
        <v>1300</v>
      </c>
      <c r="U13" s="267">
        <f>'Master goals'!$E$11</f>
        <v>2900</v>
      </c>
      <c r="V13" s="279"/>
      <c r="W13" s="249">
        <v>1694</v>
      </c>
    </row>
    <row r="14" spans="1:23" ht="13.5" x14ac:dyDescent="0.25">
      <c r="A14" s="244">
        <v>1986</v>
      </c>
      <c r="B14" s="250">
        <v>57</v>
      </c>
      <c r="C14" s="251">
        <v>72.196822678290744</v>
      </c>
      <c r="D14" s="251">
        <v>52.749852704824931</v>
      </c>
      <c r="E14" s="249">
        <v>275</v>
      </c>
      <c r="F14" s="249">
        <v>245</v>
      </c>
      <c r="G14" s="249">
        <f>'Master escapements'!I19</f>
        <v>701.94667538311569</v>
      </c>
      <c r="H14" s="249">
        <f>'Master escapements'!M19</f>
        <v>1552</v>
      </c>
      <c r="L14" s="279">
        <v>1986</v>
      </c>
      <c r="M14" s="267">
        <f t="shared" si="0"/>
        <v>701.94667538311569</v>
      </c>
      <c r="N14" s="279">
        <v>842.78065606029509</v>
      </c>
      <c r="O14" s="267">
        <f>'Master goals'!$D$10</f>
        <v>400</v>
      </c>
      <c r="P14" s="267">
        <f>'Master goals'!$E$10</f>
        <v>800</v>
      </c>
      <c r="Q14" s="279">
        <v>1986</v>
      </c>
      <c r="R14" s="267">
        <f t="shared" si="1"/>
        <v>1552</v>
      </c>
      <c r="S14" s="279">
        <v>1999.9016160025521</v>
      </c>
      <c r="T14" s="267">
        <f>'Master goals'!$D$11</f>
        <v>1300</v>
      </c>
      <c r="U14" s="267">
        <f>'Master goals'!$E$11</f>
        <v>2900</v>
      </c>
      <c r="V14" s="279"/>
      <c r="W14" s="249">
        <v>1908</v>
      </c>
    </row>
    <row r="15" spans="1:23" ht="13.5" x14ac:dyDescent="0.25">
      <c r="A15" s="244">
        <v>1987</v>
      </c>
      <c r="B15" s="250">
        <v>36</v>
      </c>
      <c r="C15" s="249">
        <v>21</v>
      </c>
      <c r="D15" s="251">
        <v>22.019839876057606</v>
      </c>
      <c r="E15" s="249">
        <v>47</v>
      </c>
      <c r="F15" s="249">
        <v>167</v>
      </c>
      <c r="G15" s="249">
        <f>'Master escapements'!I20</f>
        <v>293.01983987605763</v>
      </c>
      <c r="H15" s="249">
        <f>'Master escapements'!M20</f>
        <v>1694</v>
      </c>
      <c r="L15" s="279">
        <v>1987</v>
      </c>
      <c r="M15" s="267">
        <f t="shared" si="0"/>
        <v>293.01983987605763</v>
      </c>
      <c r="N15" s="279">
        <v>549.64779915847021</v>
      </c>
      <c r="O15" s="267">
        <f>'Master goals'!$D$10</f>
        <v>400</v>
      </c>
      <c r="P15" s="267">
        <f>'Master goals'!$E$10</f>
        <v>800</v>
      </c>
      <c r="Q15" s="279">
        <v>1987</v>
      </c>
      <c r="R15" s="267">
        <f t="shared" si="1"/>
        <v>1694</v>
      </c>
      <c r="S15" s="279">
        <v>2134.2027045067598</v>
      </c>
      <c r="T15" s="267">
        <f>'Master goals'!$D$11</f>
        <v>1300</v>
      </c>
      <c r="U15" s="267">
        <f>'Master goals'!$E$11</f>
        <v>2900</v>
      </c>
      <c r="V15" s="279"/>
      <c r="W15" s="249">
        <v>1931</v>
      </c>
    </row>
    <row r="16" spans="1:23" ht="13.5" x14ac:dyDescent="0.25">
      <c r="A16" s="244">
        <v>1988</v>
      </c>
      <c r="B16" s="250">
        <v>45</v>
      </c>
      <c r="C16" s="249">
        <v>56</v>
      </c>
      <c r="D16" s="249">
        <v>71</v>
      </c>
      <c r="E16" s="249">
        <v>104</v>
      </c>
      <c r="F16" s="251">
        <v>126.65136320864858</v>
      </c>
      <c r="G16" s="249">
        <f>'Master escapements'!I21</f>
        <v>402.6513632086486</v>
      </c>
      <c r="H16" s="249">
        <f>'Master escapements'!M21</f>
        <v>3119</v>
      </c>
      <c r="L16" s="279">
        <v>1988</v>
      </c>
      <c r="M16" s="267">
        <f t="shared" si="0"/>
        <v>402.6513632086486</v>
      </c>
      <c r="N16" s="279">
        <v>465.34309899589164</v>
      </c>
      <c r="O16" s="267">
        <f>'Master goals'!$D$10</f>
        <v>400</v>
      </c>
      <c r="P16" s="267">
        <f>'Master goals'!$E$10</f>
        <v>800</v>
      </c>
      <c r="Q16" s="279">
        <v>1988</v>
      </c>
      <c r="R16" s="267">
        <f t="shared" si="1"/>
        <v>3119</v>
      </c>
      <c r="S16" s="279">
        <v>2262.3443612309989</v>
      </c>
      <c r="T16" s="267">
        <f>'Master goals'!$D$11</f>
        <v>1300</v>
      </c>
      <c r="U16" s="267">
        <f>'Master goals'!$E$11</f>
        <v>2900</v>
      </c>
      <c r="V16" s="279"/>
      <c r="W16" s="249">
        <v>2176</v>
      </c>
    </row>
    <row r="17" spans="1:23" ht="13.5" x14ac:dyDescent="0.25">
      <c r="A17" s="244">
        <v>1989</v>
      </c>
      <c r="B17" s="250">
        <v>101</v>
      </c>
      <c r="C17" s="249">
        <v>76</v>
      </c>
      <c r="D17" s="249">
        <v>89</v>
      </c>
      <c r="E17" s="249">
        <v>129</v>
      </c>
      <c r="F17" s="251">
        <v>181.25829154790065</v>
      </c>
      <c r="G17" s="249">
        <f>'Master escapements'!I22</f>
        <v>576.25829154790063</v>
      </c>
      <c r="H17" s="249">
        <f>'Master escapements'!M22</f>
        <v>2176</v>
      </c>
      <c r="L17" s="279">
        <v>1989</v>
      </c>
      <c r="M17" s="267">
        <f t="shared" si="0"/>
        <v>576.25829154790063</v>
      </c>
      <c r="N17" s="279">
        <v>594.20333753211605</v>
      </c>
      <c r="O17" s="267">
        <f>'Master goals'!$D$10</f>
        <v>400</v>
      </c>
      <c r="P17" s="267">
        <f>'Master goals'!$E$10</f>
        <v>800</v>
      </c>
      <c r="Q17" s="279">
        <v>1989</v>
      </c>
      <c r="R17" s="267">
        <f t="shared" si="1"/>
        <v>2176</v>
      </c>
      <c r="S17" s="279">
        <v>2432.1793213381711</v>
      </c>
      <c r="T17" s="267">
        <f>'Master goals'!$D$11</f>
        <v>1300</v>
      </c>
      <c r="U17" s="267">
        <f>'Master goals'!$E$11</f>
        <v>2900</v>
      </c>
      <c r="V17" s="279"/>
      <c r="W17" s="249">
        <v>2181</v>
      </c>
    </row>
    <row r="18" spans="1:23" x14ac:dyDescent="0.2">
      <c r="A18" s="244">
        <v>1990</v>
      </c>
      <c r="B18" s="250">
        <v>39</v>
      </c>
      <c r="C18" s="249">
        <v>80</v>
      </c>
      <c r="D18" s="249">
        <v>38</v>
      </c>
      <c r="E18" s="249">
        <v>195</v>
      </c>
      <c r="F18" s="249">
        <v>214</v>
      </c>
      <c r="G18" s="249">
        <f>'Master escapements'!I23</f>
        <v>566</v>
      </c>
      <c r="H18" s="249">
        <f>'Master escapements'!M23</f>
        <v>2192</v>
      </c>
      <c r="L18" s="279">
        <v>1990</v>
      </c>
      <c r="M18" s="267">
        <f t="shared" si="0"/>
        <v>566</v>
      </c>
      <c r="N18" s="279">
        <v>927.68632219754704</v>
      </c>
      <c r="O18" s="267">
        <f>'Master goals'!$D$10</f>
        <v>400</v>
      </c>
      <c r="P18" s="267">
        <f>'Master goals'!$E$10</f>
        <v>800</v>
      </c>
      <c r="Q18" s="279">
        <v>1990</v>
      </c>
      <c r="R18" s="267">
        <f t="shared" si="1"/>
        <v>2192</v>
      </c>
      <c r="S18" s="279">
        <v>2594.0216042569555</v>
      </c>
      <c r="T18" s="267">
        <f>'Master goals'!$D$11</f>
        <v>1300</v>
      </c>
      <c r="U18" s="267">
        <f>'Master goals'!$E$11</f>
        <v>2900</v>
      </c>
      <c r="V18" s="279"/>
      <c r="W18" s="249">
        <v>2192</v>
      </c>
    </row>
    <row r="19" spans="1:23" x14ac:dyDescent="0.2">
      <c r="A19" s="244">
        <v>1991</v>
      </c>
      <c r="B19" s="250">
        <v>142</v>
      </c>
      <c r="C19" s="249">
        <v>186</v>
      </c>
      <c r="D19" s="249">
        <v>107</v>
      </c>
      <c r="E19" s="249">
        <v>621</v>
      </c>
      <c r="F19" s="249">
        <v>454</v>
      </c>
      <c r="G19" s="249">
        <f>'Master escapements'!I24</f>
        <v>1510</v>
      </c>
      <c r="H19" s="249">
        <f>'Master escapements'!M24</f>
        <v>2761</v>
      </c>
      <c r="L19" s="279">
        <v>1991</v>
      </c>
      <c r="M19" s="267">
        <f t="shared" si="0"/>
        <v>1510</v>
      </c>
      <c r="N19" s="279">
        <v>1294.9240841746382</v>
      </c>
      <c r="O19" s="267">
        <f>'Master goals'!$D$10</f>
        <v>400</v>
      </c>
      <c r="P19" s="267">
        <f>'Master goals'!$E$10</f>
        <v>800</v>
      </c>
      <c r="Q19" s="279">
        <v>1991</v>
      </c>
      <c r="R19" s="267">
        <f t="shared" si="1"/>
        <v>2761</v>
      </c>
      <c r="S19" s="279">
        <v>2984.0688663749015</v>
      </c>
      <c r="T19" s="267">
        <f>'Master goals'!$D$11</f>
        <v>1300</v>
      </c>
      <c r="U19" s="267">
        <f>'Master goals'!$E$11</f>
        <v>2900</v>
      </c>
      <c r="V19" s="279"/>
      <c r="W19" s="249">
        <v>2209</v>
      </c>
    </row>
    <row r="20" spans="1:23" x14ac:dyDescent="0.2">
      <c r="A20" s="244">
        <v>1992</v>
      </c>
      <c r="B20" s="250">
        <v>241</v>
      </c>
      <c r="C20" s="249">
        <v>265</v>
      </c>
      <c r="D20" s="249">
        <v>110</v>
      </c>
      <c r="E20" s="249">
        <v>654</v>
      </c>
      <c r="F20" s="249">
        <v>629</v>
      </c>
      <c r="G20" s="249">
        <f>'Master escapements'!I25</f>
        <v>1899</v>
      </c>
      <c r="H20" s="249">
        <f>'Master escapements'!M25</f>
        <v>3866</v>
      </c>
      <c r="L20" s="279">
        <v>1992</v>
      </c>
      <c r="M20" s="267">
        <f t="shared" si="0"/>
        <v>1899</v>
      </c>
      <c r="N20" s="279">
        <v>1625.6598520935752</v>
      </c>
      <c r="O20" s="267">
        <f>'Master goals'!$D$10</f>
        <v>400</v>
      </c>
      <c r="P20" s="267">
        <f>'Master goals'!$E$10</f>
        <v>800</v>
      </c>
      <c r="Q20" s="279">
        <v>1992</v>
      </c>
      <c r="R20" s="267">
        <f t="shared" si="1"/>
        <v>3866</v>
      </c>
      <c r="S20" s="279">
        <v>3437.41465801194</v>
      </c>
      <c r="T20" s="267">
        <f>'Master goals'!$D$11</f>
        <v>1300</v>
      </c>
      <c r="U20" s="267">
        <f>'Master goals'!$E$11</f>
        <v>2900</v>
      </c>
      <c r="V20" s="279"/>
      <c r="W20" s="249">
        <v>2282</v>
      </c>
    </row>
    <row r="21" spans="1:23" ht="13.5" x14ac:dyDescent="0.25">
      <c r="A21" s="244">
        <v>1993</v>
      </c>
      <c r="B21" s="250">
        <v>256</v>
      </c>
      <c r="C21" s="249">
        <v>213</v>
      </c>
      <c r="D21" s="249">
        <v>90</v>
      </c>
      <c r="E21" s="251">
        <v>644.31507832247428</v>
      </c>
      <c r="F21" s="249">
        <v>513</v>
      </c>
      <c r="G21" s="249">
        <f>'Master escapements'!I26</f>
        <v>1716.3150783224742</v>
      </c>
      <c r="H21" s="249">
        <f>'Master escapements'!M26</f>
        <v>4202</v>
      </c>
      <c r="L21" s="279">
        <v>1993</v>
      </c>
      <c r="M21" s="267">
        <f t="shared" si="0"/>
        <v>1716.3150783224742</v>
      </c>
      <c r="N21" s="279">
        <v>1783.3255534434636</v>
      </c>
      <c r="O21" s="267">
        <f>'Master goals'!$D$10</f>
        <v>400</v>
      </c>
      <c r="P21" s="267">
        <f>'Master goals'!$E$10</f>
        <v>800</v>
      </c>
      <c r="Q21" s="279">
        <v>1993</v>
      </c>
      <c r="R21" s="267">
        <f t="shared" si="1"/>
        <v>4202</v>
      </c>
      <c r="S21" s="279">
        <v>3546.0059655665709</v>
      </c>
      <c r="T21" s="267">
        <f>'Master goals'!$D$11</f>
        <v>1300</v>
      </c>
      <c r="U21" s="267">
        <f>'Master goals'!$E$11</f>
        <v>2900</v>
      </c>
      <c r="V21" s="279"/>
      <c r="W21" s="249">
        <v>2304</v>
      </c>
    </row>
    <row r="22" spans="1:23" x14ac:dyDescent="0.2">
      <c r="A22" s="244">
        <v>1994</v>
      </c>
      <c r="B22" s="250">
        <v>304</v>
      </c>
      <c r="C22" s="249">
        <v>313</v>
      </c>
      <c r="D22" s="249">
        <v>227</v>
      </c>
      <c r="E22" s="249">
        <v>404</v>
      </c>
      <c r="F22" s="249">
        <v>717</v>
      </c>
      <c r="G22" s="249">
        <f>'Master escapements'!I27</f>
        <v>1965</v>
      </c>
      <c r="H22" s="249">
        <f>'Master escapements'!M27</f>
        <v>3227</v>
      </c>
      <c r="L22" s="279">
        <v>1994</v>
      </c>
      <c r="M22" s="267">
        <f t="shared" si="0"/>
        <v>1965</v>
      </c>
      <c r="N22" s="279">
        <v>1720.6571677474749</v>
      </c>
      <c r="O22" s="267">
        <f>'Master goals'!$D$10</f>
        <v>400</v>
      </c>
      <c r="P22" s="267">
        <f>'Master goals'!$E$10</f>
        <v>800</v>
      </c>
      <c r="Q22" s="279">
        <v>1994</v>
      </c>
      <c r="R22" s="267">
        <f t="shared" si="1"/>
        <v>3227</v>
      </c>
      <c r="S22" s="279">
        <v>3267.9340511373625</v>
      </c>
      <c r="T22" s="267">
        <f>'Master goals'!$D$11</f>
        <v>1300</v>
      </c>
      <c r="U22" s="267">
        <f>'Master goals'!$E$11</f>
        <v>2900</v>
      </c>
      <c r="V22" s="279"/>
      <c r="W22" s="249">
        <v>2324</v>
      </c>
    </row>
    <row r="23" spans="1:23" x14ac:dyDescent="0.2">
      <c r="A23" s="244">
        <v>1995</v>
      </c>
      <c r="B23" s="250">
        <v>274</v>
      </c>
      <c r="C23" s="249">
        <v>152</v>
      </c>
      <c r="D23" s="249">
        <v>99</v>
      </c>
      <c r="E23" s="249">
        <v>626</v>
      </c>
      <c r="F23" s="249">
        <v>336</v>
      </c>
      <c r="G23" s="249">
        <f>'Master escapements'!I28</f>
        <v>1487</v>
      </c>
      <c r="H23" s="249">
        <f>'Master escapements'!M28</f>
        <v>2446</v>
      </c>
      <c r="L23" s="279">
        <v>1995</v>
      </c>
      <c r="M23" s="267">
        <f t="shared" si="0"/>
        <v>1487</v>
      </c>
      <c r="N23" s="279">
        <v>1555.4297134609906</v>
      </c>
      <c r="O23" s="267">
        <f>'Master goals'!$D$10</f>
        <v>400</v>
      </c>
      <c r="P23" s="267">
        <f>'Master goals'!$E$10</f>
        <v>800</v>
      </c>
      <c r="Q23" s="279">
        <v>1995</v>
      </c>
      <c r="R23" s="267">
        <f t="shared" si="1"/>
        <v>2446</v>
      </c>
      <c r="S23" s="279">
        <v>3063.0993544922094</v>
      </c>
      <c r="T23" s="267">
        <f>'Master goals'!$D$11</f>
        <v>1300</v>
      </c>
      <c r="U23" s="267">
        <f>'Master goals'!$E$11</f>
        <v>2900</v>
      </c>
      <c r="V23" s="279"/>
      <c r="W23" s="249">
        <v>2446</v>
      </c>
    </row>
    <row r="24" spans="1:23" x14ac:dyDescent="0.2">
      <c r="A24" s="244">
        <v>1996</v>
      </c>
      <c r="B24" s="250">
        <v>59</v>
      </c>
      <c r="C24" s="249">
        <v>150</v>
      </c>
      <c r="D24" s="249">
        <v>201</v>
      </c>
      <c r="E24" s="249">
        <v>553</v>
      </c>
      <c r="F24" s="249">
        <v>488</v>
      </c>
      <c r="G24" s="249">
        <f>'Master escapements'!I29</f>
        <v>1451</v>
      </c>
      <c r="H24" s="249">
        <f>'Master escapements'!M29</f>
        <v>2500</v>
      </c>
      <c r="L24" s="279">
        <v>1996</v>
      </c>
      <c r="M24" s="267">
        <f t="shared" si="0"/>
        <v>1451</v>
      </c>
      <c r="N24" s="279">
        <v>1326.1468058641362</v>
      </c>
      <c r="O24" s="267">
        <f>'Master goals'!$D$10</f>
        <v>400</v>
      </c>
      <c r="P24" s="267">
        <f>'Master goals'!$E$10</f>
        <v>800</v>
      </c>
      <c r="Q24" s="279">
        <v>1996</v>
      </c>
      <c r="R24" s="267">
        <f t="shared" si="1"/>
        <v>2500</v>
      </c>
      <c r="S24" s="279">
        <v>3582.7031341081711</v>
      </c>
      <c r="T24" s="267">
        <f>'Master goals'!$D$11</f>
        <v>1300</v>
      </c>
      <c r="U24" s="267">
        <f>'Master goals'!$E$11</f>
        <v>2900</v>
      </c>
      <c r="V24" s="279"/>
      <c r="W24" s="249">
        <v>2500</v>
      </c>
    </row>
    <row r="25" spans="1:23" x14ac:dyDescent="0.2">
      <c r="A25" s="244">
        <v>1997</v>
      </c>
      <c r="B25" s="250">
        <v>55</v>
      </c>
      <c r="C25" s="249">
        <v>90</v>
      </c>
      <c r="D25" s="249">
        <v>68</v>
      </c>
      <c r="E25" s="249">
        <v>300</v>
      </c>
      <c r="F25" s="249">
        <v>296</v>
      </c>
      <c r="G25" s="249">
        <f>'Master escapements'!I30</f>
        <v>809</v>
      </c>
      <c r="H25" s="249">
        <f>'Master escapements'!M30</f>
        <v>4718</v>
      </c>
      <c r="L25" s="279">
        <v>1997</v>
      </c>
      <c r="M25" s="267">
        <f t="shared" si="0"/>
        <v>809</v>
      </c>
      <c r="N25" s="279">
        <v>1149.107675377827</v>
      </c>
      <c r="O25" s="267">
        <f>'Master goals'!$D$10</f>
        <v>400</v>
      </c>
      <c r="P25" s="267">
        <f>'Master goals'!$E$10</f>
        <v>800</v>
      </c>
      <c r="Q25" s="279">
        <v>1997</v>
      </c>
      <c r="R25" s="267">
        <f t="shared" si="1"/>
        <v>4718</v>
      </c>
      <c r="S25" s="279">
        <v>4427.7993959986643</v>
      </c>
      <c r="T25" s="267">
        <f>'Master goals'!$D$11</f>
        <v>1300</v>
      </c>
      <c r="U25" s="267">
        <f>'Master goals'!$E$11</f>
        <v>2900</v>
      </c>
      <c r="V25" s="279"/>
      <c r="W25" s="249">
        <v>2567</v>
      </c>
    </row>
    <row r="26" spans="1:23" x14ac:dyDescent="0.2">
      <c r="A26" s="244">
        <v>1998</v>
      </c>
      <c r="B26" s="250">
        <v>123</v>
      </c>
      <c r="C26" s="249">
        <v>109</v>
      </c>
      <c r="D26" s="249">
        <v>57</v>
      </c>
      <c r="E26" s="249">
        <v>653</v>
      </c>
      <c r="F26" s="249">
        <v>300</v>
      </c>
      <c r="G26" s="249">
        <f>'Master escapements'!I31</f>
        <v>1242</v>
      </c>
      <c r="H26" s="249">
        <f>'Master escapements'!M31</f>
        <v>7049</v>
      </c>
      <c r="L26" s="279">
        <v>1998</v>
      </c>
      <c r="M26" s="267">
        <f t="shared" si="0"/>
        <v>1242</v>
      </c>
      <c r="N26" s="279">
        <v>988.39029527352591</v>
      </c>
      <c r="O26" s="267">
        <f>'Master goals'!$D$10</f>
        <v>400</v>
      </c>
      <c r="P26" s="267">
        <f>'Master goals'!$E$10</f>
        <v>800</v>
      </c>
      <c r="Q26" s="279">
        <v>1998</v>
      </c>
      <c r="R26" s="267">
        <f t="shared" si="1"/>
        <v>7049</v>
      </c>
      <c r="S26" s="279">
        <v>4688.466894229412</v>
      </c>
      <c r="T26" s="267">
        <f>'Master goals'!$D$11</f>
        <v>1300</v>
      </c>
      <c r="U26" s="267">
        <f>'Master goals'!$E$11</f>
        <v>2900</v>
      </c>
      <c r="V26" s="279"/>
      <c r="W26" s="249">
        <v>2655</v>
      </c>
    </row>
    <row r="27" spans="1:23" ht="13.5" x14ac:dyDescent="0.25">
      <c r="A27" s="244">
        <v>1999</v>
      </c>
      <c r="B27" s="250">
        <v>167</v>
      </c>
      <c r="C27" s="249">
        <v>48</v>
      </c>
      <c r="D27" s="249">
        <v>25</v>
      </c>
      <c r="E27" s="249">
        <v>291</v>
      </c>
      <c r="F27" s="251">
        <v>244.58397313770746</v>
      </c>
      <c r="G27" s="249">
        <f>'Master escapements'!I32</f>
        <v>775.58397313770752</v>
      </c>
      <c r="H27" s="249">
        <f>'Master escapements'!M32</f>
        <v>3800</v>
      </c>
      <c r="L27" s="279">
        <v>1999</v>
      </c>
      <c r="M27" s="267">
        <f t="shared" si="0"/>
        <v>775.58397313770752</v>
      </c>
      <c r="N27" s="279">
        <v>979.52030299712897</v>
      </c>
      <c r="O27" s="267">
        <f>'Master goals'!$D$10</f>
        <v>400</v>
      </c>
      <c r="P27" s="267">
        <f>'Master goals'!$E$10</f>
        <v>800</v>
      </c>
      <c r="Q27" s="279">
        <v>1999</v>
      </c>
      <c r="R27" s="267">
        <f t="shared" si="1"/>
        <v>3800</v>
      </c>
      <c r="S27" s="279">
        <v>4182.1075802538799</v>
      </c>
      <c r="T27" s="267">
        <f>'Master goals'!$D$11</f>
        <v>1300</v>
      </c>
      <c r="U27" s="267">
        <f>'Master goals'!$E$11</f>
        <v>2900</v>
      </c>
      <c r="V27" s="279"/>
      <c r="W27" s="249">
        <v>2761</v>
      </c>
    </row>
    <row r="28" spans="1:23" x14ac:dyDescent="0.2">
      <c r="A28" s="244">
        <v>2000</v>
      </c>
      <c r="B28" s="250">
        <v>144</v>
      </c>
      <c r="C28" s="249">
        <v>62</v>
      </c>
      <c r="D28" s="249">
        <v>30</v>
      </c>
      <c r="E28" s="249">
        <v>459</v>
      </c>
      <c r="F28" s="249">
        <v>108</v>
      </c>
      <c r="G28" s="249">
        <f>'Master escapements'!I33</f>
        <v>803</v>
      </c>
      <c r="H28" s="249">
        <f>'Master escapements'!M33</f>
        <v>2304</v>
      </c>
      <c r="L28" s="279">
        <v>2000</v>
      </c>
      <c r="M28" s="267">
        <f t="shared" si="0"/>
        <v>803</v>
      </c>
      <c r="N28" s="279">
        <v>1128.9986273094619</v>
      </c>
      <c r="O28" s="267">
        <f>'Master goals'!$D$10</f>
        <v>400</v>
      </c>
      <c r="P28" s="267">
        <f>'Master goals'!$E$10</f>
        <v>800</v>
      </c>
      <c r="Q28" s="279">
        <v>2000</v>
      </c>
      <c r="R28" s="267">
        <f t="shared" si="1"/>
        <v>2304</v>
      </c>
      <c r="S28" s="279">
        <v>3618.7116239311717</v>
      </c>
      <c r="T28" s="267">
        <f>'Master goals'!$D$11</f>
        <v>1300</v>
      </c>
      <c r="U28" s="267">
        <f>'Master goals'!$E$11</f>
        <v>2900</v>
      </c>
      <c r="V28" s="279"/>
      <c r="W28" s="249">
        <v>3025</v>
      </c>
    </row>
    <row r="29" spans="1:23" x14ac:dyDescent="0.2">
      <c r="A29" s="244">
        <v>2001</v>
      </c>
      <c r="B29" s="250">
        <v>133</v>
      </c>
      <c r="C29" s="249">
        <v>132</v>
      </c>
      <c r="D29" s="249">
        <v>80</v>
      </c>
      <c r="E29" s="249">
        <v>753</v>
      </c>
      <c r="F29" s="249">
        <v>417</v>
      </c>
      <c r="G29" s="249">
        <f>'Master escapements'!I34</f>
        <v>1515</v>
      </c>
      <c r="H29" s="249">
        <f>'Master escapements'!M34</f>
        <v>2209</v>
      </c>
      <c r="L29" s="279">
        <v>2001</v>
      </c>
      <c r="M29" s="267">
        <f t="shared" si="0"/>
        <v>1515</v>
      </c>
      <c r="N29" s="279">
        <v>1307.5537243723177</v>
      </c>
      <c r="O29" s="267">
        <f>'Master goals'!$D$10</f>
        <v>400</v>
      </c>
      <c r="P29" s="267">
        <f>'Master goals'!$E$10</f>
        <v>800</v>
      </c>
      <c r="Q29" s="279">
        <v>2001</v>
      </c>
      <c r="R29" s="267">
        <f t="shared" si="1"/>
        <v>2209</v>
      </c>
      <c r="S29" s="279">
        <v>4107.0789897577424</v>
      </c>
      <c r="T29" s="267">
        <f>'Master goals'!$D$11</f>
        <v>1300</v>
      </c>
      <c r="U29" s="267">
        <f>'Master goals'!$E$11</f>
        <v>2900</v>
      </c>
      <c r="V29" s="279"/>
      <c r="W29" s="249">
        <v>3119</v>
      </c>
    </row>
    <row r="30" spans="1:23" x14ac:dyDescent="0.2">
      <c r="A30" s="244">
        <v>2002</v>
      </c>
      <c r="B30" s="250">
        <v>227</v>
      </c>
      <c r="C30" s="249">
        <v>169</v>
      </c>
      <c r="D30" s="249">
        <v>100</v>
      </c>
      <c r="E30" s="249">
        <v>713</v>
      </c>
      <c r="F30" s="249">
        <v>659</v>
      </c>
      <c r="G30" s="249">
        <f>'Master escapements'!I35</f>
        <v>1868</v>
      </c>
      <c r="H30" s="249">
        <f>'Master escapements'!M35</f>
        <v>7109</v>
      </c>
      <c r="I30" s="469"/>
      <c r="L30" s="279">
        <v>2002</v>
      </c>
      <c r="M30" s="267">
        <f t="shared" si="0"/>
        <v>1868</v>
      </c>
      <c r="N30" s="279">
        <v>1399.8505244952294</v>
      </c>
      <c r="O30" s="267">
        <f>'Master goals'!$D$10</f>
        <v>400</v>
      </c>
      <c r="P30" s="267">
        <f>'Master goals'!$E$10</f>
        <v>800</v>
      </c>
      <c r="Q30" s="279">
        <v>2002</v>
      </c>
      <c r="R30" s="267">
        <f t="shared" si="1"/>
        <v>7109</v>
      </c>
      <c r="S30" s="279">
        <v>4932.7153008648502</v>
      </c>
      <c r="T30" s="267">
        <f>'Master goals'!$D$11</f>
        <v>1300</v>
      </c>
      <c r="U30" s="267">
        <f>'Master goals'!$E$11</f>
        <v>2900</v>
      </c>
      <c r="V30" s="279"/>
      <c r="W30" s="249">
        <v>3227</v>
      </c>
    </row>
    <row r="31" spans="1:23" x14ac:dyDescent="0.2">
      <c r="A31" s="244">
        <v>2003</v>
      </c>
      <c r="B31" s="250">
        <v>95</v>
      </c>
      <c r="C31" s="249">
        <v>102</v>
      </c>
      <c r="D31" s="249">
        <v>91</v>
      </c>
      <c r="E31" s="249">
        <v>440</v>
      </c>
      <c r="F31" s="249">
        <v>373</v>
      </c>
      <c r="G31" s="249">
        <f>'Master escapements'!I36</f>
        <v>1101</v>
      </c>
      <c r="H31" s="249">
        <f>'Master escapements'!M36</f>
        <v>6789</v>
      </c>
      <c r="I31" s="469"/>
      <c r="L31" s="279">
        <v>2003</v>
      </c>
      <c r="M31" s="267">
        <f t="shared" si="0"/>
        <v>1101</v>
      </c>
      <c r="N31" s="279">
        <v>1401.6975481091304</v>
      </c>
      <c r="O31" s="267">
        <f>'Master goals'!$D$10</f>
        <v>400</v>
      </c>
      <c r="P31" s="267">
        <f>'Master goals'!$E$10</f>
        <v>800</v>
      </c>
      <c r="Q31" s="279">
        <v>2003</v>
      </c>
      <c r="R31" s="267">
        <f t="shared" si="1"/>
        <v>6789</v>
      </c>
      <c r="S31" s="279">
        <v>5326.2064250871381</v>
      </c>
      <c r="T31" s="267">
        <f>'Master goals'!$D$11</f>
        <v>1300</v>
      </c>
      <c r="U31" s="267">
        <f>'Master goals'!$E$11</f>
        <v>2900</v>
      </c>
      <c r="V31" s="279"/>
      <c r="W31" s="249">
        <v>3281</v>
      </c>
    </row>
    <row r="32" spans="1:23" x14ac:dyDescent="0.2">
      <c r="A32" s="244">
        <v>2004</v>
      </c>
      <c r="B32" s="250">
        <v>143</v>
      </c>
      <c r="C32" s="249">
        <v>112</v>
      </c>
      <c r="D32" s="249">
        <v>79</v>
      </c>
      <c r="E32" s="249">
        <v>399</v>
      </c>
      <c r="F32" s="249">
        <v>391</v>
      </c>
      <c r="G32" s="249">
        <f>'Master escapements'!I37</f>
        <v>1124</v>
      </c>
      <c r="H32" s="249">
        <f>'Master escapements'!M37</f>
        <v>3539</v>
      </c>
      <c r="I32" s="469"/>
      <c r="L32" s="279">
        <v>2004</v>
      </c>
      <c r="M32" s="267">
        <f t="shared" si="0"/>
        <v>1124</v>
      </c>
      <c r="N32" s="279">
        <v>1484.3992387127716</v>
      </c>
      <c r="O32" s="267">
        <f>'Master goals'!$D$10</f>
        <v>400</v>
      </c>
      <c r="P32" s="267">
        <f>'Master goals'!$E$10</f>
        <v>800</v>
      </c>
      <c r="Q32" s="279">
        <v>2004</v>
      </c>
      <c r="R32" s="267">
        <f t="shared" si="1"/>
        <v>3539</v>
      </c>
      <c r="S32" s="279">
        <v>5033.3952859678484</v>
      </c>
      <c r="T32" s="267">
        <f>'Master goals'!$D$11</f>
        <v>1300</v>
      </c>
      <c r="U32" s="267">
        <f>'Master goals'!$E$11</f>
        <v>2900</v>
      </c>
      <c r="V32" s="279"/>
      <c r="W32" s="249">
        <v>3539</v>
      </c>
    </row>
    <row r="33" spans="1:26" x14ac:dyDescent="0.2">
      <c r="A33" s="244">
        <v>2005</v>
      </c>
      <c r="B33" s="250">
        <v>76</v>
      </c>
      <c r="C33" s="249">
        <v>67</v>
      </c>
      <c r="D33" s="249">
        <v>173</v>
      </c>
      <c r="E33" s="249">
        <v>892</v>
      </c>
      <c r="F33" s="249">
        <v>460</v>
      </c>
      <c r="G33" s="249">
        <f>'Master escapements'!I38</f>
        <v>1668</v>
      </c>
      <c r="H33" s="249">
        <f>'Master escapements'!M38</f>
        <v>4257</v>
      </c>
      <c r="I33" s="469"/>
      <c r="L33" s="279">
        <v>2005</v>
      </c>
      <c r="M33" s="267">
        <f t="shared" si="0"/>
        <v>1668</v>
      </c>
      <c r="N33" s="279">
        <v>1662.5646289160511</v>
      </c>
      <c r="O33" s="267">
        <f>'Master goals'!$D$10</f>
        <v>400</v>
      </c>
      <c r="P33" s="267">
        <f>'Master goals'!$E$10</f>
        <v>800</v>
      </c>
      <c r="Q33" s="279">
        <v>2005</v>
      </c>
      <c r="R33" s="267">
        <f t="shared" si="1"/>
        <v>4257</v>
      </c>
      <c r="S33" s="279">
        <v>4280.2256796282418</v>
      </c>
      <c r="T33" s="267">
        <f>'Master goals'!$D$11</f>
        <v>1300</v>
      </c>
      <c r="U33" s="267">
        <f>'Master goals'!$E$11</f>
        <v>2900</v>
      </c>
      <c r="V33" s="279"/>
      <c r="W33" s="249">
        <v>3800</v>
      </c>
    </row>
    <row r="34" spans="1:26" x14ac:dyDescent="0.2">
      <c r="A34" s="244">
        <v>2006</v>
      </c>
      <c r="B34" s="250">
        <v>386</v>
      </c>
      <c r="C34" s="249">
        <v>152</v>
      </c>
      <c r="D34" s="249">
        <v>121</v>
      </c>
      <c r="E34" s="249">
        <v>996</v>
      </c>
      <c r="F34" s="249">
        <v>992</v>
      </c>
      <c r="G34" s="249">
        <f>'Master escapements'!I39</f>
        <v>2647</v>
      </c>
      <c r="H34" s="249">
        <f>'Master escapements'!M39</f>
        <v>4737</v>
      </c>
      <c r="I34" s="469"/>
      <c r="L34" s="279">
        <v>2006</v>
      </c>
      <c r="M34" s="267">
        <f t="shared" si="0"/>
        <v>2647</v>
      </c>
      <c r="N34" s="279">
        <v>1685.1881606303587</v>
      </c>
      <c r="O34" s="267">
        <f>'Master goals'!$D$10</f>
        <v>400</v>
      </c>
      <c r="P34" s="267">
        <f>'Master goals'!$E$10</f>
        <v>800</v>
      </c>
      <c r="Q34" s="279">
        <v>2006</v>
      </c>
      <c r="R34" s="267">
        <f t="shared" si="1"/>
        <v>4737</v>
      </c>
      <c r="S34" s="279">
        <v>3981.3371105933084</v>
      </c>
      <c r="T34" s="267">
        <f>'Master goals'!$D$11</f>
        <v>1300</v>
      </c>
      <c r="U34" s="267">
        <f>'Master goals'!$E$11</f>
        <v>2900</v>
      </c>
      <c r="V34" s="279"/>
      <c r="W34" s="249">
        <v>3866</v>
      </c>
    </row>
    <row r="35" spans="1:26" x14ac:dyDescent="0.2">
      <c r="A35" s="244">
        <v>2007</v>
      </c>
      <c r="B35" s="250">
        <v>130</v>
      </c>
      <c r="C35" s="249">
        <v>39</v>
      </c>
      <c r="D35" s="249">
        <v>86</v>
      </c>
      <c r="E35" s="249">
        <v>385</v>
      </c>
      <c r="F35" s="249">
        <v>426</v>
      </c>
      <c r="G35" s="249">
        <f>'Master escapements'!I40</f>
        <v>1066</v>
      </c>
      <c r="H35" s="249">
        <f>'Master escapements'!M40</f>
        <v>2567</v>
      </c>
      <c r="I35" s="469"/>
      <c r="L35" s="279">
        <v>2007</v>
      </c>
      <c r="M35" s="267">
        <f t="shared" si="0"/>
        <v>1066</v>
      </c>
      <c r="N35" s="279">
        <v>1553.6586001864798</v>
      </c>
      <c r="O35" s="267">
        <f>'Master goals'!$D$10</f>
        <v>400</v>
      </c>
      <c r="P35" s="267">
        <f>'Master goals'!$E$10</f>
        <v>800</v>
      </c>
      <c r="Q35" s="279">
        <v>2007</v>
      </c>
      <c r="R35" s="267">
        <f t="shared" si="1"/>
        <v>2567</v>
      </c>
      <c r="S35" s="279">
        <v>3921.9678649639159</v>
      </c>
      <c r="T35" s="267">
        <f>'Master goals'!$D$11</f>
        <v>1300</v>
      </c>
      <c r="U35" s="267">
        <f>'Master goals'!$E$11</f>
        <v>2900</v>
      </c>
      <c r="V35" s="279"/>
      <c r="W35" s="249">
        <v>4202</v>
      </c>
    </row>
    <row r="36" spans="1:26" x14ac:dyDescent="0.2">
      <c r="A36" s="244">
        <v>2008</v>
      </c>
      <c r="B36" s="250">
        <v>96</v>
      </c>
      <c r="C36" s="249">
        <v>73</v>
      </c>
      <c r="D36" s="249">
        <v>43</v>
      </c>
      <c r="E36" s="249">
        <v>839</v>
      </c>
      <c r="F36" s="249">
        <v>66</v>
      </c>
      <c r="G36" s="249">
        <f>'Master escapements'!I41</f>
        <v>1117</v>
      </c>
      <c r="H36" s="249">
        <f>'Master escapements'!M41</f>
        <v>5173</v>
      </c>
      <c r="I36" s="469"/>
      <c r="L36" s="279">
        <v>2008</v>
      </c>
      <c r="M36" s="267">
        <f t="shared" si="0"/>
        <v>1117</v>
      </c>
      <c r="N36" s="279">
        <v>1282.6143714651607</v>
      </c>
      <c r="O36" s="267">
        <f>'Master goals'!$D$10</f>
        <v>400</v>
      </c>
      <c r="P36" s="267">
        <f>'Master goals'!$E$10</f>
        <v>800</v>
      </c>
      <c r="Q36" s="279">
        <v>2008</v>
      </c>
      <c r="R36" s="267">
        <f t="shared" si="1"/>
        <v>5173</v>
      </c>
      <c r="S36" s="279">
        <v>3337.637740410406</v>
      </c>
      <c r="T36" s="267">
        <f>'Master goals'!$D$11</f>
        <v>1300</v>
      </c>
      <c r="U36" s="267">
        <f>'Master goals'!$E$11</f>
        <v>2900</v>
      </c>
      <c r="V36" s="279"/>
      <c r="W36" s="249">
        <v>4257</v>
      </c>
    </row>
    <row r="37" spans="1:26" x14ac:dyDescent="0.2">
      <c r="A37" s="244">
        <v>2009</v>
      </c>
      <c r="B37" s="250">
        <v>128</v>
      </c>
      <c r="C37" s="249">
        <v>160</v>
      </c>
      <c r="D37" s="249">
        <v>140</v>
      </c>
      <c r="E37" s="249">
        <v>335</v>
      </c>
      <c r="F37" s="249">
        <v>393</v>
      </c>
      <c r="G37" s="249">
        <f>'Master escapements'!I42</f>
        <v>1156</v>
      </c>
      <c r="H37" s="249">
        <f>'Master escapements'!M42</f>
        <v>2181</v>
      </c>
      <c r="I37" s="469"/>
      <c r="L37" s="279">
        <v>2009</v>
      </c>
      <c r="M37" s="267">
        <f t="shared" si="0"/>
        <v>1156</v>
      </c>
      <c r="N37" s="279">
        <v>1273.6507521151057</v>
      </c>
      <c r="O37" s="267">
        <f>'Master goals'!$D$10</f>
        <v>400</v>
      </c>
      <c r="P37" s="267">
        <f>'Master goals'!$E$10</f>
        <v>800</v>
      </c>
      <c r="Q37" s="279">
        <v>2009</v>
      </c>
      <c r="R37" s="267">
        <f t="shared" si="1"/>
        <v>2181</v>
      </c>
      <c r="S37" s="279">
        <v>2813.0155649123831</v>
      </c>
      <c r="T37" s="267">
        <f>'Master goals'!$D$11</f>
        <v>1300</v>
      </c>
      <c r="U37" s="267">
        <f>'Master goals'!$E$11</f>
        <v>2900</v>
      </c>
      <c r="V37" s="279"/>
      <c r="W37" s="249">
        <v>4718</v>
      </c>
    </row>
    <row r="38" spans="1:26" x14ac:dyDescent="0.2">
      <c r="A38" s="244">
        <v>2010</v>
      </c>
      <c r="B38" s="250">
        <v>70</v>
      </c>
      <c r="C38" s="249">
        <v>171</v>
      </c>
      <c r="D38" s="249">
        <v>85</v>
      </c>
      <c r="E38" s="249">
        <v>307</v>
      </c>
      <c r="F38" s="249">
        <v>640</v>
      </c>
      <c r="G38" s="249">
        <f>'Master escapements'!I43</f>
        <v>1273</v>
      </c>
      <c r="H38" s="249">
        <f>'Master escapements'!M43</f>
        <v>1610</v>
      </c>
      <c r="I38" s="469"/>
      <c r="L38" s="279">
        <v>2010</v>
      </c>
      <c r="M38" s="267">
        <f t="shared" si="0"/>
        <v>1273</v>
      </c>
      <c r="N38" s="279">
        <v>1459.0981140584927</v>
      </c>
      <c r="O38" s="267">
        <f>'Master goals'!$D$10</f>
        <v>400</v>
      </c>
      <c r="P38" s="267">
        <f>'Master goals'!$E$10</f>
        <v>800</v>
      </c>
      <c r="Q38" s="279">
        <v>2010</v>
      </c>
      <c r="R38" s="267">
        <f t="shared" si="1"/>
        <v>1610</v>
      </c>
      <c r="S38" s="279">
        <v>2256.5276358459905</v>
      </c>
      <c r="T38" s="267">
        <f>'Master goals'!$D$11</f>
        <v>1300</v>
      </c>
      <c r="U38" s="267">
        <f>'Master goals'!$E$11</f>
        <v>2900</v>
      </c>
      <c r="V38" s="279"/>
      <c r="W38" s="249">
        <v>4737</v>
      </c>
    </row>
    <row r="39" spans="1:26" x14ac:dyDescent="0.2">
      <c r="A39" s="244">
        <v>2011</v>
      </c>
      <c r="B39" s="250">
        <v>230</v>
      </c>
      <c r="C39" s="249">
        <v>392</v>
      </c>
      <c r="D39" s="249">
        <v>163</v>
      </c>
      <c r="E39" s="249">
        <v>636</v>
      </c>
      <c r="F39" s="249">
        <v>801</v>
      </c>
      <c r="G39" s="249">
        <f>'Master escapements'!I44</f>
        <v>2222</v>
      </c>
      <c r="H39" s="249">
        <f>'Master escapements'!M44</f>
        <v>1908</v>
      </c>
      <c r="I39" s="469"/>
      <c r="L39" s="279">
        <v>2011</v>
      </c>
      <c r="M39" s="267">
        <f t="shared" si="0"/>
        <v>2222</v>
      </c>
      <c r="N39" s="279">
        <v>1518.138316342048</v>
      </c>
      <c r="O39" s="267">
        <f>'Master goals'!$D$10</f>
        <v>400</v>
      </c>
      <c r="P39" s="267">
        <f>'Master goals'!$E$10</f>
        <v>800</v>
      </c>
      <c r="Q39" s="279">
        <v>2011</v>
      </c>
      <c r="R39" s="267">
        <f t="shared" si="1"/>
        <v>1908</v>
      </c>
      <c r="S39" s="279">
        <v>1921.2819570295521</v>
      </c>
      <c r="T39" s="267">
        <f>'Master goals'!$D$11</f>
        <v>1300</v>
      </c>
      <c r="U39" s="267">
        <f>'Master goals'!$E$11</f>
        <v>2900</v>
      </c>
      <c r="V39" s="279"/>
      <c r="W39" s="249">
        <v>5173</v>
      </c>
    </row>
    <row r="40" spans="1:26" x14ac:dyDescent="0.2">
      <c r="A40" s="244">
        <v>2012</v>
      </c>
      <c r="B40" s="250">
        <v>59</v>
      </c>
      <c r="C40" s="249">
        <v>133</v>
      </c>
      <c r="D40" s="249">
        <v>144</v>
      </c>
      <c r="E40" s="249">
        <v>296</v>
      </c>
      <c r="F40" s="249">
        <v>525</v>
      </c>
      <c r="G40" s="249">
        <f>'Master escapements'!I45</f>
        <v>1157</v>
      </c>
      <c r="H40" s="249">
        <f>'Master escapements'!M45</f>
        <v>2282</v>
      </c>
      <c r="I40" s="469"/>
      <c r="L40" s="279">
        <v>2012</v>
      </c>
      <c r="M40" s="267">
        <f t="shared" si="0"/>
        <v>1157</v>
      </c>
      <c r="N40" s="279">
        <v>1608.0021734961697</v>
      </c>
      <c r="O40" s="267">
        <f>'Master goals'!$D$10</f>
        <v>400</v>
      </c>
      <c r="P40" s="267">
        <f>'Master goals'!$E$10</f>
        <v>800</v>
      </c>
      <c r="Q40" s="279">
        <v>2012</v>
      </c>
      <c r="R40" s="267">
        <f t="shared" si="1"/>
        <v>2282</v>
      </c>
      <c r="S40" s="279">
        <v>2011.4382594441181</v>
      </c>
      <c r="T40" s="267">
        <f>'Master goals'!$D$11</f>
        <v>1300</v>
      </c>
      <c r="U40" s="267">
        <f>'Master goals'!$E$11</f>
        <v>2900</v>
      </c>
      <c r="V40" s="279"/>
      <c r="W40" s="249">
        <v>6789</v>
      </c>
    </row>
    <row r="41" spans="1:26" x14ac:dyDescent="0.2">
      <c r="A41" s="244">
        <v>2013</v>
      </c>
      <c r="B41" s="250">
        <v>113</v>
      </c>
      <c r="C41" s="249">
        <v>125</v>
      </c>
      <c r="D41" s="249">
        <v>179</v>
      </c>
      <c r="E41" s="249">
        <v>412</v>
      </c>
      <c r="F41" s="249">
        <v>585</v>
      </c>
      <c r="G41" s="249">
        <f>'Master escapements'!I46</f>
        <v>1414</v>
      </c>
      <c r="H41" s="249">
        <f>'Master escapements'!M46</f>
        <v>1573</v>
      </c>
      <c r="I41" s="469"/>
      <c r="L41" s="279">
        <v>2013</v>
      </c>
      <c r="M41" s="267">
        <f t="shared" si="0"/>
        <v>1414</v>
      </c>
      <c r="N41" s="279">
        <v>1703.5173369181621</v>
      </c>
      <c r="O41" s="267">
        <f>'Master goals'!$D$10</f>
        <v>400</v>
      </c>
      <c r="P41" s="267">
        <f>'Master goals'!$E$10</f>
        <v>800</v>
      </c>
      <c r="Q41" s="279">
        <v>2013</v>
      </c>
      <c r="R41" s="267">
        <f t="shared" si="1"/>
        <v>1573</v>
      </c>
      <c r="S41" s="279">
        <v>2390.4740499480208</v>
      </c>
      <c r="T41" s="267">
        <f>'Master goals'!$D$11</f>
        <v>1300</v>
      </c>
      <c r="U41" s="267">
        <f>'Master goals'!$E$11</f>
        <v>2900</v>
      </c>
      <c r="V41" s="279"/>
      <c r="W41" s="249">
        <v>7049</v>
      </c>
    </row>
    <row r="42" spans="1:26" x14ac:dyDescent="0.2">
      <c r="A42" s="244">
        <v>2014</v>
      </c>
      <c r="B42" s="250">
        <v>274</v>
      </c>
      <c r="C42" s="249">
        <v>255</v>
      </c>
      <c r="D42" s="249">
        <v>156</v>
      </c>
      <c r="E42" s="249">
        <v>600</v>
      </c>
      <c r="F42" s="249">
        <v>876</v>
      </c>
      <c r="G42" s="249">
        <f>'Master escapements'!I47</f>
        <v>2161</v>
      </c>
      <c r="H42" s="249">
        <f>'Master escapements'!M47</f>
        <v>3025</v>
      </c>
      <c r="I42" s="469"/>
      <c r="L42" s="279">
        <v>2014</v>
      </c>
      <c r="M42" s="267">
        <f t="shared" si="0"/>
        <v>2161</v>
      </c>
      <c r="N42" s="279">
        <v>1968.5479989997048</v>
      </c>
      <c r="O42" s="267">
        <f>'Master goals'!$D$10</f>
        <v>400</v>
      </c>
      <c r="P42" s="267">
        <f>'Master goals'!$E$10</f>
        <v>800</v>
      </c>
      <c r="Q42" s="279">
        <v>2014</v>
      </c>
      <c r="R42" s="267">
        <f t="shared" si="1"/>
        <v>3025</v>
      </c>
      <c r="S42" s="279">
        <v>2756.6105703591975</v>
      </c>
      <c r="T42" s="267">
        <f>'Master goals'!$D$11</f>
        <v>1300</v>
      </c>
      <c r="U42" s="267">
        <f>'Master goals'!$E$11</f>
        <v>2900</v>
      </c>
      <c r="V42" s="279"/>
      <c r="W42" s="249">
        <v>7109</v>
      </c>
    </row>
    <row r="43" spans="1:26" x14ac:dyDescent="0.2">
      <c r="A43" s="244">
        <v>2015</v>
      </c>
      <c r="B43" s="250">
        <v>286</v>
      </c>
      <c r="C43" s="249">
        <v>252</v>
      </c>
      <c r="D43" s="249">
        <v>152</v>
      </c>
      <c r="E43" s="249">
        <v>1133</v>
      </c>
      <c r="F43" s="249">
        <v>421</v>
      </c>
      <c r="G43" s="249">
        <f>'Master escapements'!I48</f>
        <v>2244</v>
      </c>
      <c r="H43" s="249">
        <f>'Master escapements'!M48</f>
        <v>3281</v>
      </c>
      <c r="I43" s="469"/>
      <c r="L43" s="279">
        <v>2015</v>
      </c>
      <c r="M43" s="267">
        <f t="shared" si="0"/>
        <v>2244</v>
      </c>
      <c r="N43" s="279">
        <v>2074.294821767448</v>
      </c>
      <c r="O43" s="267">
        <f>'Master goals'!$D$10</f>
        <v>400</v>
      </c>
      <c r="P43" s="267">
        <f>'Master goals'!$E$10</f>
        <v>800</v>
      </c>
      <c r="Q43" s="279">
        <v>2015</v>
      </c>
      <c r="R43" s="267">
        <f t="shared" si="1"/>
        <v>3281</v>
      </c>
      <c r="S43" s="279">
        <v>3155.8870391220662</v>
      </c>
      <c r="T43" s="267">
        <f>'Master goals'!$D$11</f>
        <v>1300</v>
      </c>
      <c r="U43" s="267">
        <f>'Master goals'!$E$11</f>
        <v>2900</v>
      </c>
      <c r="V43" s="279"/>
      <c r="W43" s="249" t="s">
        <v>84</v>
      </c>
    </row>
    <row r="44" spans="1:26" x14ac:dyDescent="0.2">
      <c r="A44" s="253">
        <v>2016</v>
      </c>
      <c r="B44" s="252">
        <v>328</v>
      </c>
      <c r="C44" s="450">
        <v>199</v>
      </c>
      <c r="D44" s="450">
        <v>398</v>
      </c>
      <c r="E44" s="450">
        <v>1098</v>
      </c>
      <c r="F44" s="450">
        <v>920</v>
      </c>
      <c r="G44" s="249">
        <f>'Master escapements'!I49</f>
        <v>2943</v>
      </c>
      <c r="H44" s="249" t="s">
        <v>84</v>
      </c>
      <c r="I44" s="469"/>
      <c r="L44" s="279">
        <v>2016</v>
      </c>
      <c r="M44" s="267">
        <f t="shared" ref="M44" si="2">G44</f>
        <v>2943</v>
      </c>
      <c r="N44" s="279">
        <v>2073.6181179579085</v>
      </c>
      <c r="O44" s="267">
        <f>'Master goals'!$D$10</f>
        <v>400</v>
      </c>
      <c r="P44" s="267">
        <f>'Master goals'!$E$10</f>
        <v>800</v>
      </c>
      <c r="Q44" s="279">
        <v>2016</v>
      </c>
      <c r="R44" s="267" t="str">
        <f t="shared" ref="R44" si="3">H44</f>
        <v>-</v>
      </c>
      <c r="S44" s="279"/>
      <c r="T44" s="267">
        <f>'Master goals'!$D$11</f>
        <v>1300</v>
      </c>
      <c r="U44" s="267">
        <f>'Master goals'!$E$11</f>
        <v>2900</v>
      </c>
      <c r="V44" s="279"/>
    </row>
    <row r="45" spans="1:26" x14ac:dyDescent="0.2">
      <c r="A45" s="248">
        <v>2017</v>
      </c>
      <c r="B45" s="247">
        <v>122</v>
      </c>
      <c r="C45" s="246">
        <v>62</v>
      </c>
      <c r="D45" s="246">
        <v>73</v>
      </c>
      <c r="E45" s="246">
        <v>545</v>
      </c>
      <c r="F45" s="246">
        <v>478</v>
      </c>
      <c r="G45" s="246">
        <f>'Master escapements'!I50</f>
        <v>1280</v>
      </c>
      <c r="H45" s="249" t="str">
        <f>'Master escapements'!M49</f>
        <v>-</v>
      </c>
      <c r="I45" s="469"/>
      <c r="J45" s="469"/>
      <c r="L45" s="279">
        <v>2017</v>
      </c>
      <c r="M45" s="267">
        <f t="shared" si="0"/>
        <v>1280</v>
      </c>
      <c r="N45" s="279">
        <v>2041.4475342738251</v>
      </c>
      <c r="O45" s="267">
        <f>'Master goals'!$D$10</f>
        <v>400</v>
      </c>
      <c r="P45" s="267">
        <f>'Master goals'!$E$10</f>
        <v>800</v>
      </c>
      <c r="Q45" s="279">
        <v>2017</v>
      </c>
      <c r="R45" s="267" t="str">
        <f t="shared" si="1"/>
        <v>-</v>
      </c>
      <c r="S45" s="279"/>
      <c r="T45" s="267">
        <f>'Master goals'!$D$11</f>
        <v>1300</v>
      </c>
      <c r="U45" s="267">
        <f>'Master goals'!$E$11</f>
        <v>2900</v>
      </c>
      <c r="V45" s="279"/>
    </row>
    <row r="46" spans="1:26" x14ac:dyDescent="0.2">
      <c r="A46" s="247" t="s">
        <v>32</v>
      </c>
      <c r="B46" s="246">
        <f>AVERAGE(B10:B45)</f>
        <v>163.30555555555554</v>
      </c>
      <c r="C46" s="246">
        <f t="shared" ref="C46:G46" si="4">AVERAGE(C10:C45)</f>
        <v>135.2554672966192</v>
      </c>
      <c r="D46" s="246">
        <f t="shared" si="4"/>
        <v>109.69159610437821</v>
      </c>
      <c r="E46" s="246">
        <f t="shared" si="4"/>
        <v>518.1788409741423</v>
      </c>
      <c r="F46" s="246">
        <f t="shared" si="4"/>
        <v>447.58162120670312</v>
      </c>
      <c r="G46" s="246">
        <f t="shared" si="4"/>
        <v>1374.0130811373986</v>
      </c>
      <c r="H46" s="245">
        <f>AVERAGE(H10:H45)</f>
        <v>3235.030303030303</v>
      </c>
      <c r="L46" s="279"/>
      <c r="M46" s="279"/>
      <c r="N46" s="279"/>
      <c r="O46" s="279"/>
      <c r="P46" s="279"/>
      <c r="Q46" s="279"/>
      <c r="R46" s="279"/>
      <c r="S46" s="279"/>
      <c r="T46" s="279"/>
      <c r="U46" s="279"/>
      <c r="V46" s="279"/>
    </row>
    <row r="47" spans="1:26" x14ac:dyDescent="0.2">
      <c r="A47" s="244" t="s">
        <v>174</v>
      </c>
      <c r="B47" s="244" t="s">
        <v>173</v>
      </c>
    </row>
    <row r="48" spans="1:26" ht="15" x14ac:dyDescent="0.25">
      <c r="B48" s="92"/>
      <c r="C48" s="92"/>
      <c r="D48" s="92"/>
      <c r="E48" s="92"/>
      <c r="F48" s="456"/>
      <c r="R48" s="304"/>
      <c r="S48" s="304"/>
      <c r="T48" s="314"/>
      <c r="U48" s="314"/>
      <c r="V48" s="314"/>
      <c r="W48" s="314"/>
      <c r="X48" s="314"/>
      <c r="Y48" s="314"/>
      <c r="Z48" s="314"/>
    </row>
    <row r="49" spans="2:26" ht="15" x14ac:dyDescent="0.25">
      <c r="B49" s="92"/>
      <c r="C49" s="92"/>
      <c r="D49" s="92"/>
      <c r="E49" s="92"/>
      <c r="F49" s="456"/>
      <c r="S49" s="304"/>
      <c r="T49" s="314"/>
      <c r="U49" s="314"/>
      <c r="V49" s="314"/>
      <c r="W49" s="314"/>
      <c r="X49" s="314"/>
      <c r="Y49" s="314"/>
      <c r="Z49" s="314"/>
    </row>
    <row r="50" spans="2:26" x14ac:dyDescent="0.2">
      <c r="R50" s="304"/>
      <c r="T50" s="314"/>
      <c r="U50" s="314"/>
      <c r="V50" s="314"/>
      <c r="W50" s="314"/>
      <c r="X50" s="314"/>
      <c r="Y50" s="314"/>
      <c r="Z50" s="314"/>
    </row>
    <row r="51" spans="2:26" x14ac:dyDescent="0.2">
      <c r="R51" s="304"/>
      <c r="S51" s="304"/>
      <c r="T51" s="314"/>
      <c r="U51" s="314"/>
      <c r="V51" s="314"/>
      <c r="W51" s="314"/>
      <c r="X51" s="314"/>
      <c r="Y51" s="314"/>
      <c r="Z51" s="314"/>
    </row>
    <row r="52" spans="2:26" x14ac:dyDescent="0.2">
      <c r="S52" s="304"/>
      <c r="T52" s="314"/>
      <c r="U52" s="314"/>
      <c r="V52" s="314"/>
      <c r="W52" s="314"/>
      <c r="X52" s="314"/>
      <c r="Y52" s="314"/>
      <c r="Z52" s="314"/>
    </row>
    <row r="53" spans="2:26" x14ac:dyDescent="0.2">
      <c r="S53" s="304"/>
      <c r="T53" s="314"/>
      <c r="U53" s="314"/>
      <c r="V53" s="314"/>
      <c r="W53" s="314"/>
      <c r="X53" s="314"/>
      <c r="Y53" s="314"/>
      <c r="Z53" s="314"/>
    </row>
    <row r="54" spans="2:26" x14ac:dyDescent="0.2">
      <c r="S54" s="304"/>
      <c r="T54" s="314"/>
      <c r="U54" s="314"/>
      <c r="V54" s="314"/>
      <c r="W54" s="314"/>
      <c r="X54" s="314"/>
      <c r="Y54" s="314"/>
      <c r="Z54" s="314"/>
    </row>
    <row r="55" spans="2:26" x14ac:dyDescent="0.2">
      <c r="S55" s="304"/>
      <c r="T55" s="314"/>
      <c r="U55" s="314"/>
      <c r="V55" s="314"/>
      <c r="W55" s="314"/>
      <c r="X55" s="314"/>
      <c r="Y55" s="314"/>
      <c r="Z55" s="314"/>
    </row>
    <row r="56" spans="2:26" x14ac:dyDescent="0.2">
      <c r="S56" s="304"/>
      <c r="T56" s="314"/>
      <c r="U56" s="314"/>
      <c r="V56" s="314"/>
      <c r="W56" s="314"/>
      <c r="X56" s="314"/>
      <c r="Y56" s="314"/>
      <c r="Z56" s="314"/>
    </row>
    <row r="57" spans="2:26" x14ac:dyDescent="0.2">
      <c r="R57" s="304"/>
      <c r="S57" s="304"/>
      <c r="T57" s="314"/>
      <c r="U57" s="314"/>
      <c r="V57" s="314"/>
      <c r="W57" s="314"/>
      <c r="X57" s="314"/>
      <c r="Y57" s="314"/>
      <c r="Z57" s="314"/>
    </row>
    <row r="58" spans="2:26" x14ac:dyDescent="0.2">
      <c r="R58" s="304"/>
      <c r="S58" s="304"/>
      <c r="T58" s="314"/>
      <c r="U58" s="314"/>
      <c r="V58" s="314"/>
      <c r="W58" s="314"/>
      <c r="X58" s="314"/>
      <c r="Y58" s="314"/>
      <c r="Z58" s="314"/>
    </row>
    <row r="59" spans="2:26" x14ac:dyDescent="0.2">
      <c r="R59" s="304"/>
      <c r="S59" s="304"/>
      <c r="T59" s="314"/>
      <c r="U59" s="314"/>
      <c r="V59" s="314"/>
      <c r="W59" s="314"/>
      <c r="X59" s="314"/>
      <c r="Y59" s="314"/>
      <c r="Z59" s="314"/>
    </row>
    <row r="60" spans="2:26" x14ac:dyDescent="0.2">
      <c r="R60" s="304"/>
      <c r="S60" s="304"/>
      <c r="T60" s="314"/>
      <c r="U60" s="314"/>
      <c r="V60" s="314"/>
      <c r="W60" s="314"/>
      <c r="X60" s="314"/>
      <c r="Y60" s="314"/>
      <c r="Z60" s="314"/>
    </row>
    <row r="61" spans="2:26" x14ac:dyDescent="0.2">
      <c r="R61" s="304"/>
      <c r="S61" s="304"/>
      <c r="T61" s="314"/>
      <c r="U61" s="314"/>
      <c r="V61" s="314"/>
      <c r="W61" s="314"/>
      <c r="X61" s="314"/>
      <c r="Y61" s="314"/>
      <c r="Z61" s="314"/>
    </row>
    <row r="62" spans="2:26" x14ac:dyDescent="0.2">
      <c r="R62" s="304"/>
      <c r="S62" s="304"/>
      <c r="T62" s="314"/>
      <c r="U62" s="314"/>
      <c r="V62" s="314"/>
      <c r="W62" s="314"/>
      <c r="X62" s="314"/>
      <c r="Y62" s="314"/>
      <c r="Z62" s="314"/>
    </row>
    <row r="63" spans="2:26" x14ac:dyDescent="0.2">
      <c r="S63" s="304"/>
      <c r="T63" s="314"/>
      <c r="U63" s="314"/>
      <c r="V63" s="314"/>
      <c r="W63" s="314"/>
      <c r="X63" s="314"/>
      <c r="Y63" s="314"/>
      <c r="Z63" s="314"/>
    </row>
    <row r="64" spans="2:26" x14ac:dyDescent="0.2">
      <c r="R64" s="304"/>
      <c r="S64" s="304"/>
      <c r="T64" s="314"/>
      <c r="U64" s="314"/>
      <c r="V64" s="314"/>
      <c r="W64" s="314"/>
      <c r="X64" s="314"/>
      <c r="Y64" s="314"/>
      <c r="Z64" s="314"/>
    </row>
    <row r="65" spans="18:26" x14ac:dyDescent="0.2">
      <c r="S65" s="304"/>
      <c r="T65" s="314"/>
      <c r="U65" s="314"/>
      <c r="V65" s="314"/>
      <c r="W65" s="314"/>
      <c r="X65" s="314"/>
      <c r="Y65" s="314"/>
      <c r="Z65" s="314"/>
    </row>
    <row r="66" spans="18:26" x14ac:dyDescent="0.2">
      <c r="S66" s="304"/>
      <c r="T66" s="314"/>
      <c r="U66" s="314"/>
      <c r="V66" s="314"/>
      <c r="W66" s="314"/>
      <c r="X66" s="314"/>
      <c r="Y66" s="314"/>
      <c r="Z66" s="314"/>
    </row>
    <row r="67" spans="18:26" x14ac:dyDescent="0.2">
      <c r="R67" s="304"/>
      <c r="S67" s="304"/>
      <c r="T67" s="314"/>
      <c r="U67" s="314"/>
      <c r="V67" s="314"/>
      <c r="W67" s="314"/>
      <c r="X67" s="314"/>
      <c r="Y67" s="314"/>
      <c r="Z67" s="314"/>
    </row>
    <row r="68" spans="18:26" x14ac:dyDescent="0.2">
      <c r="R68" s="304"/>
      <c r="S68" s="304"/>
      <c r="T68" s="314"/>
      <c r="U68" s="314"/>
      <c r="V68" s="314"/>
      <c r="W68" s="314"/>
      <c r="X68" s="314"/>
      <c r="Y68" s="314"/>
      <c r="Z68" s="314"/>
    </row>
    <row r="69" spans="18:26" x14ac:dyDescent="0.2">
      <c r="R69" s="304"/>
      <c r="S69" s="304"/>
      <c r="T69" s="314"/>
      <c r="U69" s="314"/>
      <c r="V69" s="314"/>
      <c r="W69" s="314"/>
      <c r="X69" s="314"/>
      <c r="Y69" s="314"/>
      <c r="Z69" s="314"/>
    </row>
    <row r="70" spans="18:26" x14ac:dyDescent="0.2">
      <c r="R70" s="304"/>
      <c r="S70" s="304"/>
      <c r="T70" s="314"/>
      <c r="U70" s="314"/>
      <c r="V70" s="314"/>
      <c r="W70" s="314"/>
      <c r="X70" s="314"/>
      <c r="Y70" s="314"/>
      <c r="Z70" s="314"/>
    </row>
    <row r="71" spans="18:26" x14ac:dyDescent="0.2">
      <c r="R71" s="304"/>
      <c r="S71" s="304"/>
      <c r="T71" s="314"/>
      <c r="U71" s="314"/>
      <c r="V71" s="314"/>
      <c r="W71" s="314"/>
      <c r="X71" s="314"/>
      <c r="Y71" s="314"/>
      <c r="Z71" s="314"/>
    </row>
    <row r="72" spans="18:26" x14ac:dyDescent="0.2">
      <c r="R72" s="304"/>
      <c r="S72" s="304"/>
      <c r="T72" s="314"/>
      <c r="U72" s="314"/>
      <c r="V72" s="314"/>
      <c r="W72" s="314"/>
      <c r="X72" s="314"/>
      <c r="Y72" s="314"/>
      <c r="Z72" s="314"/>
    </row>
    <row r="73" spans="18:26" x14ac:dyDescent="0.2">
      <c r="R73" s="304"/>
      <c r="S73" s="304"/>
      <c r="T73" s="314"/>
      <c r="U73" s="314"/>
      <c r="V73" s="314"/>
      <c r="W73" s="314"/>
      <c r="X73" s="314"/>
      <c r="Y73" s="314"/>
      <c r="Z73" s="314"/>
    </row>
    <row r="74" spans="18:26" x14ac:dyDescent="0.2">
      <c r="R74" s="304"/>
      <c r="S74" s="304"/>
      <c r="T74" s="314"/>
      <c r="U74" s="314"/>
      <c r="V74" s="314"/>
      <c r="W74" s="314"/>
      <c r="X74" s="314"/>
      <c r="Y74" s="314"/>
      <c r="Z74" s="314"/>
    </row>
    <row r="75" spans="18:26" x14ac:dyDescent="0.2">
      <c r="R75" s="304"/>
      <c r="S75" s="304"/>
      <c r="T75" s="314"/>
      <c r="U75" s="314"/>
      <c r="V75" s="314"/>
      <c r="W75" s="314"/>
      <c r="X75" s="314"/>
      <c r="Y75" s="314"/>
      <c r="Z75" s="314"/>
    </row>
    <row r="76" spans="18:26" x14ac:dyDescent="0.2">
      <c r="R76" s="304"/>
      <c r="S76" s="304"/>
      <c r="T76" s="314"/>
      <c r="U76" s="314"/>
      <c r="V76" s="314"/>
      <c r="W76" s="314"/>
      <c r="X76" s="314"/>
      <c r="Y76" s="314"/>
      <c r="Z76" s="314"/>
    </row>
    <row r="77" spans="18:26" x14ac:dyDescent="0.2">
      <c r="R77" s="304"/>
      <c r="S77" s="304"/>
      <c r="T77" s="314"/>
      <c r="U77" s="314"/>
      <c r="V77" s="314"/>
      <c r="W77" s="314"/>
      <c r="X77" s="314"/>
      <c r="Y77" s="314"/>
      <c r="Z77" s="314"/>
    </row>
    <row r="78" spans="18:26" x14ac:dyDescent="0.2">
      <c r="R78" s="304"/>
      <c r="S78" s="304"/>
      <c r="T78" s="314"/>
      <c r="U78" s="314"/>
      <c r="V78" s="314"/>
      <c r="W78" s="314"/>
      <c r="X78" s="314"/>
      <c r="Y78" s="314"/>
      <c r="Z78" s="314"/>
    </row>
    <row r="79" spans="18:26" x14ac:dyDescent="0.2">
      <c r="R79" s="304"/>
      <c r="S79" s="304"/>
      <c r="T79" s="314"/>
      <c r="U79" s="314"/>
      <c r="V79" s="314"/>
      <c r="W79" s="314"/>
      <c r="X79" s="314"/>
      <c r="Y79" s="314"/>
      <c r="Z79" s="314"/>
    </row>
    <row r="80" spans="18:26" x14ac:dyDescent="0.2">
      <c r="R80" s="304"/>
      <c r="S80" s="304"/>
      <c r="T80" s="314"/>
      <c r="U80" s="314"/>
      <c r="V80" s="314"/>
      <c r="W80" s="314"/>
      <c r="X80" s="314"/>
      <c r="Y80" s="314"/>
      <c r="Z80" s="314"/>
    </row>
    <row r="81" spans="1:26" x14ac:dyDescent="0.2">
      <c r="P81" s="304"/>
      <c r="R81" s="304"/>
      <c r="S81" s="304"/>
      <c r="T81" s="314"/>
      <c r="U81" s="314"/>
      <c r="V81" s="314"/>
      <c r="W81" s="314"/>
      <c r="X81" s="314"/>
      <c r="Y81" s="314"/>
      <c r="Z81" s="314"/>
    </row>
    <row r="82" spans="1:26" x14ac:dyDescent="0.2">
      <c r="P82" s="304"/>
      <c r="R82" s="304"/>
      <c r="T82" s="314"/>
      <c r="U82" s="314"/>
      <c r="V82" s="314"/>
      <c r="W82" s="314"/>
      <c r="X82" s="314"/>
      <c r="Y82" s="314"/>
      <c r="Z82" s="314"/>
    </row>
    <row r="87" spans="1:26" x14ac:dyDescent="0.2">
      <c r="A87" s="244" t="s">
        <v>172</v>
      </c>
    </row>
    <row r="129" spans="1:1" x14ac:dyDescent="0.2">
      <c r="A129" s="244" t="s">
        <v>411</v>
      </c>
    </row>
  </sheetData>
  <sortState ref="W10:W43">
    <sortCondition ref="W10:W43"/>
  </sortState>
  <pageMargins left="0.7" right="0.7" top="0.75" bottom="0.75" header="0.3" footer="0.3"/>
  <pageSetup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
  <sheetViews>
    <sheetView showGridLines="0" topLeftCell="A52" zoomScaleNormal="100" workbookViewId="0">
      <selection activeCell="M88" sqref="M88"/>
    </sheetView>
  </sheetViews>
  <sheetFormatPr defaultRowHeight="12.75" x14ac:dyDescent="0.2"/>
  <cols>
    <col min="1" max="1" width="11.140625" style="227" customWidth="1"/>
    <col min="2" max="2" width="9.7109375" style="227" customWidth="1"/>
    <col min="3" max="3" width="10.5703125" style="227" customWidth="1"/>
    <col min="4" max="7" width="9.7109375" style="227" customWidth="1"/>
    <col min="8" max="17" width="9.140625" style="227"/>
    <col min="18" max="18" width="16" style="227" customWidth="1"/>
    <col min="19" max="19" width="9.140625" style="227"/>
    <col min="20" max="20" width="7.5703125" style="227" customWidth="1"/>
    <col min="21" max="21" width="9.140625" style="227"/>
    <col min="22" max="22" width="15.5703125" style="227" customWidth="1"/>
    <col min="23" max="23" width="5.7109375" style="227" bestFit="1" customWidth="1"/>
    <col min="24" max="24" width="9.140625" style="227"/>
    <col min="25" max="25" width="15.85546875" style="227" customWidth="1"/>
    <col min="26" max="26" width="9.28515625" style="227" customWidth="1"/>
    <col min="27" max="16384" width="9.140625" style="227"/>
  </cols>
  <sheetData>
    <row r="1" spans="1:25" x14ac:dyDescent="0.2">
      <c r="A1" s="227" t="s">
        <v>171</v>
      </c>
      <c r="S1" s="227" t="s">
        <v>167</v>
      </c>
    </row>
    <row r="2" spans="1:25" ht="6" customHeight="1" thickBot="1" x14ac:dyDescent="0.25"/>
    <row r="3" spans="1:25" x14ac:dyDescent="0.2">
      <c r="B3" s="227" t="s">
        <v>163</v>
      </c>
      <c r="D3" s="227" t="s">
        <v>162</v>
      </c>
      <c r="F3" s="227" t="s">
        <v>161</v>
      </c>
      <c r="J3" s="227" t="s">
        <v>170</v>
      </c>
      <c r="M3" s="227" t="s">
        <v>169</v>
      </c>
      <c r="P3" s="227" t="s">
        <v>168</v>
      </c>
      <c r="S3" s="241"/>
      <c r="T3" s="544" t="s">
        <v>163</v>
      </c>
      <c r="U3" s="544"/>
      <c r="V3" s="544" t="s">
        <v>162</v>
      </c>
      <c r="W3" s="544"/>
      <c r="X3" s="241" t="s">
        <v>161</v>
      </c>
      <c r="Y3" s="241" t="s">
        <v>29</v>
      </c>
    </row>
    <row r="4" spans="1:25" ht="36.75" thickBot="1" x14ac:dyDescent="0.25">
      <c r="A4" s="227" t="s">
        <v>3</v>
      </c>
      <c r="B4" s="227" t="s">
        <v>117</v>
      </c>
      <c r="C4" s="227" t="s">
        <v>166</v>
      </c>
      <c r="D4" s="227" t="s">
        <v>117</v>
      </c>
      <c r="E4" s="227" t="s">
        <v>166</v>
      </c>
      <c r="F4" s="227" t="s">
        <v>117</v>
      </c>
      <c r="J4" s="227" t="s">
        <v>7</v>
      </c>
      <c r="K4" s="227" t="s">
        <v>6</v>
      </c>
      <c r="M4" s="227" t="s">
        <v>7</v>
      </c>
      <c r="N4" s="227" t="s">
        <v>6</v>
      </c>
      <c r="P4" s="227" t="s">
        <v>7</v>
      </c>
      <c r="Q4" s="227" t="s">
        <v>6</v>
      </c>
      <c r="S4" s="230" t="s">
        <v>3</v>
      </c>
      <c r="T4" s="228" t="s">
        <v>117</v>
      </c>
      <c r="U4" s="228" t="s">
        <v>160</v>
      </c>
      <c r="V4" s="228" t="s">
        <v>117</v>
      </c>
      <c r="W4" s="228" t="s">
        <v>160</v>
      </c>
      <c r="X4" s="228" t="s">
        <v>117</v>
      </c>
      <c r="Y4" s="228" t="s">
        <v>159</v>
      </c>
    </row>
    <row r="5" spans="1:25" x14ac:dyDescent="0.2">
      <c r="A5" s="227">
        <v>1972</v>
      </c>
      <c r="B5" s="242">
        <f>'Master escapements'!$N5</f>
        <v>3000</v>
      </c>
      <c r="C5" s="242" t="str">
        <f>'Master escapements'!$O5</f>
        <v>-</v>
      </c>
      <c r="D5" s="242">
        <f>'Master escapements'!$P5</f>
        <v>5100</v>
      </c>
      <c r="E5" s="242" t="str">
        <f>'Master escapements'!$Q5</f>
        <v>-</v>
      </c>
      <c r="F5" s="242" t="str">
        <f>'Master escapements'!$R5</f>
        <v>-</v>
      </c>
      <c r="G5" s="242">
        <f>B5+D5</f>
        <v>8100</v>
      </c>
      <c r="J5" s="242">
        <f>'Master goals'!$D$15</f>
        <v>3300</v>
      </c>
      <c r="K5" s="242">
        <f>'Master goals'!$E$15</f>
        <v>9800</v>
      </c>
      <c r="M5" s="242">
        <f>'Master goals'!$D$16</f>
        <v>10000</v>
      </c>
      <c r="N5" s="242">
        <f>'Master goals'!$E$16</f>
        <v>29000</v>
      </c>
      <c r="P5" s="242">
        <f>'Master goals'!$D$14</f>
        <v>1400</v>
      </c>
      <c r="Q5" s="242">
        <f>'Master goals'!$E$14</f>
        <v>4200</v>
      </c>
      <c r="S5" s="233">
        <v>1972</v>
      </c>
      <c r="T5" s="238">
        <f t="shared" ref="T5:X5" si="0">B5</f>
        <v>3000</v>
      </c>
      <c r="U5" s="238" t="str">
        <f t="shared" si="0"/>
        <v>-</v>
      </c>
      <c r="V5" s="238">
        <f t="shared" si="0"/>
        <v>5100</v>
      </c>
      <c r="W5" s="238" t="str">
        <f t="shared" si="0"/>
        <v>-</v>
      </c>
      <c r="X5" s="238" t="str">
        <f t="shared" si="0"/>
        <v>-</v>
      </c>
      <c r="Y5" s="238">
        <f>G5</f>
        <v>8100</v>
      </c>
    </row>
    <row r="6" spans="1:25" x14ac:dyDescent="0.2">
      <c r="A6" s="227">
        <v>1973</v>
      </c>
      <c r="B6" s="242">
        <f>'Master escapements'!$N6</f>
        <v>1978</v>
      </c>
      <c r="C6" s="242" t="str">
        <f>'Master escapements'!$O6</f>
        <v>-</v>
      </c>
      <c r="D6" s="242">
        <f>'Master escapements'!$P6</f>
        <v>1719</v>
      </c>
      <c r="E6" s="242" t="str">
        <f>'Master escapements'!$Q6</f>
        <v>-</v>
      </c>
      <c r="F6" s="242">
        <f>'Master escapements'!$R6</f>
        <v>30000</v>
      </c>
      <c r="G6" s="242">
        <f t="shared" ref="G6:G23" si="1">B6+D6+F6</f>
        <v>33697</v>
      </c>
      <c r="J6" s="242">
        <f>'Master goals'!$D$15</f>
        <v>3300</v>
      </c>
      <c r="K6" s="242">
        <f>'Master goals'!$E$15</f>
        <v>9800</v>
      </c>
      <c r="M6" s="242">
        <f>'Master goals'!$D$16</f>
        <v>10000</v>
      </c>
      <c r="N6" s="242">
        <f>'Master goals'!$E$16</f>
        <v>29000</v>
      </c>
      <c r="P6" s="242">
        <f>'Master goals'!$D$14</f>
        <v>1400</v>
      </c>
      <c r="Q6" s="242">
        <f>'Master goals'!$E$14</f>
        <v>4200</v>
      </c>
      <c r="S6" s="233">
        <v>1973</v>
      </c>
      <c r="T6" s="238">
        <f t="shared" ref="T6:T50" si="2">B6</f>
        <v>1978</v>
      </c>
      <c r="U6" s="238" t="str">
        <f t="shared" ref="U6:U50" si="3">C6</f>
        <v>-</v>
      </c>
      <c r="V6" s="238">
        <f t="shared" ref="V6:V50" si="4">D6</f>
        <v>1719</v>
      </c>
      <c r="W6" s="238" t="str">
        <f t="shared" ref="W6:W50" si="5">E6</f>
        <v>-</v>
      </c>
      <c r="X6" s="238">
        <f t="shared" ref="X6:X50" si="6">F6</f>
        <v>30000</v>
      </c>
      <c r="Y6" s="238">
        <f t="shared" ref="Y6:Y50" si="7">G6</f>
        <v>33697</v>
      </c>
    </row>
    <row r="7" spans="1:25" x14ac:dyDescent="0.2">
      <c r="A7" s="227">
        <v>1974</v>
      </c>
      <c r="B7" s="242">
        <f>'Master escapements'!$N7</f>
        <v>2500</v>
      </c>
      <c r="C7" s="242" t="str">
        <f>'Master escapements'!$O7</f>
        <v>-</v>
      </c>
      <c r="D7" s="242">
        <f>'Master escapements'!$P7</f>
        <v>4260</v>
      </c>
      <c r="E7" s="242" t="str">
        <f>'Master escapements'!$Q7</f>
        <v>-</v>
      </c>
      <c r="F7" s="242">
        <f>'Master escapements'!$R7</f>
        <v>15000</v>
      </c>
      <c r="G7" s="242">
        <f t="shared" si="1"/>
        <v>21760</v>
      </c>
      <c r="J7" s="242">
        <f>'Master goals'!$D$15</f>
        <v>3300</v>
      </c>
      <c r="K7" s="242">
        <f>'Master goals'!$E$15</f>
        <v>9800</v>
      </c>
      <c r="M7" s="242">
        <f>'Master goals'!$D$16</f>
        <v>10000</v>
      </c>
      <c r="N7" s="242">
        <f>'Master goals'!$E$16</f>
        <v>29000</v>
      </c>
      <c r="P7" s="242">
        <f>'Master goals'!$D$14</f>
        <v>1400</v>
      </c>
      <c r="Q7" s="242">
        <f>'Master goals'!$E$14</f>
        <v>4200</v>
      </c>
      <c r="S7" s="233">
        <v>1974</v>
      </c>
      <c r="T7" s="238">
        <f t="shared" si="2"/>
        <v>2500</v>
      </c>
      <c r="U7" s="238" t="str">
        <f t="shared" si="3"/>
        <v>-</v>
      </c>
      <c r="V7" s="238">
        <f t="shared" si="4"/>
        <v>4260</v>
      </c>
      <c r="W7" s="238" t="str">
        <f t="shared" si="5"/>
        <v>-</v>
      </c>
      <c r="X7" s="238">
        <f t="shared" si="6"/>
        <v>15000</v>
      </c>
      <c r="Y7" s="238">
        <f t="shared" si="7"/>
        <v>21760</v>
      </c>
    </row>
    <row r="8" spans="1:25" x14ac:dyDescent="0.2">
      <c r="A8" s="227">
        <v>1975</v>
      </c>
      <c r="B8" s="242">
        <f>'Master escapements'!$N8</f>
        <v>800</v>
      </c>
      <c r="C8" s="242" t="str">
        <f>'Master escapements'!$O8</f>
        <v>-</v>
      </c>
      <c r="D8" s="242">
        <f>'Master escapements'!$P8</f>
        <v>4500</v>
      </c>
      <c r="E8" s="242" t="str">
        <f>'Master escapements'!$Q8</f>
        <v>-</v>
      </c>
      <c r="F8" s="242">
        <f>'Master escapements'!$R8</f>
        <v>8150</v>
      </c>
      <c r="G8" s="242">
        <f t="shared" si="1"/>
        <v>13450</v>
      </c>
      <c r="J8" s="242">
        <f>'Master goals'!$D$15</f>
        <v>3300</v>
      </c>
      <c r="K8" s="242">
        <f>'Master goals'!$E$15</f>
        <v>9800</v>
      </c>
      <c r="M8" s="242">
        <f>'Master goals'!$D$16</f>
        <v>10000</v>
      </c>
      <c r="N8" s="242">
        <f>'Master goals'!$E$16</f>
        <v>29000</v>
      </c>
      <c r="P8" s="242">
        <f>'Master goals'!$D$14</f>
        <v>1400</v>
      </c>
      <c r="Q8" s="242">
        <f>'Master goals'!$E$14</f>
        <v>4200</v>
      </c>
      <c r="S8" s="233">
        <v>1975</v>
      </c>
      <c r="T8" s="238">
        <f t="shared" si="2"/>
        <v>800</v>
      </c>
      <c r="U8" s="238" t="str">
        <f t="shared" si="3"/>
        <v>-</v>
      </c>
      <c r="V8" s="238">
        <f t="shared" si="4"/>
        <v>4500</v>
      </c>
      <c r="W8" s="238" t="str">
        <f t="shared" si="5"/>
        <v>-</v>
      </c>
      <c r="X8" s="238">
        <f t="shared" si="6"/>
        <v>8150</v>
      </c>
      <c r="Y8" s="238">
        <f t="shared" si="7"/>
        <v>13450</v>
      </c>
    </row>
    <row r="9" spans="1:25" x14ac:dyDescent="0.2">
      <c r="A9" s="227">
        <v>1976</v>
      </c>
      <c r="B9" s="242">
        <f>'Master escapements'!$N9</f>
        <v>1200</v>
      </c>
      <c r="C9" s="242" t="str">
        <f>'Master escapements'!$O9</f>
        <v>-</v>
      </c>
      <c r="D9" s="242">
        <f>'Master escapements'!$P9</f>
        <v>3280</v>
      </c>
      <c r="E9" s="242" t="str">
        <f>'Master escapements'!$Q9</f>
        <v>-</v>
      </c>
      <c r="F9" s="242">
        <f>'Master escapements'!$R9</f>
        <v>30000</v>
      </c>
      <c r="G9" s="242">
        <f t="shared" si="1"/>
        <v>34480</v>
      </c>
      <c r="J9" s="242">
        <f>'Master goals'!$D$15</f>
        <v>3300</v>
      </c>
      <c r="K9" s="242">
        <f>'Master goals'!$E$15</f>
        <v>9800</v>
      </c>
      <c r="M9" s="242">
        <f>'Master goals'!$D$16</f>
        <v>10000</v>
      </c>
      <c r="N9" s="242">
        <f>'Master goals'!$E$16</f>
        <v>29000</v>
      </c>
      <c r="P9" s="242">
        <f>'Master goals'!$D$14</f>
        <v>1400</v>
      </c>
      <c r="Q9" s="242">
        <f>'Master goals'!$E$14</f>
        <v>4200</v>
      </c>
      <c r="S9" s="233">
        <v>1976</v>
      </c>
      <c r="T9" s="238">
        <f t="shared" si="2"/>
        <v>1200</v>
      </c>
      <c r="U9" s="238" t="str">
        <f t="shared" si="3"/>
        <v>-</v>
      </c>
      <c r="V9" s="238">
        <f t="shared" si="4"/>
        <v>3280</v>
      </c>
      <c r="W9" s="238" t="str">
        <f t="shared" si="5"/>
        <v>-</v>
      </c>
      <c r="X9" s="238">
        <f t="shared" si="6"/>
        <v>30000</v>
      </c>
      <c r="Y9" s="238">
        <f t="shared" si="7"/>
        <v>34480</v>
      </c>
    </row>
    <row r="10" spans="1:25" x14ac:dyDescent="0.2">
      <c r="A10" s="227">
        <v>1977</v>
      </c>
      <c r="B10" s="242">
        <f>'Master escapements'!$N10</f>
        <v>3000</v>
      </c>
      <c r="C10" s="242" t="str">
        <f>'Master escapements'!$O10</f>
        <v>-</v>
      </c>
      <c r="D10" s="242">
        <f>'Master escapements'!$P10</f>
        <v>3750</v>
      </c>
      <c r="E10" s="242" t="str">
        <f>'Master escapements'!$Q10</f>
        <v>-</v>
      </c>
      <c r="F10" s="242">
        <f>'Master escapements'!$R10</f>
        <v>25000</v>
      </c>
      <c r="G10" s="242">
        <f t="shared" si="1"/>
        <v>31750</v>
      </c>
      <c r="J10" s="242">
        <f>'Master goals'!$D$15</f>
        <v>3300</v>
      </c>
      <c r="K10" s="242">
        <f>'Master goals'!$E$15</f>
        <v>9800</v>
      </c>
      <c r="M10" s="242">
        <f>'Master goals'!$D$16</f>
        <v>10000</v>
      </c>
      <c r="N10" s="242">
        <f>'Master goals'!$E$16</f>
        <v>29000</v>
      </c>
      <c r="P10" s="242">
        <f>'Master goals'!$D$14</f>
        <v>1400</v>
      </c>
      <c r="Q10" s="242">
        <f>'Master goals'!$E$14</f>
        <v>4200</v>
      </c>
      <c r="S10" s="233">
        <v>1977</v>
      </c>
      <c r="T10" s="238">
        <f t="shared" si="2"/>
        <v>3000</v>
      </c>
      <c r="U10" s="238" t="str">
        <f t="shared" si="3"/>
        <v>-</v>
      </c>
      <c r="V10" s="238">
        <f t="shared" si="4"/>
        <v>3750</v>
      </c>
      <c r="W10" s="238" t="str">
        <f t="shared" si="5"/>
        <v>-</v>
      </c>
      <c r="X10" s="238">
        <f t="shared" si="6"/>
        <v>25000</v>
      </c>
      <c r="Y10" s="238">
        <f t="shared" si="7"/>
        <v>31750</v>
      </c>
    </row>
    <row r="11" spans="1:25" x14ac:dyDescent="0.2">
      <c r="A11" s="227">
        <v>1978</v>
      </c>
      <c r="B11" s="242">
        <f>'Master escapements'!$N11</f>
        <v>2200</v>
      </c>
      <c r="C11" s="242" t="str">
        <f>'Master escapements'!$O11</f>
        <v>-</v>
      </c>
      <c r="D11" s="242">
        <f>'Master escapements'!$P11</f>
        <v>3850</v>
      </c>
      <c r="E11" s="242" t="str">
        <f>'Master escapements'!$Q11</f>
        <v>-</v>
      </c>
      <c r="F11" s="242">
        <f>'Master escapements'!$R11</f>
        <v>40000</v>
      </c>
      <c r="G11" s="242">
        <f t="shared" si="1"/>
        <v>46050</v>
      </c>
      <c r="J11" s="242">
        <f>'Master goals'!$D$15</f>
        <v>3300</v>
      </c>
      <c r="K11" s="242">
        <f>'Master goals'!$E$15</f>
        <v>9800</v>
      </c>
      <c r="M11" s="242">
        <f>'Master goals'!$D$16</f>
        <v>10000</v>
      </c>
      <c r="N11" s="242">
        <f>'Master goals'!$E$16</f>
        <v>29000</v>
      </c>
      <c r="P11" s="242">
        <f>'Master goals'!$D$14</f>
        <v>1400</v>
      </c>
      <c r="Q11" s="242">
        <f>'Master goals'!$E$14</f>
        <v>4200</v>
      </c>
      <c r="S11" s="233">
        <v>1978</v>
      </c>
      <c r="T11" s="238">
        <f t="shared" si="2"/>
        <v>2200</v>
      </c>
      <c r="U11" s="238" t="str">
        <f t="shared" si="3"/>
        <v>-</v>
      </c>
      <c r="V11" s="238">
        <f t="shared" si="4"/>
        <v>3850</v>
      </c>
      <c r="W11" s="238" t="str">
        <f t="shared" si="5"/>
        <v>-</v>
      </c>
      <c r="X11" s="238">
        <f t="shared" si="6"/>
        <v>40000</v>
      </c>
      <c r="Y11" s="238">
        <f t="shared" si="7"/>
        <v>46050</v>
      </c>
    </row>
    <row r="12" spans="1:25" x14ac:dyDescent="0.2">
      <c r="A12" s="227">
        <v>1979</v>
      </c>
      <c r="B12" s="242">
        <f>'Master escapements'!$N12</f>
        <v>3250</v>
      </c>
      <c r="C12" s="242" t="str">
        <f>'Master escapements'!$O12</f>
        <v>-</v>
      </c>
      <c r="D12" s="242">
        <f>'Master escapements'!$P12</f>
        <v>7000</v>
      </c>
      <c r="E12" s="242" t="str">
        <f>'Master escapements'!$Q12</f>
        <v>-</v>
      </c>
      <c r="F12" s="242">
        <f>'Master escapements'!$R12</f>
        <v>25000</v>
      </c>
      <c r="G12" s="242">
        <f t="shared" si="1"/>
        <v>35250</v>
      </c>
      <c r="J12" s="242">
        <f>'Master goals'!$D$15</f>
        <v>3300</v>
      </c>
      <c r="K12" s="242">
        <f>'Master goals'!$E$15</f>
        <v>9800</v>
      </c>
      <c r="M12" s="242">
        <f>'Master goals'!$D$16</f>
        <v>10000</v>
      </c>
      <c r="N12" s="242">
        <f>'Master goals'!$E$16</f>
        <v>29000</v>
      </c>
      <c r="P12" s="242">
        <f>'Master goals'!$D$14</f>
        <v>1400</v>
      </c>
      <c r="Q12" s="242">
        <f>'Master goals'!$E$14</f>
        <v>4200</v>
      </c>
      <c r="S12" s="233">
        <v>1979</v>
      </c>
      <c r="T12" s="238">
        <f t="shared" si="2"/>
        <v>3250</v>
      </c>
      <c r="U12" s="238" t="str">
        <f t="shared" si="3"/>
        <v>-</v>
      </c>
      <c r="V12" s="238">
        <f t="shared" si="4"/>
        <v>7000</v>
      </c>
      <c r="W12" s="238" t="str">
        <f t="shared" si="5"/>
        <v>-</v>
      </c>
      <c r="X12" s="238">
        <f t="shared" si="6"/>
        <v>25000</v>
      </c>
      <c r="Y12" s="238">
        <f t="shared" si="7"/>
        <v>35250</v>
      </c>
    </row>
    <row r="13" spans="1:25" x14ac:dyDescent="0.2">
      <c r="A13" s="227">
        <v>1980</v>
      </c>
      <c r="B13" s="242">
        <f>'Master escapements'!$N13</f>
        <v>3200</v>
      </c>
      <c r="C13" s="242" t="str">
        <f>'Master escapements'!$O13</f>
        <v>-</v>
      </c>
      <c r="D13" s="242">
        <f>'Master escapements'!$P13</f>
        <v>8100</v>
      </c>
      <c r="E13" s="242" t="str">
        <f>'Master escapements'!$Q13</f>
        <v>-</v>
      </c>
      <c r="F13" s="242">
        <f>'Master escapements'!$R13</f>
        <v>18000</v>
      </c>
      <c r="G13" s="242">
        <f t="shared" si="1"/>
        <v>29300</v>
      </c>
      <c r="J13" s="242">
        <f>'Master goals'!$D$15</f>
        <v>3300</v>
      </c>
      <c r="K13" s="242">
        <f>'Master goals'!$E$15</f>
        <v>9800</v>
      </c>
      <c r="M13" s="242">
        <f>'Master goals'!$D$16</f>
        <v>10000</v>
      </c>
      <c r="N13" s="242">
        <f>'Master goals'!$E$16</f>
        <v>29000</v>
      </c>
      <c r="P13" s="242">
        <f>'Master goals'!$D$14</f>
        <v>1400</v>
      </c>
      <c r="Q13" s="242">
        <f>'Master goals'!$E$14</f>
        <v>4200</v>
      </c>
      <c r="S13" s="233">
        <v>1980</v>
      </c>
      <c r="T13" s="238">
        <f t="shared" si="2"/>
        <v>3200</v>
      </c>
      <c r="U13" s="238" t="str">
        <f t="shared" si="3"/>
        <v>-</v>
      </c>
      <c r="V13" s="238">
        <f t="shared" si="4"/>
        <v>8100</v>
      </c>
      <c r="W13" s="238" t="str">
        <f t="shared" si="5"/>
        <v>-</v>
      </c>
      <c r="X13" s="238">
        <f t="shared" si="6"/>
        <v>18000</v>
      </c>
      <c r="Y13" s="238">
        <f t="shared" si="7"/>
        <v>29300</v>
      </c>
    </row>
    <row r="14" spans="1:25" x14ac:dyDescent="0.2">
      <c r="A14" s="227">
        <v>1981</v>
      </c>
      <c r="B14" s="242">
        <f>'Master escapements'!$N14</f>
        <v>5793</v>
      </c>
      <c r="C14" s="242" t="str">
        <f>'Master escapements'!$O14</f>
        <v>-</v>
      </c>
      <c r="D14" s="242">
        <f>'Master escapements'!$P14</f>
        <v>8430</v>
      </c>
      <c r="E14" s="242" t="str">
        <f>'Master escapements'!$Q14</f>
        <v>-</v>
      </c>
      <c r="F14" s="242">
        <f>'Master escapements'!$R14</f>
        <v>20000</v>
      </c>
      <c r="G14" s="242">
        <f t="shared" si="1"/>
        <v>34223</v>
      </c>
      <c r="J14" s="242">
        <f>'Master goals'!$D$15</f>
        <v>3300</v>
      </c>
      <c r="K14" s="242">
        <f>'Master goals'!$E$15</f>
        <v>9800</v>
      </c>
      <c r="M14" s="242">
        <f>'Master goals'!$D$16</f>
        <v>10000</v>
      </c>
      <c r="N14" s="242">
        <f>'Master goals'!$E$16</f>
        <v>29000</v>
      </c>
      <c r="P14" s="242">
        <f>'Master goals'!$D$14</f>
        <v>1400</v>
      </c>
      <c r="Q14" s="242">
        <f>'Master goals'!$E$14</f>
        <v>4200</v>
      </c>
      <c r="S14" s="233">
        <v>1981</v>
      </c>
      <c r="T14" s="238">
        <f t="shared" si="2"/>
        <v>5793</v>
      </c>
      <c r="U14" s="238" t="str">
        <f t="shared" si="3"/>
        <v>-</v>
      </c>
      <c r="V14" s="238">
        <f t="shared" si="4"/>
        <v>8430</v>
      </c>
      <c r="W14" s="238" t="str">
        <f t="shared" si="5"/>
        <v>-</v>
      </c>
      <c r="X14" s="238">
        <f t="shared" si="6"/>
        <v>20000</v>
      </c>
      <c r="Y14" s="238">
        <f t="shared" si="7"/>
        <v>34223</v>
      </c>
    </row>
    <row r="15" spans="1:25" x14ac:dyDescent="0.2">
      <c r="A15" s="227">
        <v>1982</v>
      </c>
      <c r="B15" s="242">
        <f>'Master escapements'!$N15</f>
        <v>7100</v>
      </c>
      <c r="C15" s="242" t="str">
        <f>'Master escapements'!$O15</f>
        <v>-</v>
      </c>
      <c r="D15" s="242">
        <f>'Master escapements'!$P15</f>
        <v>9180</v>
      </c>
      <c r="E15" s="242" t="str">
        <f>'Master escapements'!$Q15</f>
        <v>-</v>
      </c>
      <c r="F15" s="242">
        <f>'Master escapements'!$R15</f>
        <v>40000</v>
      </c>
      <c r="G15" s="242">
        <f t="shared" si="1"/>
        <v>56280</v>
      </c>
      <c r="J15" s="242">
        <f>'Master goals'!$D$15</f>
        <v>3300</v>
      </c>
      <c r="K15" s="242">
        <f>'Master goals'!$E$15</f>
        <v>9800</v>
      </c>
      <c r="M15" s="242">
        <f>'Master goals'!$D$16</f>
        <v>10000</v>
      </c>
      <c r="N15" s="242">
        <f>'Master goals'!$E$16</f>
        <v>29000</v>
      </c>
      <c r="P15" s="242">
        <f>'Master goals'!$D$14</f>
        <v>1400</v>
      </c>
      <c r="Q15" s="242">
        <f>'Master goals'!$E$14</f>
        <v>4200</v>
      </c>
      <c r="S15" s="233">
        <v>1982</v>
      </c>
      <c r="T15" s="238">
        <f t="shared" si="2"/>
        <v>7100</v>
      </c>
      <c r="U15" s="238" t="str">
        <f t="shared" si="3"/>
        <v>-</v>
      </c>
      <c r="V15" s="238">
        <f t="shared" si="4"/>
        <v>9180</v>
      </c>
      <c r="W15" s="238" t="str">
        <f t="shared" si="5"/>
        <v>-</v>
      </c>
      <c r="X15" s="238">
        <f t="shared" si="6"/>
        <v>40000</v>
      </c>
      <c r="Y15" s="238">
        <f t="shared" si="7"/>
        <v>56280</v>
      </c>
    </row>
    <row r="16" spans="1:25" x14ac:dyDescent="0.2">
      <c r="A16" s="227">
        <v>1983</v>
      </c>
      <c r="B16" s="242">
        <f>'Master escapements'!$N16</f>
        <v>5950</v>
      </c>
      <c r="C16" s="242" t="str">
        <f>'Master escapements'!$O16</f>
        <v>-</v>
      </c>
      <c r="D16" s="242">
        <f>'Master escapements'!$P16</f>
        <v>5300</v>
      </c>
      <c r="E16" s="242" t="str">
        <f>'Master escapements'!$Q16</f>
        <v>-</v>
      </c>
      <c r="F16" s="242">
        <f>'Master escapements'!$R16</f>
        <v>16500</v>
      </c>
      <c r="G16" s="242">
        <f t="shared" si="1"/>
        <v>27750</v>
      </c>
      <c r="J16" s="242">
        <f>'Master goals'!$D$15</f>
        <v>3300</v>
      </c>
      <c r="K16" s="242">
        <f>'Master goals'!$E$15</f>
        <v>9800</v>
      </c>
      <c r="M16" s="242">
        <f>'Master goals'!$D$16</f>
        <v>10000</v>
      </c>
      <c r="N16" s="242">
        <f>'Master goals'!$E$16</f>
        <v>29000</v>
      </c>
      <c r="P16" s="242">
        <f>'Master goals'!$D$14</f>
        <v>1400</v>
      </c>
      <c r="Q16" s="242">
        <f>'Master goals'!$E$14</f>
        <v>4200</v>
      </c>
      <c r="S16" s="233">
        <v>1983</v>
      </c>
      <c r="T16" s="238">
        <f t="shared" si="2"/>
        <v>5950</v>
      </c>
      <c r="U16" s="238" t="str">
        <f t="shared" si="3"/>
        <v>-</v>
      </c>
      <c r="V16" s="238">
        <f t="shared" si="4"/>
        <v>5300</v>
      </c>
      <c r="W16" s="238" t="str">
        <f t="shared" si="5"/>
        <v>-</v>
      </c>
      <c r="X16" s="238">
        <f t="shared" si="6"/>
        <v>16500</v>
      </c>
      <c r="Y16" s="238">
        <f t="shared" si="7"/>
        <v>27750</v>
      </c>
    </row>
    <row r="17" spans="1:25" x14ac:dyDescent="0.2">
      <c r="A17" s="227">
        <v>1984</v>
      </c>
      <c r="B17" s="242">
        <f>'Master escapements'!$N17</f>
        <v>4200</v>
      </c>
      <c r="C17" s="242" t="str">
        <f>'Master escapements'!$O17</f>
        <v>-</v>
      </c>
      <c r="D17" s="242">
        <f>'Master escapements'!$P17</f>
        <v>14000</v>
      </c>
      <c r="E17" s="242" t="str">
        <f>'Master escapements'!$Q17</f>
        <v>-</v>
      </c>
      <c r="F17" s="242">
        <f>'Master escapements'!$R17</f>
        <v>30000</v>
      </c>
      <c r="G17" s="242">
        <f t="shared" si="1"/>
        <v>48200</v>
      </c>
      <c r="J17" s="242">
        <f>'Master goals'!$D$15</f>
        <v>3300</v>
      </c>
      <c r="K17" s="242">
        <f>'Master goals'!$E$15</f>
        <v>9800</v>
      </c>
      <c r="M17" s="242">
        <f>'Master goals'!$D$16</f>
        <v>10000</v>
      </c>
      <c r="N17" s="242">
        <f>'Master goals'!$E$16</f>
        <v>29000</v>
      </c>
      <c r="P17" s="242">
        <f>'Master goals'!$D$14</f>
        <v>1400</v>
      </c>
      <c r="Q17" s="242">
        <f>'Master goals'!$E$14</f>
        <v>4200</v>
      </c>
      <c r="S17" s="233">
        <v>1984</v>
      </c>
      <c r="T17" s="238">
        <f t="shared" si="2"/>
        <v>4200</v>
      </c>
      <c r="U17" s="238" t="str">
        <f t="shared" si="3"/>
        <v>-</v>
      </c>
      <c r="V17" s="238">
        <f t="shared" si="4"/>
        <v>14000</v>
      </c>
      <c r="W17" s="238" t="str">
        <f t="shared" si="5"/>
        <v>-</v>
      </c>
      <c r="X17" s="238">
        <f t="shared" si="6"/>
        <v>30000</v>
      </c>
      <c r="Y17" s="238">
        <f t="shared" si="7"/>
        <v>48200</v>
      </c>
    </row>
    <row r="18" spans="1:25" x14ac:dyDescent="0.2">
      <c r="A18" s="227">
        <v>1985</v>
      </c>
      <c r="B18" s="242">
        <f>'Master escapements'!$N18</f>
        <v>3300</v>
      </c>
      <c r="C18" s="242" t="str">
        <f>'Master escapements'!$O18</f>
        <v>-</v>
      </c>
      <c r="D18" s="242">
        <f>'Master escapements'!$P18</f>
        <v>6490</v>
      </c>
      <c r="E18" s="242" t="str">
        <f>'Master escapements'!$Q18</f>
        <v>-</v>
      </c>
      <c r="F18" s="242">
        <f>'Master escapements'!$R18</f>
        <v>52350</v>
      </c>
      <c r="G18" s="242">
        <f t="shared" si="1"/>
        <v>62140</v>
      </c>
      <c r="J18" s="242">
        <f>'Master goals'!$D$15</f>
        <v>3300</v>
      </c>
      <c r="K18" s="242">
        <f>'Master goals'!$E$15</f>
        <v>9800</v>
      </c>
      <c r="M18" s="242">
        <f>'Master goals'!$D$16</f>
        <v>10000</v>
      </c>
      <c r="N18" s="242">
        <f>'Master goals'!$E$16</f>
        <v>29000</v>
      </c>
      <c r="P18" s="242">
        <f>'Master goals'!$D$14</f>
        <v>1400</v>
      </c>
      <c r="Q18" s="242">
        <f>'Master goals'!$E$14</f>
        <v>4200</v>
      </c>
      <c r="S18" s="233">
        <v>1985</v>
      </c>
      <c r="T18" s="238">
        <f t="shared" si="2"/>
        <v>3300</v>
      </c>
      <c r="U18" s="238" t="str">
        <f t="shared" si="3"/>
        <v>-</v>
      </c>
      <c r="V18" s="238">
        <f t="shared" si="4"/>
        <v>6490</v>
      </c>
      <c r="W18" s="238" t="str">
        <f t="shared" si="5"/>
        <v>-</v>
      </c>
      <c r="X18" s="238">
        <f t="shared" si="6"/>
        <v>52350</v>
      </c>
      <c r="Y18" s="238">
        <f t="shared" si="7"/>
        <v>62140</v>
      </c>
    </row>
    <row r="19" spans="1:25" x14ac:dyDescent="0.2">
      <c r="A19" s="227">
        <v>1986</v>
      </c>
      <c r="B19" s="242">
        <f>'Master escapements'!$N19</f>
        <v>3300</v>
      </c>
      <c r="C19" s="242" t="str">
        <f>'Master escapements'!$O19</f>
        <v>-</v>
      </c>
      <c r="D19" s="242">
        <f>'Master escapements'!$P19</f>
        <v>3162</v>
      </c>
      <c r="E19" s="242" t="str">
        <f>'Master escapements'!$Q19</f>
        <v>-</v>
      </c>
      <c r="F19" s="242">
        <f>'Master escapements'!$R19</f>
        <v>14100</v>
      </c>
      <c r="G19" s="242">
        <f t="shared" si="1"/>
        <v>20562</v>
      </c>
      <c r="J19" s="242">
        <f>'Master goals'!$D$15</f>
        <v>3300</v>
      </c>
      <c r="K19" s="242">
        <f>'Master goals'!$E$15</f>
        <v>9800</v>
      </c>
      <c r="M19" s="242">
        <f>'Master goals'!$D$16</f>
        <v>10000</v>
      </c>
      <c r="N19" s="242">
        <f>'Master goals'!$E$16</f>
        <v>29000</v>
      </c>
      <c r="P19" s="242">
        <f>'Master goals'!$D$14</f>
        <v>1400</v>
      </c>
      <c r="Q19" s="242">
        <f>'Master goals'!$E$14</f>
        <v>4200</v>
      </c>
      <c r="S19" s="233">
        <v>1986</v>
      </c>
      <c r="T19" s="238">
        <f t="shared" si="2"/>
        <v>3300</v>
      </c>
      <c r="U19" s="238" t="str">
        <f t="shared" si="3"/>
        <v>-</v>
      </c>
      <c r="V19" s="238">
        <f t="shared" si="4"/>
        <v>3162</v>
      </c>
      <c r="W19" s="238" t="str">
        <f t="shared" si="5"/>
        <v>-</v>
      </c>
      <c r="X19" s="238">
        <f t="shared" si="6"/>
        <v>14100</v>
      </c>
      <c r="Y19" s="238">
        <f t="shared" si="7"/>
        <v>20562</v>
      </c>
    </row>
    <row r="20" spans="1:25" x14ac:dyDescent="0.2">
      <c r="A20" s="227">
        <v>1987</v>
      </c>
      <c r="B20" s="242">
        <f>'Master escapements'!$N20</f>
        <v>5000</v>
      </c>
      <c r="C20" s="242" t="str">
        <f>'Master escapements'!$O20</f>
        <v>-</v>
      </c>
      <c r="D20" s="242">
        <f>'Master escapements'!$P20</f>
        <v>2000</v>
      </c>
      <c r="E20" s="242" t="str">
        <f>'Master escapements'!$Q20</f>
        <v>-</v>
      </c>
      <c r="F20" s="242">
        <f>'Master escapements'!$R20</f>
        <v>8500</v>
      </c>
      <c r="G20" s="242">
        <f t="shared" si="1"/>
        <v>15500</v>
      </c>
      <c r="J20" s="242">
        <f>'Master goals'!$D$15</f>
        <v>3300</v>
      </c>
      <c r="K20" s="242">
        <f>'Master goals'!$E$15</f>
        <v>9800</v>
      </c>
      <c r="M20" s="242">
        <f>'Master goals'!$D$16</f>
        <v>10000</v>
      </c>
      <c r="N20" s="242">
        <f>'Master goals'!$E$16</f>
        <v>29000</v>
      </c>
      <c r="P20" s="242">
        <f>'Master goals'!$D$14</f>
        <v>1400</v>
      </c>
      <c r="Q20" s="242">
        <f>'Master goals'!$E$14</f>
        <v>4200</v>
      </c>
      <c r="S20" s="233">
        <v>1987</v>
      </c>
      <c r="T20" s="238">
        <f t="shared" si="2"/>
        <v>5000</v>
      </c>
      <c r="U20" s="238" t="str">
        <f t="shared" si="3"/>
        <v>-</v>
      </c>
      <c r="V20" s="238">
        <f t="shared" si="4"/>
        <v>2000</v>
      </c>
      <c r="W20" s="238" t="str">
        <f t="shared" si="5"/>
        <v>-</v>
      </c>
      <c r="X20" s="238">
        <f t="shared" si="6"/>
        <v>8500</v>
      </c>
      <c r="Y20" s="238">
        <f t="shared" si="7"/>
        <v>15500</v>
      </c>
    </row>
    <row r="21" spans="1:25" x14ac:dyDescent="0.2">
      <c r="A21" s="227">
        <v>1988</v>
      </c>
      <c r="B21" s="242">
        <f>'Master escapements'!$N21</f>
        <v>1600</v>
      </c>
      <c r="C21" s="242" t="str">
        <f>'Master escapements'!$O21</f>
        <v>-</v>
      </c>
      <c r="D21" s="242">
        <f>'Master escapements'!$P21</f>
        <v>11000</v>
      </c>
      <c r="E21" s="242" t="str">
        <f>'Master escapements'!$Q21</f>
        <v>-</v>
      </c>
      <c r="F21" s="242">
        <f>'Master escapements'!$R21</f>
        <v>16000</v>
      </c>
      <c r="G21" s="242">
        <f t="shared" si="1"/>
        <v>28600</v>
      </c>
      <c r="J21" s="242">
        <f>'Master goals'!$D$15</f>
        <v>3300</v>
      </c>
      <c r="K21" s="242">
        <f>'Master goals'!$E$15</f>
        <v>9800</v>
      </c>
      <c r="M21" s="242">
        <f>'Master goals'!$D$16</f>
        <v>10000</v>
      </c>
      <c r="N21" s="242">
        <f>'Master goals'!$E$16</f>
        <v>29000</v>
      </c>
      <c r="P21" s="242">
        <f>'Master goals'!$D$14</f>
        <v>1400</v>
      </c>
      <c r="Q21" s="242">
        <f>'Master goals'!$E$14</f>
        <v>4200</v>
      </c>
      <c r="S21" s="233">
        <v>1988</v>
      </c>
      <c r="T21" s="238">
        <f t="shared" si="2"/>
        <v>1600</v>
      </c>
      <c r="U21" s="238" t="str">
        <f t="shared" si="3"/>
        <v>-</v>
      </c>
      <c r="V21" s="238">
        <f t="shared" si="4"/>
        <v>11000</v>
      </c>
      <c r="W21" s="238" t="str">
        <f t="shared" si="5"/>
        <v>-</v>
      </c>
      <c r="X21" s="238">
        <f t="shared" si="6"/>
        <v>16000</v>
      </c>
      <c r="Y21" s="238">
        <f t="shared" si="7"/>
        <v>28600</v>
      </c>
    </row>
    <row r="22" spans="1:25" x14ac:dyDescent="0.2">
      <c r="A22" s="227">
        <v>1989</v>
      </c>
      <c r="B22" s="242">
        <f>'Master escapements'!$N22</f>
        <v>1490</v>
      </c>
      <c r="C22" s="242" t="str">
        <f>'Master escapements'!$O22</f>
        <v>-</v>
      </c>
      <c r="D22" s="242">
        <f>'Master escapements'!$P22</f>
        <v>3900</v>
      </c>
      <c r="E22" s="242" t="str">
        <f>'Master escapements'!$Q22</f>
        <v>-</v>
      </c>
      <c r="F22" s="242">
        <f>'Master escapements'!$R22</f>
        <v>38000</v>
      </c>
      <c r="G22" s="242">
        <f t="shared" si="1"/>
        <v>43390</v>
      </c>
      <c r="J22" s="242">
        <f>'Master goals'!$D$15</f>
        <v>3300</v>
      </c>
      <c r="K22" s="242">
        <f>'Master goals'!$E$15</f>
        <v>9800</v>
      </c>
      <c r="M22" s="242">
        <f>'Master goals'!$D$16</f>
        <v>10000</v>
      </c>
      <c r="N22" s="242">
        <f>'Master goals'!$E$16</f>
        <v>29000</v>
      </c>
      <c r="P22" s="242">
        <f>'Master goals'!$D$14</f>
        <v>1400</v>
      </c>
      <c r="Q22" s="242">
        <f>'Master goals'!$E$14</f>
        <v>4200</v>
      </c>
      <c r="S22" s="233">
        <v>1989</v>
      </c>
      <c r="T22" s="238">
        <f t="shared" si="2"/>
        <v>1490</v>
      </c>
      <c r="U22" s="238" t="str">
        <f t="shared" si="3"/>
        <v>-</v>
      </c>
      <c r="V22" s="238">
        <f t="shared" si="4"/>
        <v>3900</v>
      </c>
      <c r="W22" s="238" t="str">
        <f t="shared" si="5"/>
        <v>-</v>
      </c>
      <c r="X22" s="238">
        <f t="shared" si="6"/>
        <v>38000</v>
      </c>
      <c r="Y22" s="238">
        <f t="shared" si="7"/>
        <v>43390</v>
      </c>
    </row>
    <row r="23" spans="1:25" x14ac:dyDescent="0.2">
      <c r="A23" s="227">
        <v>1990</v>
      </c>
      <c r="B23" s="242">
        <f>'Master escapements'!$N23</f>
        <v>9460</v>
      </c>
      <c r="C23" s="242" t="str">
        <f>'Master escapements'!$O23</f>
        <v>-</v>
      </c>
      <c r="D23" s="242">
        <f>'Master escapements'!$P23</f>
        <v>1630</v>
      </c>
      <c r="E23" s="242" t="str">
        <f>'Master escapements'!$Q23</f>
        <v>-</v>
      </c>
      <c r="F23" s="242">
        <f>'Master escapements'!$R23</f>
        <v>16800</v>
      </c>
      <c r="G23" s="242">
        <f t="shared" si="1"/>
        <v>27890</v>
      </c>
      <c r="J23" s="242">
        <f>'Master goals'!$D$15</f>
        <v>3300</v>
      </c>
      <c r="K23" s="242">
        <f>'Master goals'!$E$15</f>
        <v>9800</v>
      </c>
      <c r="M23" s="242">
        <f>'Master goals'!$D$16</f>
        <v>10000</v>
      </c>
      <c r="N23" s="242">
        <f>'Master goals'!$E$16</f>
        <v>29000</v>
      </c>
      <c r="P23" s="242">
        <f>'Master goals'!$D$14</f>
        <v>1400</v>
      </c>
      <c r="Q23" s="242">
        <f>'Master goals'!$E$14</f>
        <v>4200</v>
      </c>
      <c r="S23" s="233">
        <v>1990</v>
      </c>
      <c r="T23" s="238">
        <f t="shared" si="2"/>
        <v>9460</v>
      </c>
      <c r="U23" s="238" t="str">
        <f t="shared" si="3"/>
        <v>-</v>
      </c>
      <c r="V23" s="238">
        <f t="shared" si="4"/>
        <v>1630</v>
      </c>
      <c r="W23" s="238" t="str">
        <f t="shared" si="5"/>
        <v>-</v>
      </c>
      <c r="X23" s="238">
        <f t="shared" si="6"/>
        <v>16800</v>
      </c>
      <c r="Y23" s="238">
        <f t="shared" si="7"/>
        <v>27890</v>
      </c>
    </row>
    <row r="24" spans="1:25" x14ac:dyDescent="0.2">
      <c r="A24" s="227">
        <v>1991</v>
      </c>
      <c r="B24" s="242">
        <f>'Master escapements'!$N24</f>
        <v>975</v>
      </c>
      <c r="C24" s="242" t="str">
        <f>'Master escapements'!$O24</f>
        <v>-</v>
      </c>
      <c r="D24" s="242" t="str">
        <f>'Master escapements'!$P24</f>
        <v>-</v>
      </c>
      <c r="E24" s="242" t="str">
        <f>'Master escapements'!$Q24</f>
        <v>-</v>
      </c>
      <c r="F24" s="242">
        <f>'Master escapements'!$R24</f>
        <v>16600</v>
      </c>
      <c r="G24" s="242">
        <f>B24+F24</f>
        <v>17575</v>
      </c>
      <c r="J24" s="242">
        <f>'Master goals'!$D$15</f>
        <v>3300</v>
      </c>
      <c r="K24" s="242">
        <f>'Master goals'!$E$15</f>
        <v>9800</v>
      </c>
      <c r="M24" s="242">
        <f>'Master goals'!$D$16</f>
        <v>10000</v>
      </c>
      <c r="N24" s="242">
        <f>'Master goals'!$E$16</f>
        <v>29000</v>
      </c>
      <c r="P24" s="242">
        <f>'Master goals'!$D$14</f>
        <v>1400</v>
      </c>
      <c r="Q24" s="242">
        <f>'Master goals'!$E$14</f>
        <v>4200</v>
      </c>
      <c r="S24" s="233">
        <v>1991</v>
      </c>
      <c r="T24" s="238">
        <f t="shared" si="2"/>
        <v>975</v>
      </c>
      <c r="U24" s="238" t="str">
        <f t="shared" si="3"/>
        <v>-</v>
      </c>
      <c r="V24" s="238" t="str">
        <f t="shared" si="4"/>
        <v>-</v>
      </c>
      <c r="W24" s="238" t="str">
        <f t="shared" si="5"/>
        <v>-</v>
      </c>
      <c r="X24" s="238">
        <f t="shared" si="6"/>
        <v>16600</v>
      </c>
      <c r="Y24" s="238">
        <f t="shared" si="7"/>
        <v>17575</v>
      </c>
    </row>
    <row r="25" spans="1:25" x14ac:dyDescent="0.2">
      <c r="A25" s="227">
        <v>1992</v>
      </c>
      <c r="B25" s="242">
        <f>'Master escapements'!$N25</f>
        <v>4235</v>
      </c>
      <c r="C25" s="242" t="str">
        <f>'Master escapements'!$O25</f>
        <v>-</v>
      </c>
      <c r="D25" s="242">
        <f>'Master escapements'!$P25</f>
        <v>13820</v>
      </c>
      <c r="E25" s="242" t="str">
        <f>'Master escapements'!$Q25</f>
        <v>-</v>
      </c>
      <c r="F25" s="242">
        <f>'Master escapements'!$R25</f>
        <v>30800</v>
      </c>
      <c r="G25" s="242">
        <f>B25+D25+F25</f>
        <v>48855</v>
      </c>
      <c r="J25" s="242">
        <f>'Master goals'!$D$15</f>
        <v>3300</v>
      </c>
      <c r="K25" s="242">
        <f>'Master goals'!$E$15</f>
        <v>9800</v>
      </c>
      <c r="M25" s="242">
        <f>'Master goals'!$D$16</f>
        <v>10000</v>
      </c>
      <c r="N25" s="242">
        <f>'Master goals'!$E$16</f>
        <v>29000</v>
      </c>
      <c r="P25" s="242">
        <f>'Master goals'!$D$14</f>
        <v>1400</v>
      </c>
      <c r="Q25" s="242">
        <f>'Master goals'!$E$14</f>
        <v>4200</v>
      </c>
      <c r="S25" s="233">
        <v>1992</v>
      </c>
      <c r="T25" s="238">
        <f t="shared" si="2"/>
        <v>4235</v>
      </c>
      <c r="U25" s="238" t="str">
        <f t="shared" si="3"/>
        <v>-</v>
      </c>
      <c r="V25" s="238">
        <f t="shared" si="4"/>
        <v>13820</v>
      </c>
      <c r="W25" s="238" t="str">
        <f t="shared" si="5"/>
        <v>-</v>
      </c>
      <c r="X25" s="238">
        <f t="shared" si="6"/>
        <v>30800</v>
      </c>
      <c r="Y25" s="238">
        <f t="shared" si="7"/>
        <v>48855</v>
      </c>
    </row>
    <row r="26" spans="1:25" x14ac:dyDescent="0.2">
      <c r="A26" s="227">
        <v>1993</v>
      </c>
      <c r="B26" s="242">
        <f>'Master escapements'!$N26</f>
        <v>5436</v>
      </c>
      <c r="C26" s="242" t="str">
        <f>'Master escapements'!$O26</f>
        <v>-</v>
      </c>
      <c r="D26" s="242">
        <f>'Master escapements'!$P26</f>
        <v>10703</v>
      </c>
      <c r="E26" s="242" t="str">
        <f>'Master escapements'!$Q26</f>
        <v>-</v>
      </c>
      <c r="F26" s="242">
        <f>'Master escapements'!$R26</f>
        <v>18500</v>
      </c>
      <c r="G26" s="242">
        <f>B26+D26+F26</f>
        <v>34639</v>
      </c>
      <c r="J26" s="242">
        <f>'Master goals'!$D$15</f>
        <v>3300</v>
      </c>
      <c r="K26" s="242">
        <f>'Master goals'!$E$15</f>
        <v>9800</v>
      </c>
      <c r="M26" s="242">
        <f>'Master goals'!$D$16</f>
        <v>10000</v>
      </c>
      <c r="N26" s="242">
        <f>'Master goals'!$E$16</f>
        <v>29000</v>
      </c>
      <c r="P26" s="242">
        <f>'Master goals'!$D$14</f>
        <v>1400</v>
      </c>
      <c r="Q26" s="242">
        <f>'Master goals'!$E$14</f>
        <v>4200</v>
      </c>
      <c r="S26" s="233">
        <v>1993</v>
      </c>
      <c r="T26" s="238">
        <f t="shared" si="2"/>
        <v>5436</v>
      </c>
      <c r="U26" s="238" t="str">
        <f t="shared" si="3"/>
        <v>-</v>
      </c>
      <c r="V26" s="238">
        <f t="shared" si="4"/>
        <v>10703</v>
      </c>
      <c r="W26" s="238" t="str">
        <f t="shared" si="5"/>
        <v>-</v>
      </c>
      <c r="X26" s="238">
        <f t="shared" si="6"/>
        <v>18500</v>
      </c>
      <c r="Y26" s="238">
        <f t="shared" si="7"/>
        <v>34639</v>
      </c>
    </row>
    <row r="27" spans="1:25" x14ac:dyDescent="0.2">
      <c r="A27" s="227">
        <v>1994</v>
      </c>
      <c r="B27" s="242">
        <f>'Master escapements'!$N27</f>
        <v>6000</v>
      </c>
      <c r="C27" s="242" t="str">
        <f>'Master escapements'!$O27</f>
        <v>-</v>
      </c>
      <c r="D27" s="242">
        <f>'Master escapements'!$P27</f>
        <v>21960</v>
      </c>
      <c r="E27" s="242" t="str">
        <f>'Master escapements'!$Q27</f>
        <v>-</v>
      </c>
      <c r="F27" s="242">
        <f>'Master escapements'!$R27</f>
        <v>55000</v>
      </c>
      <c r="G27" s="242">
        <f>B27+D27+F27</f>
        <v>82960</v>
      </c>
      <c r="J27" s="242">
        <f>'Master goals'!$D$15</f>
        <v>3300</v>
      </c>
      <c r="K27" s="242">
        <f>'Master goals'!$E$15</f>
        <v>9800</v>
      </c>
      <c r="M27" s="242">
        <f>'Master goals'!$D$16</f>
        <v>10000</v>
      </c>
      <c r="N27" s="242">
        <f>'Master goals'!$E$16</f>
        <v>29000</v>
      </c>
      <c r="P27" s="242">
        <f>'Master goals'!$D$14</f>
        <v>1400</v>
      </c>
      <c r="Q27" s="242">
        <f>'Master goals'!$E$14</f>
        <v>4200</v>
      </c>
      <c r="S27" s="233">
        <v>1994</v>
      </c>
      <c r="T27" s="238">
        <f t="shared" si="2"/>
        <v>6000</v>
      </c>
      <c r="U27" s="238" t="str">
        <f t="shared" si="3"/>
        <v>-</v>
      </c>
      <c r="V27" s="238">
        <f t="shared" si="4"/>
        <v>21960</v>
      </c>
      <c r="W27" s="238" t="str">
        <f t="shared" si="5"/>
        <v>-</v>
      </c>
      <c r="X27" s="238">
        <f t="shared" si="6"/>
        <v>55000</v>
      </c>
      <c r="Y27" s="238">
        <f t="shared" si="7"/>
        <v>82960</v>
      </c>
    </row>
    <row r="28" spans="1:25" x14ac:dyDescent="0.2">
      <c r="A28" s="227">
        <v>1995</v>
      </c>
      <c r="B28" s="242">
        <f>'Master escapements'!$N28</f>
        <v>2642</v>
      </c>
      <c r="C28" s="242" t="str">
        <f>'Master escapements'!$O28</f>
        <v>-</v>
      </c>
      <c r="D28" s="242" t="str">
        <f>'Master escapements'!$P28</f>
        <v>-</v>
      </c>
      <c r="E28" s="242" t="str">
        <f>'Master escapements'!$Q28</f>
        <v>-</v>
      </c>
      <c r="F28" s="242">
        <f>'Master escapements'!$R28</f>
        <v>30000</v>
      </c>
      <c r="G28" s="242">
        <f>B28+F28</f>
        <v>32642</v>
      </c>
      <c r="J28" s="242">
        <f>'Master goals'!$D$15</f>
        <v>3300</v>
      </c>
      <c r="K28" s="242">
        <f>'Master goals'!$E$15</f>
        <v>9800</v>
      </c>
      <c r="M28" s="242">
        <f>'Master goals'!$D$16</f>
        <v>10000</v>
      </c>
      <c r="N28" s="242">
        <f>'Master goals'!$E$16</f>
        <v>29000</v>
      </c>
      <c r="P28" s="242">
        <f>'Master goals'!$D$14</f>
        <v>1400</v>
      </c>
      <c r="Q28" s="242">
        <f>'Master goals'!$E$14</f>
        <v>4200</v>
      </c>
      <c r="S28" s="233">
        <v>1995</v>
      </c>
      <c r="T28" s="238">
        <f t="shared" si="2"/>
        <v>2642</v>
      </c>
      <c r="U28" s="238" t="str">
        <f t="shared" si="3"/>
        <v>-</v>
      </c>
      <c r="V28" s="238" t="str">
        <f t="shared" si="4"/>
        <v>-</v>
      </c>
      <c r="W28" s="238" t="str">
        <f t="shared" si="5"/>
        <v>-</v>
      </c>
      <c r="X28" s="238">
        <f t="shared" si="6"/>
        <v>30000</v>
      </c>
      <c r="Y28" s="238">
        <f t="shared" si="7"/>
        <v>32642</v>
      </c>
    </row>
    <row r="29" spans="1:25" x14ac:dyDescent="0.2">
      <c r="A29" s="227">
        <v>1996</v>
      </c>
      <c r="B29" s="242">
        <f>'Master escapements'!$N29</f>
        <v>4030</v>
      </c>
      <c r="C29" s="242" t="str">
        <f>'Master escapements'!$O29</f>
        <v>-</v>
      </c>
      <c r="D29" s="242" t="str">
        <f>'Master escapements'!$P29</f>
        <v>-</v>
      </c>
      <c r="E29" s="242" t="str">
        <f>'Master escapements'!$Q29</f>
        <v>-</v>
      </c>
      <c r="F29" s="242">
        <f>'Master escapements'!$R29</f>
        <v>19000</v>
      </c>
      <c r="G29" s="242">
        <f>B29+F29</f>
        <v>23030</v>
      </c>
      <c r="J29" s="242">
        <f>'Master goals'!$D$15</f>
        <v>3300</v>
      </c>
      <c r="K29" s="242">
        <f>'Master goals'!$E$15</f>
        <v>9800</v>
      </c>
      <c r="M29" s="242">
        <f>'Master goals'!$D$16</f>
        <v>10000</v>
      </c>
      <c r="N29" s="242">
        <f>'Master goals'!$E$16</f>
        <v>29000</v>
      </c>
      <c r="P29" s="242">
        <f>'Master goals'!$D$14</f>
        <v>1400</v>
      </c>
      <c r="Q29" s="242">
        <f>'Master goals'!$E$14</f>
        <v>4200</v>
      </c>
      <c r="S29" s="233">
        <v>1996</v>
      </c>
      <c r="T29" s="238">
        <f t="shared" si="2"/>
        <v>4030</v>
      </c>
      <c r="U29" s="238" t="str">
        <f t="shared" si="3"/>
        <v>-</v>
      </c>
      <c r="V29" s="238" t="str">
        <f t="shared" si="4"/>
        <v>-</v>
      </c>
      <c r="W29" s="238" t="str">
        <f t="shared" si="5"/>
        <v>-</v>
      </c>
      <c r="X29" s="238">
        <f t="shared" si="6"/>
        <v>19000</v>
      </c>
      <c r="Y29" s="238">
        <f t="shared" si="7"/>
        <v>23030</v>
      </c>
    </row>
    <row r="30" spans="1:25" x14ac:dyDescent="0.2">
      <c r="A30" s="227">
        <v>1997</v>
      </c>
      <c r="B30" s="242">
        <f>'Master escapements'!$N30</f>
        <v>2550</v>
      </c>
      <c r="C30" s="242" t="str">
        <f>'Master escapements'!$O30</f>
        <v>-</v>
      </c>
      <c r="D30" s="242">
        <f>'Master escapements'!$P30</f>
        <v>9780</v>
      </c>
      <c r="E30" s="242" t="str">
        <f>'Master escapements'!$Q30</f>
        <v>-</v>
      </c>
      <c r="F30" s="242">
        <f>'Master escapements'!$R30</f>
        <v>22000</v>
      </c>
      <c r="G30" s="242">
        <f>B30+D30+F30</f>
        <v>34330</v>
      </c>
      <c r="J30" s="242">
        <f>'Master goals'!$D$15</f>
        <v>3300</v>
      </c>
      <c r="K30" s="242">
        <f>'Master goals'!$E$15</f>
        <v>9800</v>
      </c>
      <c r="M30" s="242">
        <f>'Master goals'!$D$16</f>
        <v>10000</v>
      </c>
      <c r="N30" s="242">
        <f>'Master goals'!$E$16</f>
        <v>29000</v>
      </c>
      <c r="P30" s="242">
        <f>'Master goals'!$D$14</f>
        <v>1400</v>
      </c>
      <c r="Q30" s="242">
        <f>'Master goals'!$E$14</f>
        <v>4200</v>
      </c>
      <c r="S30" s="233">
        <v>1997</v>
      </c>
      <c r="T30" s="238">
        <f t="shared" si="2"/>
        <v>2550</v>
      </c>
      <c r="U30" s="238" t="str">
        <f t="shared" si="3"/>
        <v>-</v>
      </c>
      <c r="V30" s="238">
        <f t="shared" si="4"/>
        <v>9780</v>
      </c>
      <c r="W30" s="238" t="str">
        <f t="shared" si="5"/>
        <v>-</v>
      </c>
      <c r="X30" s="238">
        <f t="shared" si="6"/>
        <v>22000</v>
      </c>
      <c r="Y30" s="238">
        <f t="shared" si="7"/>
        <v>34330</v>
      </c>
    </row>
    <row r="31" spans="1:25" x14ac:dyDescent="0.2">
      <c r="A31" s="227">
        <v>1998</v>
      </c>
      <c r="B31" s="242" t="str">
        <f>'Master escapements'!$N31</f>
        <v>-</v>
      </c>
      <c r="C31" s="242" t="str">
        <f>'Master escapements'!$O31</f>
        <v>-</v>
      </c>
      <c r="D31" s="242" t="str">
        <f>'Master escapements'!$P31</f>
        <v>-</v>
      </c>
      <c r="E31" s="242" t="str">
        <f>'Master escapements'!$Q31</f>
        <v>-</v>
      </c>
      <c r="F31" s="242">
        <f>'Master escapements'!$R31</f>
        <v>12000</v>
      </c>
      <c r="G31" s="242">
        <f>F31</f>
        <v>12000</v>
      </c>
      <c r="J31" s="242">
        <f>'Master goals'!$D$15</f>
        <v>3300</v>
      </c>
      <c r="K31" s="242">
        <f>'Master goals'!$E$15</f>
        <v>9800</v>
      </c>
      <c r="M31" s="242">
        <f>'Master goals'!$D$16</f>
        <v>10000</v>
      </c>
      <c r="N31" s="242">
        <f>'Master goals'!$E$16</f>
        <v>29000</v>
      </c>
      <c r="P31" s="242">
        <f>'Master goals'!$D$14</f>
        <v>1400</v>
      </c>
      <c r="Q31" s="242">
        <f>'Master goals'!$E$14</f>
        <v>4200</v>
      </c>
      <c r="S31" s="233">
        <v>1998</v>
      </c>
      <c r="T31" s="238" t="str">
        <f t="shared" si="2"/>
        <v>-</v>
      </c>
      <c r="U31" s="238" t="str">
        <f t="shared" si="3"/>
        <v>-</v>
      </c>
      <c r="V31" s="238" t="str">
        <f t="shared" si="4"/>
        <v>-</v>
      </c>
      <c r="W31" s="238" t="str">
        <f t="shared" si="5"/>
        <v>-</v>
      </c>
      <c r="X31" s="238">
        <f t="shared" si="6"/>
        <v>12000</v>
      </c>
      <c r="Y31" s="238">
        <f t="shared" si="7"/>
        <v>12000</v>
      </c>
    </row>
    <row r="32" spans="1:25" x14ac:dyDescent="0.2">
      <c r="A32" s="227">
        <v>1999</v>
      </c>
      <c r="B32" s="242" t="str">
        <f>'Master escapements'!$N32</f>
        <v>-</v>
      </c>
      <c r="C32" s="242" t="str">
        <f>'Master escapements'!$O32</f>
        <v>-</v>
      </c>
      <c r="D32" s="242" t="str">
        <f>'Master escapements'!$P32</f>
        <v>-</v>
      </c>
      <c r="E32" s="242" t="str">
        <f>'Master escapements'!$Q32</f>
        <v>-</v>
      </c>
      <c r="F32" s="242" t="str">
        <f>'Master escapements'!$R32</f>
        <v>-</v>
      </c>
      <c r="G32" s="242"/>
      <c r="J32" s="242">
        <f>'Master goals'!$D$15</f>
        <v>3300</v>
      </c>
      <c r="K32" s="242">
        <f>'Master goals'!$E$15</f>
        <v>9800</v>
      </c>
      <c r="M32" s="242">
        <f>'Master goals'!$D$16</f>
        <v>10000</v>
      </c>
      <c r="N32" s="242">
        <f>'Master goals'!$E$16</f>
        <v>29000</v>
      </c>
      <c r="P32" s="242">
        <f>'Master goals'!$D$14</f>
        <v>1400</v>
      </c>
      <c r="Q32" s="242">
        <f>'Master goals'!$E$14</f>
        <v>4200</v>
      </c>
      <c r="S32" s="233">
        <v>1999</v>
      </c>
      <c r="T32" s="238" t="str">
        <f t="shared" si="2"/>
        <v>-</v>
      </c>
      <c r="U32" s="238" t="str">
        <f t="shared" si="3"/>
        <v>-</v>
      </c>
      <c r="V32" s="238" t="str">
        <f t="shared" si="4"/>
        <v>-</v>
      </c>
      <c r="W32" s="238" t="str">
        <f t="shared" si="5"/>
        <v>-</v>
      </c>
      <c r="X32" s="238" t="str">
        <f t="shared" si="6"/>
        <v>-</v>
      </c>
      <c r="Y32" s="238" t="s">
        <v>84</v>
      </c>
    </row>
    <row r="33" spans="1:25" x14ac:dyDescent="0.2">
      <c r="A33" s="227">
        <v>2000</v>
      </c>
      <c r="B33" s="242">
        <f>'Master escapements'!$N33</f>
        <v>1572</v>
      </c>
      <c r="C33" s="242" t="str">
        <f>'Master escapements'!$O33</f>
        <v>-</v>
      </c>
      <c r="D33" s="242" t="str">
        <f>'Master escapements'!$P33</f>
        <v>-</v>
      </c>
      <c r="E33" s="242" t="str">
        <f>'Master escapements'!$Q33</f>
        <v>-</v>
      </c>
      <c r="F33" s="242">
        <f>'Master escapements'!$R33</f>
        <v>12000</v>
      </c>
      <c r="G33" s="242">
        <f>B33+F33</f>
        <v>13572</v>
      </c>
      <c r="J33" s="242">
        <f>'Master goals'!$D$15</f>
        <v>3300</v>
      </c>
      <c r="K33" s="242">
        <f>'Master goals'!$E$15</f>
        <v>9800</v>
      </c>
      <c r="M33" s="242">
        <f>'Master goals'!$D$16</f>
        <v>10000</v>
      </c>
      <c r="N33" s="242">
        <f>'Master goals'!$E$16</f>
        <v>29000</v>
      </c>
      <c r="P33" s="242">
        <f>'Master goals'!$D$14</f>
        <v>1400</v>
      </c>
      <c r="Q33" s="242">
        <f>'Master goals'!$E$14</f>
        <v>4200</v>
      </c>
      <c r="S33" s="233">
        <v>2000</v>
      </c>
      <c r="T33" s="238">
        <f t="shared" si="2"/>
        <v>1572</v>
      </c>
      <c r="U33" s="238" t="str">
        <f t="shared" si="3"/>
        <v>-</v>
      </c>
      <c r="V33" s="238" t="str">
        <f t="shared" si="4"/>
        <v>-</v>
      </c>
      <c r="W33" s="238" t="str">
        <f t="shared" si="5"/>
        <v>-</v>
      </c>
      <c r="X33" s="238">
        <f t="shared" si="6"/>
        <v>12000</v>
      </c>
      <c r="Y33" s="238">
        <f t="shared" si="7"/>
        <v>13572</v>
      </c>
    </row>
    <row r="34" spans="1:25" x14ac:dyDescent="0.2">
      <c r="A34" s="227">
        <v>2001</v>
      </c>
      <c r="B34" s="242">
        <f>'Master escapements'!$N34</f>
        <v>3190</v>
      </c>
      <c r="C34" s="242" t="str">
        <f>'Master escapements'!$O34</f>
        <v>-</v>
      </c>
      <c r="D34" s="242">
        <f>'Master escapements'!$P34</f>
        <v>5030</v>
      </c>
      <c r="E34" s="242" t="str">
        <f>'Master escapements'!$Q34</f>
        <v>-</v>
      </c>
      <c r="F34" s="242">
        <f>'Master escapements'!$R34</f>
        <v>17000</v>
      </c>
      <c r="G34" s="242">
        <f>B34+D34+F34</f>
        <v>25220</v>
      </c>
      <c r="J34" s="242">
        <f>'Master goals'!$D$15</f>
        <v>3300</v>
      </c>
      <c r="K34" s="242">
        <f>'Master goals'!$E$15</f>
        <v>9800</v>
      </c>
      <c r="M34" s="242">
        <f>'Master goals'!$D$16</f>
        <v>10000</v>
      </c>
      <c r="N34" s="242">
        <f>'Master goals'!$E$16</f>
        <v>29000</v>
      </c>
      <c r="P34" s="242">
        <f>'Master goals'!$D$14</f>
        <v>1400</v>
      </c>
      <c r="Q34" s="242">
        <f>'Master goals'!$E$14</f>
        <v>4200</v>
      </c>
      <c r="S34" s="233">
        <v>2001</v>
      </c>
      <c r="T34" s="238">
        <f t="shared" si="2"/>
        <v>3190</v>
      </c>
      <c r="U34" s="238" t="str">
        <f t="shared" si="3"/>
        <v>-</v>
      </c>
      <c r="V34" s="238">
        <f t="shared" si="4"/>
        <v>5030</v>
      </c>
      <c r="W34" s="238" t="str">
        <f t="shared" si="5"/>
        <v>-</v>
      </c>
      <c r="X34" s="238">
        <f t="shared" si="6"/>
        <v>17000</v>
      </c>
      <c r="Y34" s="238">
        <f t="shared" si="7"/>
        <v>25220</v>
      </c>
    </row>
    <row r="35" spans="1:25" x14ac:dyDescent="0.2">
      <c r="A35" s="227">
        <v>2002</v>
      </c>
      <c r="B35" s="242">
        <f>'Master escapements'!$N35</f>
        <v>8093</v>
      </c>
      <c r="C35" s="242" t="str">
        <f>'Master escapements'!$O35</f>
        <v>-</v>
      </c>
      <c r="D35" s="242">
        <f>'Master escapements'!$P35</f>
        <v>40000</v>
      </c>
      <c r="E35" s="242" t="str">
        <f>'Master escapements'!$Q35</f>
        <v>-</v>
      </c>
      <c r="F35" s="242">
        <f>'Master escapements'!$R35</f>
        <v>31000</v>
      </c>
      <c r="G35" s="242">
        <f>B35+D35+F35</f>
        <v>79093</v>
      </c>
      <c r="J35" s="242">
        <f>'Master goals'!$D$15</f>
        <v>3300</v>
      </c>
      <c r="K35" s="242">
        <f>'Master goals'!$E$15</f>
        <v>9800</v>
      </c>
      <c r="M35" s="242">
        <f>'Master goals'!$D$16</f>
        <v>10000</v>
      </c>
      <c r="N35" s="242">
        <f>'Master goals'!$E$16</f>
        <v>29000</v>
      </c>
      <c r="P35" s="242">
        <f>'Master goals'!$D$14</f>
        <v>1400</v>
      </c>
      <c r="Q35" s="242">
        <f>'Master goals'!$E$14</f>
        <v>4200</v>
      </c>
      <c r="S35" s="233">
        <v>2002</v>
      </c>
      <c r="T35" s="238">
        <f t="shared" si="2"/>
        <v>8093</v>
      </c>
      <c r="U35" s="238" t="str">
        <f t="shared" si="3"/>
        <v>-</v>
      </c>
      <c r="V35" s="238">
        <f t="shared" si="4"/>
        <v>40000</v>
      </c>
      <c r="W35" s="238" t="str">
        <f t="shared" si="5"/>
        <v>-</v>
      </c>
      <c r="X35" s="238">
        <f t="shared" si="6"/>
        <v>31000</v>
      </c>
      <c r="Y35" s="238">
        <f t="shared" si="7"/>
        <v>79093</v>
      </c>
    </row>
    <row r="36" spans="1:25" x14ac:dyDescent="0.2">
      <c r="A36" s="227">
        <v>2003</v>
      </c>
      <c r="B36" s="242">
        <f>'Master escapements'!$N36</f>
        <v>5907</v>
      </c>
      <c r="C36" s="242">
        <f>'Master escapements'!$O36</f>
        <v>23685</v>
      </c>
      <c r="D36" s="242">
        <f>'Master escapements'!$P36</f>
        <v>6009</v>
      </c>
      <c r="E36" s="242" t="str">
        <f>'Master escapements'!$Q36</f>
        <v>-</v>
      </c>
      <c r="F36" s="242">
        <f>'Master escapements'!$R36</f>
        <v>35850</v>
      </c>
      <c r="G36" s="242">
        <f>B36+D36+F36</f>
        <v>47766</v>
      </c>
      <c r="J36" s="242">
        <f>'Master goals'!$D$15</f>
        <v>3300</v>
      </c>
      <c r="K36" s="242">
        <f>'Master goals'!$E$15</f>
        <v>9800</v>
      </c>
      <c r="M36" s="242">
        <f>'Master goals'!$D$16</f>
        <v>10000</v>
      </c>
      <c r="N36" s="242">
        <f>'Master goals'!$E$16</f>
        <v>29000</v>
      </c>
      <c r="P36" s="242">
        <f>'Master goals'!$D$14</f>
        <v>1400</v>
      </c>
      <c r="Q36" s="242">
        <f>'Master goals'!$E$14</f>
        <v>4200</v>
      </c>
      <c r="S36" s="233">
        <v>2003</v>
      </c>
      <c r="T36" s="238">
        <f t="shared" si="2"/>
        <v>5907</v>
      </c>
      <c r="U36" s="238">
        <f t="shared" si="3"/>
        <v>23685</v>
      </c>
      <c r="V36" s="238">
        <f t="shared" si="4"/>
        <v>6009</v>
      </c>
      <c r="W36" s="238" t="str">
        <f t="shared" si="5"/>
        <v>-</v>
      </c>
      <c r="X36" s="238">
        <f t="shared" si="6"/>
        <v>35850</v>
      </c>
      <c r="Y36" s="238">
        <f t="shared" si="7"/>
        <v>47766</v>
      </c>
    </row>
    <row r="37" spans="1:25" x14ac:dyDescent="0.2">
      <c r="A37" s="227">
        <v>2004</v>
      </c>
      <c r="B37" s="242">
        <f>'Master escapements'!$N37</f>
        <v>2214</v>
      </c>
      <c r="C37" s="242">
        <f>'Master escapements'!$O37</f>
        <v>47566</v>
      </c>
      <c r="D37" s="242">
        <f>'Master escapements'!$P37</f>
        <v>10284</v>
      </c>
      <c r="E37" s="242">
        <f>'Master escapements'!$Q37</f>
        <v>49582</v>
      </c>
      <c r="F37" s="242" t="str">
        <f>'Master escapements'!$R37</f>
        <v>-</v>
      </c>
      <c r="G37" s="242">
        <f>B37+D37</f>
        <v>12498</v>
      </c>
      <c r="J37" s="242">
        <f>'Master goals'!$D$15</f>
        <v>3300</v>
      </c>
      <c r="K37" s="242">
        <f>'Master goals'!$E$15</f>
        <v>9800</v>
      </c>
      <c r="M37" s="242">
        <f>'Master goals'!$D$16</f>
        <v>10000</v>
      </c>
      <c r="N37" s="242">
        <f>'Master goals'!$E$16</f>
        <v>29000</v>
      </c>
      <c r="P37" s="242">
        <f>'Master goals'!$D$14</f>
        <v>1400</v>
      </c>
      <c r="Q37" s="242">
        <f>'Master goals'!$E$14</f>
        <v>4200</v>
      </c>
      <c r="S37" s="233">
        <v>2004</v>
      </c>
      <c r="T37" s="238">
        <f t="shared" si="2"/>
        <v>2214</v>
      </c>
      <c r="U37" s="238">
        <f t="shared" si="3"/>
        <v>47566</v>
      </c>
      <c r="V37" s="238">
        <f t="shared" si="4"/>
        <v>10284</v>
      </c>
      <c r="W37" s="238">
        <f t="shared" si="5"/>
        <v>49582</v>
      </c>
      <c r="X37" s="238" t="str">
        <f t="shared" si="6"/>
        <v>-</v>
      </c>
      <c r="Y37" s="238">
        <f t="shared" si="7"/>
        <v>12498</v>
      </c>
    </row>
    <row r="38" spans="1:25" x14ac:dyDescent="0.2">
      <c r="A38" s="227">
        <v>2005</v>
      </c>
      <c r="B38" s="242">
        <f>'Master escapements'!$N38</f>
        <v>1241</v>
      </c>
      <c r="C38" s="242" t="str">
        <f>'Master escapements'!$O38</f>
        <v>-</v>
      </c>
      <c r="D38" s="242">
        <f>'Master escapements'!$P38</f>
        <v>2514</v>
      </c>
      <c r="E38" s="242">
        <f>'Master escapements'!$Q38</f>
        <v>33644</v>
      </c>
      <c r="F38" s="242">
        <f>'Master escapements'!$R38</f>
        <v>16600</v>
      </c>
      <c r="G38" s="242">
        <f t="shared" ref="G38:G51" si="8">B38+D38+F38</f>
        <v>20355</v>
      </c>
      <c r="J38" s="242">
        <f>'Master goals'!$D$15</f>
        <v>3300</v>
      </c>
      <c r="K38" s="242">
        <f>'Master goals'!$E$15</f>
        <v>9800</v>
      </c>
      <c r="M38" s="242">
        <f>'Master goals'!$D$16</f>
        <v>10000</v>
      </c>
      <c r="N38" s="242">
        <f>'Master goals'!$E$16</f>
        <v>29000</v>
      </c>
      <c r="P38" s="242">
        <f>'Master goals'!$D$14</f>
        <v>1400</v>
      </c>
      <c r="Q38" s="242">
        <f>'Master goals'!$E$14</f>
        <v>4200</v>
      </c>
      <c r="S38" s="233">
        <v>2005</v>
      </c>
      <c r="T38" s="238">
        <f t="shared" si="2"/>
        <v>1241</v>
      </c>
      <c r="U38" s="238" t="str">
        <f t="shared" si="3"/>
        <v>-</v>
      </c>
      <c r="V38" s="238">
        <f t="shared" si="4"/>
        <v>2514</v>
      </c>
      <c r="W38" s="238">
        <f t="shared" si="5"/>
        <v>33644</v>
      </c>
      <c r="X38" s="238">
        <f t="shared" si="6"/>
        <v>16600</v>
      </c>
      <c r="Y38" s="238">
        <f t="shared" si="7"/>
        <v>20355</v>
      </c>
    </row>
    <row r="39" spans="1:25" x14ac:dyDescent="0.2">
      <c r="A39" s="227">
        <v>2006</v>
      </c>
      <c r="B39" s="242">
        <f>'Master escapements'!$N39</f>
        <v>1156</v>
      </c>
      <c r="C39" s="242" t="str">
        <f>'Master escapements'!$O39</f>
        <v>-</v>
      </c>
      <c r="D39" s="242">
        <f>'Master escapements'!$P39</f>
        <v>7950</v>
      </c>
      <c r="E39" s="242">
        <f>'Master escapements'!$Q39</f>
        <v>23169</v>
      </c>
      <c r="F39" s="242">
        <f>'Master escapements'!$R39</f>
        <v>14500</v>
      </c>
      <c r="G39" s="242">
        <f t="shared" si="8"/>
        <v>23606</v>
      </c>
      <c r="J39" s="242">
        <f>'Master goals'!$D$15</f>
        <v>3300</v>
      </c>
      <c r="K39" s="242">
        <f>'Master goals'!$E$15</f>
        <v>9800</v>
      </c>
      <c r="M39" s="242">
        <f>'Master goals'!$D$16</f>
        <v>10000</v>
      </c>
      <c r="N39" s="242">
        <f>'Master goals'!$E$16</f>
        <v>29000</v>
      </c>
      <c r="P39" s="242">
        <f>'Master goals'!$D$14</f>
        <v>1400</v>
      </c>
      <c r="Q39" s="242">
        <f>'Master goals'!$E$14</f>
        <v>4200</v>
      </c>
      <c r="S39" s="233">
        <v>2006</v>
      </c>
      <c r="T39" s="238">
        <f t="shared" si="2"/>
        <v>1156</v>
      </c>
      <c r="U39" s="238" t="str">
        <f t="shared" si="3"/>
        <v>-</v>
      </c>
      <c r="V39" s="238">
        <f t="shared" si="4"/>
        <v>7950</v>
      </c>
      <c r="W39" s="238">
        <f t="shared" si="5"/>
        <v>23169</v>
      </c>
      <c r="X39" s="238">
        <f t="shared" si="6"/>
        <v>14500</v>
      </c>
      <c r="Y39" s="238">
        <f t="shared" si="7"/>
        <v>23606</v>
      </c>
    </row>
    <row r="40" spans="1:25" x14ac:dyDescent="0.2">
      <c r="A40" s="227">
        <v>2007</v>
      </c>
      <c r="B40" s="242">
        <f>'Master escapements'!$N40</f>
        <v>1751</v>
      </c>
      <c r="C40" s="242" t="str">
        <f>'Master escapements'!$O40</f>
        <v>-</v>
      </c>
      <c r="D40" s="242">
        <f>'Master escapements'!$P40</f>
        <v>5763</v>
      </c>
      <c r="E40" s="242" t="str">
        <f>'Master escapements'!$Q40</f>
        <v>-</v>
      </c>
      <c r="F40" s="242">
        <f>'Master escapements'!$R40</f>
        <v>14000</v>
      </c>
      <c r="G40" s="242">
        <f t="shared" si="8"/>
        <v>21514</v>
      </c>
      <c r="J40" s="242">
        <f>'Master goals'!$D$15</f>
        <v>3300</v>
      </c>
      <c r="K40" s="242">
        <f>'Master goals'!$E$15</f>
        <v>9800</v>
      </c>
      <c r="M40" s="242">
        <f>'Master goals'!$D$16</f>
        <v>10000</v>
      </c>
      <c r="N40" s="242">
        <f>'Master goals'!$E$16</f>
        <v>29000</v>
      </c>
      <c r="P40" s="242">
        <f>'Master goals'!$D$14</f>
        <v>1400</v>
      </c>
      <c r="Q40" s="242">
        <f>'Master goals'!$E$14</f>
        <v>4200</v>
      </c>
      <c r="S40" s="233">
        <v>2007</v>
      </c>
      <c r="T40" s="238">
        <f t="shared" si="2"/>
        <v>1751</v>
      </c>
      <c r="U40" s="238" t="str">
        <f t="shared" si="3"/>
        <v>-</v>
      </c>
      <c r="V40" s="238">
        <f t="shared" si="4"/>
        <v>5763</v>
      </c>
      <c r="W40" s="238" t="str">
        <f t="shared" si="5"/>
        <v>-</v>
      </c>
      <c r="X40" s="238">
        <f t="shared" si="6"/>
        <v>14000</v>
      </c>
      <c r="Y40" s="238">
        <f t="shared" si="7"/>
        <v>21514</v>
      </c>
    </row>
    <row r="41" spans="1:25" x14ac:dyDescent="0.2">
      <c r="A41" s="227">
        <v>2008</v>
      </c>
      <c r="B41" s="242" t="str">
        <f>'Master escapements'!$N41</f>
        <v>-</v>
      </c>
      <c r="C41" s="242" t="str">
        <f>'Master escapements'!$O41</f>
        <v>-</v>
      </c>
      <c r="D41" s="242" t="str">
        <f>'Master escapements'!$P41</f>
        <v>-</v>
      </c>
      <c r="E41" s="242" t="str">
        <f>'Master escapements'!$Q41</f>
        <v>-</v>
      </c>
      <c r="F41" s="242">
        <f>'Master escapements'!$R41</f>
        <v>25200</v>
      </c>
      <c r="G41" s="242">
        <f>F41</f>
        <v>25200</v>
      </c>
      <c r="J41" s="242">
        <f>'Master goals'!$D$15</f>
        <v>3300</v>
      </c>
      <c r="K41" s="242">
        <f>'Master goals'!$E$15</f>
        <v>9800</v>
      </c>
      <c r="M41" s="242">
        <f>'Master goals'!$D$16</f>
        <v>10000</v>
      </c>
      <c r="N41" s="242">
        <f>'Master goals'!$E$16</f>
        <v>29000</v>
      </c>
      <c r="P41" s="242">
        <f>'Master goals'!$D$14</f>
        <v>1400</v>
      </c>
      <c r="Q41" s="242">
        <f>'Master goals'!$E$14</f>
        <v>4200</v>
      </c>
      <c r="S41" s="233">
        <v>2008</v>
      </c>
      <c r="T41" s="238" t="str">
        <f t="shared" si="2"/>
        <v>-</v>
      </c>
      <c r="U41" s="238" t="str">
        <f t="shared" si="3"/>
        <v>-</v>
      </c>
      <c r="V41" s="238" t="str">
        <f t="shared" si="4"/>
        <v>-</v>
      </c>
      <c r="W41" s="238" t="str">
        <f t="shared" si="5"/>
        <v>-</v>
      </c>
      <c r="X41" s="238">
        <f t="shared" si="6"/>
        <v>25200</v>
      </c>
      <c r="Y41" s="238">
        <f t="shared" si="7"/>
        <v>25200</v>
      </c>
    </row>
    <row r="42" spans="1:25" x14ac:dyDescent="0.2">
      <c r="A42" s="227">
        <v>2009</v>
      </c>
      <c r="B42" s="242">
        <f>'Master escapements'!$N42</f>
        <v>3581</v>
      </c>
      <c r="C42" s="242" t="str">
        <f>'Master escapements'!$O42</f>
        <v>-</v>
      </c>
      <c r="D42" s="242">
        <f>'Master escapements'!$P42</f>
        <v>5814</v>
      </c>
      <c r="E42" s="242" t="str">
        <f>'Master escapements'!$Q42</f>
        <v>-</v>
      </c>
      <c r="F42" s="242">
        <f>'Master escapements'!$R42</f>
        <v>28000</v>
      </c>
      <c r="G42" s="242">
        <f t="shared" si="8"/>
        <v>37395</v>
      </c>
      <c r="J42" s="242">
        <f>'Master goals'!$D$15</f>
        <v>3300</v>
      </c>
      <c r="K42" s="242">
        <f>'Master goals'!$E$15</f>
        <v>9800</v>
      </c>
      <c r="M42" s="242">
        <f>'Master goals'!$D$16</f>
        <v>10000</v>
      </c>
      <c r="N42" s="242">
        <f>'Master goals'!$E$16</f>
        <v>29000</v>
      </c>
      <c r="P42" s="242">
        <f>'Master goals'!$D$14</f>
        <v>1400</v>
      </c>
      <c r="Q42" s="242">
        <f>'Master goals'!$E$14</f>
        <v>4200</v>
      </c>
      <c r="S42" s="233">
        <v>2009</v>
      </c>
      <c r="T42" s="238">
        <f t="shared" si="2"/>
        <v>3581</v>
      </c>
      <c r="U42" s="238" t="str">
        <f t="shared" si="3"/>
        <v>-</v>
      </c>
      <c r="V42" s="238">
        <f t="shared" si="4"/>
        <v>5814</v>
      </c>
      <c r="W42" s="238" t="str">
        <f t="shared" si="5"/>
        <v>-</v>
      </c>
      <c r="X42" s="238">
        <f t="shared" si="6"/>
        <v>28000</v>
      </c>
      <c r="Y42" s="238">
        <f t="shared" si="7"/>
        <v>37395</v>
      </c>
    </row>
    <row r="43" spans="1:25" x14ac:dyDescent="0.2">
      <c r="A43" s="227">
        <v>2010</v>
      </c>
      <c r="B43" s="242">
        <f>'Master escapements'!$N43</f>
        <v>2393</v>
      </c>
      <c r="C43" s="242" t="str">
        <f>'Master escapements'!$O43</f>
        <v>-</v>
      </c>
      <c r="D43" s="242">
        <f>'Master escapements'!$P43</f>
        <v>11195</v>
      </c>
      <c r="E43" s="242" t="str">
        <f>'Master escapements'!$Q43</f>
        <v>-</v>
      </c>
      <c r="F43" s="242">
        <f>'Master escapements'!$R43</f>
        <v>11000</v>
      </c>
      <c r="G43" s="242">
        <f t="shared" si="8"/>
        <v>24588</v>
      </c>
      <c r="J43" s="242">
        <f>'Master goals'!$D$15</f>
        <v>3300</v>
      </c>
      <c r="K43" s="242">
        <f>'Master goals'!$E$15</f>
        <v>9800</v>
      </c>
      <c r="M43" s="242">
        <f>'Master goals'!$D$16</f>
        <v>10000</v>
      </c>
      <c r="N43" s="242">
        <f>'Master goals'!$E$16</f>
        <v>29000</v>
      </c>
      <c r="P43" s="242">
        <f>'Master goals'!$D$14</f>
        <v>1400</v>
      </c>
      <c r="Q43" s="242">
        <f>'Master goals'!$E$14</f>
        <v>4200</v>
      </c>
      <c r="S43" s="233">
        <v>2010</v>
      </c>
      <c r="T43" s="238">
        <f t="shared" si="2"/>
        <v>2393</v>
      </c>
      <c r="U43" s="238" t="str">
        <f t="shared" si="3"/>
        <v>-</v>
      </c>
      <c r="V43" s="238">
        <f t="shared" si="4"/>
        <v>11195</v>
      </c>
      <c r="W43" s="238" t="str">
        <f t="shared" si="5"/>
        <v>-</v>
      </c>
      <c r="X43" s="238">
        <f t="shared" si="6"/>
        <v>11000</v>
      </c>
      <c r="Y43" s="238">
        <f t="shared" si="7"/>
        <v>24588</v>
      </c>
    </row>
    <row r="44" spans="1:25" x14ac:dyDescent="0.2">
      <c r="A44" s="227">
        <v>2011</v>
      </c>
      <c r="B44" s="242">
        <f>'Master escapements'!$N44</f>
        <v>1221</v>
      </c>
      <c r="C44" s="242" t="str">
        <f>'Master escapements'!$O44</f>
        <v>-</v>
      </c>
      <c r="D44" s="242">
        <f>'Master escapements'!$P44</f>
        <v>3652</v>
      </c>
      <c r="E44" s="242" t="str">
        <f>'Master escapements'!$Q44</f>
        <v>-</v>
      </c>
      <c r="F44" s="242">
        <f>'Master escapements'!$R44</f>
        <v>21000</v>
      </c>
      <c r="G44" s="242">
        <f t="shared" si="8"/>
        <v>25873</v>
      </c>
      <c r="J44" s="242">
        <f>'Master goals'!$D$15</f>
        <v>3300</v>
      </c>
      <c r="K44" s="242">
        <f>'Master goals'!$E$15</f>
        <v>9800</v>
      </c>
      <c r="M44" s="242">
        <f>'Master goals'!$D$16</f>
        <v>10000</v>
      </c>
      <c r="N44" s="242">
        <f>'Master goals'!$E$16</f>
        <v>29000</v>
      </c>
      <c r="P44" s="242">
        <f>'Master goals'!$D$14</f>
        <v>1400</v>
      </c>
      <c r="Q44" s="242">
        <f>'Master goals'!$E$14</f>
        <v>4200</v>
      </c>
      <c r="S44" s="233">
        <v>2011</v>
      </c>
      <c r="T44" s="238">
        <f t="shared" si="2"/>
        <v>1221</v>
      </c>
      <c r="U44" s="238" t="str">
        <f t="shared" si="3"/>
        <v>-</v>
      </c>
      <c r="V44" s="238">
        <f t="shared" si="4"/>
        <v>3652</v>
      </c>
      <c r="W44" s="238" t="str">
        <f t="shared" si="5"/>
        <v>-</v>
      </c>
      <c r="X44" s="238">
        <f t="shared" si="6"/>
        <v>21000</v>
      </c>
      <c r="Y44" s="238">
        <f t="shared" si="7"/>
        <v>25873</v>
      </c>
    </row>
    <row r="45" spans="1:25" x14ac:dyDescent="0.2">
      <c r="A45" s="227">
        <v>2012</v>
      </c>
      <c r="B45" s="242" t="str">
        <f>'Master escapements'!$N45</f>
        <v>-</v>
      </c>
      <c r="C45" s="242" t="str">
        <f>'Master escapements'!$O45</f>
        <v>-</v>
      </c>
      <c r="D45" s="242">
        <f>'Master escapements'!$P45</f>
        <v>3007</v>
      </c>
      <c r="E45" s="242" t="str">
        <f>'Master escapements'!$Q45</f>
        <v>-</v>
      </c>
      <c r="F45" s="242">
        <f>'Master escapements'!$R45</f>
        <v>10500</v>
      </c>
      <c r="G45" s="242">
        <f>D45+F45</f>
        <v>13507</v>
      </c>
      <c r="J45" s="242">
        <f>'Master goals'!$D$15</f>
        <v>3300</v>
      </c>
      <c r="K45" s="242">
        <f>'Master goals'!$E$15</f>
        <v>9800</v>
      </c>
      <c r="M45" s="242">
        <f>'Master goals'!$D$16</f>
        <v>10000</v>
      </c>
      <c r="N45" s="242">
        <f>'Master goals'!$E$16</f>
        <v>29000</v>
      </c>
      <c r="P45" s="242">
        <f>'Master goals'!$D$14</f>
        <v>1400</v>
      </c>
      <c r="Q45" s="242">
        <f>'Master goals'!$E$14</f>
        <v>4200</v>
      </c>
      <c r="S45" s="233">
        <v>2012</v>
      </c>
      <c r="T45" s="238" t="str">
        <f t="shared" si="2"/>
        <v>-</v>
      </c>
      <c r="U45" s="238" t="str">
        <f t="shared" si="3"/>
        <v>-</v>
      </c>
      <c r="V45" s="238">
        <f t="shared" si="4"/>
        <v>3007</v>
      </c>
      <c r="W45" s="238" t="str">
        <f t="shared" si="5"/>
        <v>-</v>
      </c>
      <c r="X45" s="238">
        <f t="shared" si="6"/>
        <v>10500</v>
      </c>
      <c r="Y45" s="238">
        <f t="shared" si="7"/>
        <v>13507</v>
      </c>
    </row>
    <row r="46" spans="1:25" x14ac:dyDescent="0.2">
      <c r="A46" s="227">
        <v>2013</v>
      </c>
      <c r="B46" s="242">
        <f>'Master escapements'!$N46</f>
        <v>2593</v>
      </c>
      <c r="C46" s="242" t="str">
        <f>'Master escapements'!$O46</f>
        <v>-</v>
      </c>
      <c r="D46" s="242">
        <f>'Master escapements'!$P46</f>
        <v>14853</v>
      </c>
      <c r="E46" s="242" t="str">
        <f>'Master escapements'!$Q46</f>
        <v>-</v>
      </c>
      <c r="F46" s="242">
        <f>'Master escapements'!$R46</f>
        <v>47000</v>
      </c>
      <c r="G46" s="242">
        <f t="shared" si="8"/>
        <v>64446</v>
      </c>
      <c r="J46" s="242">
        <f>'Master goals'!$D$15</f>
        <v>3300</v>
      </c>
      <c r="K46" s="242">
        <f>'Master goals'!$E$15</f>
        <v>9800</v>
      </c>
      <c r="M46" s="242">
        <f>'Master goals'!$D$16</f>
        <v>10000</v>
      </c>
      <c r="N46" s="242">
        <f>'Master goals'!$E$16</f>
        <v>29000</v>
      </c>
      <c r="P46" s="242">
        <f>'Master goals'!$D$14</f>
        <v>1400</v>
      </c>
      <c r="Q46" s="242">
        <f>'Master goals'!$E$14</f>
        <v>4200</v>
      </c>
      <c r="S46" s="233">
        <v>2013</v>
      </c>
      <c r="T46" s="238">
        <f t="shared" si="2"/>
        <v>2593</v>
      </c>
      <c r="U46" s="238" t="str">
        <f t="shared" si="3"/>
        <v>-</v>
      </c>
      <c r="V46" s="238">
        <f t="shared" si="4"/>
        <v>14853</v>
      </c>
      <c r="W46" s="238" t="str">
        <f t="shared" si="5"/>
        <v>-</v>
      </c>
      <c r="X46" s="238">
        <f t="shared" si="6"/>
        <v>47000</v>
      </c>
      <c r="Y46" s="238">
        <f t="shared" si="7"/>
        <v>64446</v>
      </c>
    </row>
    <row r="47" spans="1:25" x14ac:dyDescent="0.2">
      <c r="A47" s="227">
        <v>2014</v>
      </c>
      <c r="B47" s="242">
        <f>'Master escapements'!$N47</f>
        <v>3555</v>
      </c>
      <c r="C47" s="242" t="str">
        <f>'Master escapements'!$O47</f>
        <v>-</v>
      </c>
      <c r="D47" s="242">
        <f>'Master escapements'!$P47</f>
        <v>8226</v>
      </c>
      <c r="E47" s="242" t="str">
        <f>'Master escapements'!$Q47</f>
        <v>-</v>
      </c>
      <c r="F47" s="242">
        <f>'Master escapements'!$R47</f>
        <v>27000</v>
      </c>
      <c r="G47" s="242">
        <f t="shared" si="8"/>
        <v>38781</v>
      </c>
      <c r="J47" s="242">
        <f>'Master goals'!$D$15</f>
        <v>3300</v>
      </c>
      <c r="K47" s="242">
        <f>'Master goals'!$E$15</f>
        <v>9800</v>
      </c>
      <c r="M47" s="242">
        <f>'Master goals'!$D$16</f>
        <v>10000</v>
      </c>
      <c r="N47" s="242">
        <f>'Master goals'!$E$16</f>
        <v>29000</v>
      </c>
      <c r="P47" s="242">
        <f>'Master goals'!$D$14</f>
        <v>1400</v>
      </c>
      <c r="Q47" s="242">
        <f>'Master goals'!$E$14</f>
        <v>4200</v>
      </c>
      <c r="S47" s="233">
        <v>2014</v>
      </c>
      <c r="T47" s="238">
        <f t="shared" si="2"/>
        <v>3555</v>
      </c>
      <c r="U47" s="238" t="str">
        <f t="shared" si="3"/>
        <v>-</v>
      </c>
      <c r="V47" s="238">
        <f t="shared" si="4"/>
        <v>8226</v>
      </c>
      <c r="W47" s="238" t="str">
        <f t="shared" si="5"/>
        <v>-</v>
      </c>
      <c r="X47" s="238">
        <f t="shared" si="6"/>
        <v>27000</v>
      </c>
      <c r="Y47" s="238">
        <f t="shared" si="7"/>
        <v>38781</v>
      </c>
    </row>
    <row r="48" spans="1:25" x14ac:dyDescent="0.2">
      <c r="A48" s="227">
        <v>2015</v>
      </c>
      <c r="B48" s="242">
        <f>'Master escapements'!$N48</f>
        <v>2015</v>
      </c>
      <c r="C48" s="242" t="str">
        <f>'Master escapements'!$O48</f>
        <v>-</v>
      </c>
      <c r="D48" s="242">
        <f>'Master escapements'!$P48</f>
        <v>7062</v>
      </c>
      <c r="E48" s="242" t="str">
        <f>'Master escapements'!$Q48</f>
        <v>-</v>
      </c>
      <c r="F48" s="242">
        <f>'Master escapements'!$R48</f>
        <v>19500</v>
      </c>
      <c r="G48" s="242">
        <f t="shared" si="8"/>
        <v>28577</v>
      </c>
      <c r="J48" s="242">
        <f>'Master goals'!$D$15</f>
        <v>3300</v>
      </c>
      <c r="K48" s="242">
        <f>'Master goals'!$E$15</f>
        <v>9800</v>
      </c>
      <c r="M48" s="242">
        <f>'Master goals'!$D$16</f>
        <v>10000</v>
      </c>
      <c r="N48" s="242">
        <f>'Master goals'!$E$16</f>
        <v>29000</v>
      </c>
      <c r="P48" s="242">
        <f>'Master goals'!$D$14</f>
        <v>1400</v>
      </c>
      <c r="Q48" s="242">
        <f>'Master goals'!$E$14</f>
        <v>4200</v>
      </c>
      <c r="S48" s="233">
        <v>2015</v>
      </c>
      <c r="T48" s="238">
        <f t="shared" si="2"/>
        <v>2015</v>
      </c>
      <c r="U48" s="238" t="str">
        <f t="shared" si="3"/>
        <v>-</v>
      </c>
      <c r="V48" s="238">
        <f t="shared" si="4"/>
        <v>7062</v>
      </c>
      <c r="W48" s="238" t="str">
        <f t="shared" si="5"/>
        <v>-</v>
      </c>
      <c r="X48" s="238">
        <f t="shared" si="6"/>
        <v>19500</v>
      </c>
      <c r="Y48" s="238">
        <f t="shared" si="7"/>
        <v>28577</v>
      </c>
    </row>
    <row r="49" spans="1:25" s="467" customFormat="1" x14ac:dyDescent="0.2">
      <c r="A49" s="467">
        <v>2016</v>
      </c>
      <c r="B49" s="242">
        <f>'Master escapements'!$N49</f>
        <v>746</v>
      </c>
      <c r="C49" s="242" t="str">
        <f>'Master escapements'!$O48</f>
        <v>-</v>
      </c>
      <c r="D49" s="242">
        <f>'Master escapements'!$P49</f>
        <v>6177</v>
      </c>
      <c r="E49" s="242" t="str">
        <f>'Master escapements'!$Q48</f>
        <v>-</v>
      </c>
      <c r="F49" s="242">
        <f>'Master escapements'!$R49</f>
        <v>31000</v>
      </c>
      <c r="G49" s="242">
        <f t="shared" si="8"/>
        <v>37923</v>
      </c>
      <c r="J49" s="242">
        <f>'Master goals'!$D$15</f>
        <v>3300</v>
      </c>
      <c r="K49" s="242">
        <f>'Master goals'!$E$15</f>
        <v>9800</v>
      </c>
      <c r="M49" s="242">
        <f>'Master goals'!$D$16</f>
        <v>10000</v>
      </c>
      <c r="N49" s="242">
        <f>'Master goals'!$E$16</f>
        <v>29000</v>
      </c>
      <c r="P49" s="242">
        <f>'Master goals'!$D$14</f>
        <v>1400</v>
      </c>
      <c r="Q49" s="242">
        <f>'Master goals'!$E$14</f>
        <v>4200</v>
      </c>
      <c r="S49" s="233">
        <v>2016</v>
      </c>
      <c r="T49" s="238">
        <f t="shared" ref="T49" si="9">B49</f>
        <v>746</v>
      </c>
      <c r="U49" s="238" t="str">
        <f t="shared" ref="U49" si="10">C49</f>
        <v>-</v>
      </c>
      <c r="V49" s="238">
        <f t="shared" ref="V49" si="11">D49</f>
        <v>6177</v>
      </c>
      <c r="W49" s="238" t="str">
        <f t="shared" ref="W49" si="12">E49</f>
        <v>-</v>
      </c>
      <c r="X49" s="238">
        <f t="shared" ref="X49" si="13">F49</f>
        <v>31000</v>
      </c>
      <c r="Y49" s="238">
        <f t="shared" ref="Y49" si="14">G49</f>
        <v>37923</v>
      </c>
    </row>
    <row r="50" spans="1:25" x14ac:dyDescent="0.2">
      <c r="A50" s="227">
        <v>2017</v>
      </c>
      <c r="B50" s="242">
        <f>'Master escapements'!$N50</f>
        <v>1455</v>
      </c>
      <c r="C50" s="242" t="str">
        <f>'Master escapements'!$O49</f>
        <v>-</v>
      </c>
      <c r="D50" s="242">
        <f>'Master escapements'!$P50</f>
        <v>4122</v>
      </c>
      <c r="E50" s="242" t="str">
        <f>'Master escapements'!$Q49</f>
        <v>-</v>
      </c>
      <c r="F50" s="242">
        <f>'Master escapements'!$R50</f>
        <v>38000</v>
      </c>
      <c r="G50" s="242">
        <f t="shared" si="8"/>
        <v>43577</v>
      </c>
      <c r="J50" s="242">
        <f>'Master goals'!$D$15</f>
        <v>3300</v>
      </c>
      <c r="K50" s="242">
        <f>'Master goals'!$E$15</f>
        <v>9800</v>
      </c>
      <c r="M50" s="242">
        <f>'Master goals'!$D$16</f>
        <v>10000</v>
      </c>
      <c r="N50" s="242">
        <f>'Master goals'!$E$16</f>
        <v>29000</v>
      </c>
      <c r="P50" s="242">
        <f>'Master goals'!$D$14</f>
        <v>1400</v>
      </c>
      <c r="Q50" s="242">
        <f>'Master goals'!$E$14</f>
        <v>4200</v>
      </c>
      <c r="S50" s="239">
        <v>2017</v>
      </c>
      <c r="T50" s="237">
        <f t="shared" si="2"/>
        <v>1455</v>
      </c>
      <c r="U50" s="237" t="str">
        <f t="shared" si="3"/>
        <v>-</v>
      </c>
      <c r="V50" s="237">
        <f t="shared" si="4"/>
        <v>4122</v>
      </c>
      <c r="W50" s="237" t="str">
        <f t="shared" si="5"/>
        <v>-</v>
      </c>
      <c r="X50" s="238">
        <f t="shared" si="6"/>
        <v>38000</v>
      </c>
      <c r="Y50" s="238">
        <f t="shared" si="7"/>
        <v>43577</v>
      </c>
    </row>
    <row r="51" spans="1:25" x14ac:dyDescent="0.2">
      <c r="A51" s="227" t="s">
        <v>32</v>
      </c>
      <c r="B51" s="242">
        <f>AVERAGE(B5:B50)</f>
        <v>3258.8571428571427</v>
      </c>
      <c r="C51" s="242">
        <f>AVERAGE(C5:C50)</f>
        <v>35625.5</v>
      </c>
      <c r="D51" s="242">
        <f>AVERAGE(D5:D50)</f>
        <v>7809.5384615384619</v>
      </c>
      <c r="E51" s="242">
        <f>AVERAGE(E5:E50)</f>
        <v>35465</v>
      </c>
      <c r="F51" s="242">
        <f>AVERAGE(F5:F50)</f>
        <v>24336.046511627908</v>
      </c>
      <c r="G51" s="242">
        <f t="shared" si="8"/>
        <v>35404.442116023514</v>
      </c>
      <c r="S51" s="236" t="s">
        <v>32</v>
      </c>
      <c r="T51" s="235">
        <f>AVERAGE(T5:T50)</f>
        <v>3258.8571428571427</v>
      </c>
      <c r="U51" s="235">
        <f t="shared" ref="U51:W51" si="15">AVERAGE(U5:U50)</f>
        <v>35625.5</v>
      </c>
      <c r="V51" s="235">
        <f t="shared" si="15"/>
        <v>7809.5384615384619</v>
      </c>
      <c r="W51" s="235">
        <f t="shared" si="15"/>
        <v>35465</v>
      </c>
      <c r="X51" s="235">
        <f>AVERAGE(X5:X50)</f>
        <v>24336.046511627908</v>
      </c>
      <c r="Y51" s="235">
        <f>AVERAGE(Y5:Y50)</f>
        <v>33064.311111111114</v>
      </c>
    </row>
    <row r="52" spans="1:25" ht="15.75" customHeight="1" x14ac:dyDescent="0.2">
      <c r="A52" s="227" t="s">
        <v>157</v>
      </c>
      <c r="S52" s="234" t="s">
        <v>157</v>
      </c>
      <c r="T52" s="231"/>
      <c r="U52" s="231"/>
      <c r="V52" s="231"/>
      <c r="W52" s="231"/>
      <c r="X52" s="231"/>
      <c r="Y52" s="231"/>
    </row>
    <row r="53" spans="1:25" ht="24" x14ac:dyDescent="0.2">
      <c r="A53" s="227" t="s">
        <v>156</v>
      </c>
      <c r="B53" s="227">
        <v>1400</v>
      </c>
      <c r="D53" s="227">
        <v>3300</v>
      </c>
      <c r="F53" s="227">
        <v>10000</v>
      </c>
      <c r="S53" s="233" t="s">
        <v>156</v>
      </c>
      <c r="T53" s="232">
        <v>1600</v>
      </c>
      <c r="U53" s="231"/>
      <c r="V53" s="232">
        <v>3300</v>
      </c>
      <c r="W53" s="231"/>
      <c r="X53" s="232">
        <v>10000</v>
      </c>
      <c r="Y53" s="231"/>
    </row>
    <row r="54" spans="1:25" ht="24.75" thickBot="1" x14ac:dyDescent="0.25">
      <c r="A54" s="227" t="s">
        <v>155</v>
      </c>
      <c r="B54" s="227">
        <v>4200</v>
      </c>
      <c r="D54" s="227">
        <v>9800</v>
      </c>
      <c r="F54" s="227">
        <v>29000</v>
      </c>
      <c r="S54" s="230" t="s">
        <v>155</v>
      </c>
      <c r="T54" s="229">
        <v>4800</v>
      </c>
      <c r="U54" s="228"/>
      <c r="V54" s="229">
        <v>9800</v>
      </c>
      <c r="W54" s="228"/>
      <c r="X54" s="229">
        <v>29000</v>
      </c>
      <c r="Y54" s="228"/>
    </row>
    <row r="55" spans="1:25" ht="15" x14ac:dyDescent="0.25">
      <c r="A55" s="227" t="s">
        <v>164</v>
      </c>
    </row>
    <row r="94" spans="1:1" x14ac:dyDescent="0.2">
      <c r="A94" s="240" t="s">
        <v>158</v>
      </c>
    </row>
  </sheetData>
  <mergeCells count="2">
    <mergeCell ref="T3:U3"/>
    <mergeCell ref="V3:W3"/>
  </mergeCells>
  <pageMargins left="1" right="1" top="1" bottom="1" header="0.5" footer="0.5"/>
  <pageSetup orientation="portrait" r:id="rId1"/>
  <headerFooter alignWithMargins="0">
    <oddHeader>&amp;A</oddHeader>
    <oddFooter>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7"/>
  <sheetViews>
    <sheetView topLeftCell="A34" workbookViewId="0">
      <selection activeCell="K56" sqref="K56"/>
    </sheetView>
  </sheetViews>
  <sheetFormatPr defaultRowHeight="12" x14ac:dyDescent="0.2"/>
  <cols>
    <col min="1" max="1" width="7.42578125" style="220" customWidth="1"/>
    <col min="2" max="2" width="7.42578125" style="220" bestFit="1" customWidth="1"/>
    <col min="3" max="3" width="7" style="220" customWidth="1"/>
    <col min="4" max="4" width="8.7109375" style="220" bestFit="1" customWidth="1"/>
    <col min="5" max="10" width="7" style="220" customWidth="1"/>
    <col min="11" max="11" width="8.28515625" style="220" bestFit="1" customWidth="1"/>
    <col min="12" max="13" width="7" style="220" customWidth="1"/>
    <col min="14" max="14" width="8.140625" style="220" customWidth="1"/>
    <col min="15" max="15" width="8.5703125" style="220" customWidth="1"/>
    <col min="16" max="16" width="7.7109375" style="220" customWidth="1"/>
    <col min="17" max="17" width="10.28515625" style="220" customWidth="1"/>
    <col min="18" max="16384" width="9.140625" style="220"/>
  </cols>
  <sheetData>
    <row r="1" spans="1:30" x14ac:dyDescent="0.2">
      <c r="A1" s="220" t="s">
        <v>154</v>
      </c>
    </row>
    <row r="2" spans="1:30" x14ac:dyDescent="0.2">
      <c r="A2" s="222"/>
      <c r="B2" s="222"/>
      <c r="C2" s="222"/>
      <c r="D2" s="222"/>
      <c r="E2" s="222"/>
      <c r="F2" s="222"/>
      <c r="G2" s="222"/>
      <c r="H2" s="222"/>
      <c r="I2" s="222"/>
      <c r="J2" s="222"/>
      <c r="K2" s="222"/>
      <c r="L2" s="222"/>
      <c r="M2" s="222"/>
      <c r="N2" s="222"/>
      <c r="O2" s="222"/>
      <c r="P2" s="222"/>
      <c r="Q2" s="222"/>
    </row>
    <row r="3" spans="1:30" x14ac:dyDescent="0.2">
      <c r="A3" s="220" t="s">
        <v>153</v>
      </c>
      <c r="B3" s="223"/>
      <c r="C3" s="223"/>
      <c r="D3" s="223"/>
      <c r="E3" s="223"/>
      <c r="F3" s="223"/>
      <c r="G3" s="223"/>
      <c r="H3" s="223"/>
      <c r="I3" s="223"/>
      <c r="J3" s="223"/>
      <c r="K3" s="223"/>
      <c r="L3" s="223"/>
      <c r="M3" s="223"/>
      <c r="N3" s="223"/>
      <c r="O3" s="223"/>
      <c r="P3" s="223" t="s">
        <v>151</v>
      </c>
      <c r="Q3" s="223" t="s">
        <v>152</v>
      </c>
      <c r="AC3" s="220" t="s">
        <v>151</v>
      </c>
      <c r="AD3" s="220" t="s">
        <v>150</v>
      </c>
    </row>
    <row r="4" spans="1:30" ht="13.5" customHeight="1" x14ac:dyDescent="0.2">
      <c r="A4" s="500" t="s">
        <v>3</v>
      </c>
      <c r="B4" s="223" t="s">
        <v>149</v>
      </c>
      <c r="C4" s="223" t="s">
        <v>148</v>
      </c>
      <c r="D4" s="223" t="s">
        <v>147</v>
      </c>
      <c r="E4" s="223" t="s">
        <v>146</v>
      </c>
      <c r="F4" s="223" t="s">
        <v>145</v>
      </c>
      <c r="G4" s="223" t="s">
        <v>144</v>
      </c>
      <c r="H4" s="223" t="s">
        <v>143</v>
      </c>
      <c r="I4" s="223" t="s">
        <v>142</v>
      </c>
      <c r="J4" s="223" t="s">
        <v>141</v>
      </c>
      <c r="K4" s="223" t="s">
        <v>140</v>
      </c>
      <c r="L4" s="223" t="s">
        <v>139</v>
      </c>
      <c r="M4" s="223" t="s">
        <v>138</v>
      </c>
      <c r="N4" s="223" t="s">
        <v>137</v>
      </c>
      <c r="O4" s="223" t="s">
        <v>136</v>
      </c>
      <c r="P4" s="223" t="s">
        <v>135</v>
      </c>
      <c r="Q4" s="223" t="s">
        <v>134</v>
      </c>
      <c r="W4" s="220" t="s">
        <v>133</v>
      </c>
      <c r="X4" s="220" t="s">
        <v>132</v>
      </c>
      <c r="Y4" s="220" t="s">
        <v>131</v>
      </c>
      <c r="Z4" s="220" t="s">
        <v>130</v>
      </c>
      <c r="AA4" s="220" t="s">
        <v>129</v>
      </c>
      <c r="AB4" s="220" t="s">
        <v>128</v>
      </c>
      <c r="AC4" s="220" t="s">
        <v>127</v>
      </c>
      <c r="AD4" s="220" t="s">
        <v>126</v>
      </c>
    </row>
    <row r="5" spans="1:30" x14ac:dyDescent="0.2">
      <c r="A5" s="501"/>
      <c r="B5" s="221" t="s">
        <v>125</v>
      </c>
      <c r="C5" s="221" t="s">
        <v>125</v>
      </c>
      <c r="D5" s="221" t="s">
        <v>124</v>
      </c>
      <c r="E5" s="221" t="s">
        <v>124</v>
      </c>
      <c r="F5" s="221" t="s">
        <v>124</v>
      </c>
      <c r="G5" s="221" t="s">
        <v>125</v>
      </c>
      <c r="H5" s="221" t="s">
        <v>125</v>
      </c>
      <c r="I5" s="221" t="s">
        <v>125</v>
      </c>
      <c r="J5" s="221" t="s">
        <v>124</v>
      </c>
      <c r="K5" s="221" t="s">
        <v>124</v>
      </c>
      <c r="L5" s="221" t="s">
        <v>124</v>
      </c>
      <c r="M5" s="221" t="s">
        <v>124</v>
      </c>
      <c r="N5" s="221" t="s">
        <v>125</v>
      </c>
      <c r="O5" s="221" t="s">
        <v>124</v>
      </c>
      <c r="P5" s="221" t="s">
        <v>95</v>
      </c>
      <c r="Q5" s="221" t="s">
        <v>123</v>
      </c>
      <c r="V5" s="220" t="s">
        <v>3</v>
      </c>
      <c r="W5" s="220" t="s">
        <v>122</v>
      </c>
      <c r="X5" s="220" t="s">
        <v>102</v>
      </c>
      <c r="Y5" s="220" t="s">
        <v>121</v>
      </c>
      <c r="Z5" s="220" t="s">
        <v>120</v>
      </c>
      <c r="AA5" s="220" t="s">
        <v>119</v>
      </c>
      <c r="AB5" s="220" t="s">
        <v>118</v>
      </c>
      <c r="AC5" s="220" t="s">
        <v>117</v>
      </c>
      <c r="AD5" s="220" t="s">
        <v>116</v>
      </c>
    </row>
    <row r="6" spans="1:30" x14ac:dyDescent="0.2">
      <c r="A6" s="500">
        <v>1987</v>
      </c>
      <c r="B6" s="225">
        <v>92</v>
      </c>
      <c r="C6" s="226">
        <v>78.222337062943296</v>
      </c>
      <c r="D6" s="225">
        <v>154</v>
      </c>
      <c r="E6" s="226">
        <v>64.99306481683567</v>
      </c>
      <c r="F6" s="226">
        <v>336.17266871652299</v>
      </c>
      <c r="G6" s="226">
        <v>69.675848350153643</v>
      </c>
      <c r="H6" s="226">
        <v>281.61716171512978</v>
      </c>
      <c r="I6" s="226">
        <v>113.04997477937874</v>
      </c>
      <c r="J6" s="225">
        <v>180</v>
      </c>
      <c r="K6" s="225">
        <v>700</v>
      </c>
      <c r="L6" s="225">
        <v>800</v>
      </c>
      <c r="M6" s="225">
        <v>740</v>
      </c>
      <c r="N6" s="225">
        <v>650</v>
      </c>
      <c r="O6" s="225">
        <v>532</v>
      </c>
      <c r="P6" s="225">
        <f t="shared" ref="P6:P37" si="0">SUM(B6:O6)</f>
        <v>4791.7310554409642</v>
      </c>
      <c r="Q6" s="225">
        <f>'Master escapements'!J20</f>
        <v>1117</v>
      </c>
      <c r="S6" s="220">
        <v>1990</v>
      </c>
      <c r="T6" s="225">
        <v>3443.5916335040188</v>
      </c>
      <c r="V6" s="220">
        <v>1987</v>
      </c>
      <c r="W6" s="220">
        <v>180</v>
      </c>
      <c r="X6" s="220">
        <v>700</v>
      </c>
      <c r="Y6" s="220">
        <v>800</v>
      </c>
      <c r="Z6" s="220">
        <v>740</v>
      </c>
      <c r="AA6" s="220">
        <v>650</v>
      </c>
      <c r="AB6" s="220">
        <v>532</v>
      </c>
      <c r="AC6" s="220">
        <v>4791.7310554409642</v>
      </c>
      <c r="AD6" s="220">
        <v>1117</v>
      </c>
    </row>
    <row r="7" spans="1:30" x14ac:dyDescent="0.2">
      <c r="A7" s="500">
        <v>1988</v>
      </c>
      <c r="B7" s="225">
        <v>72</v>
      </c>
      <c r="C7" s="225">
        <v>150</v>
      </c>
      <c r="D7" s="225">
        <v>205</v>
      </c>
      <c r="E7" s="225">
        <v>20</v>
      </c>
      <c r="F7" s="225">
        <v>300</v>
      </c>
      <c r="G7" s="225">
        <v>50</v>
      </c>
      <c r="H7" s="225">
        <v>175</v>
      </c>
      <c r="I7" s="225">
        <v>150</v>
      </c>
      <c r="J7" s="225">
        <v>193</v>
      </c>
      <c r="K7" s="225">
        <v>790</v>
      </c>
      <c r="L7" s="225">
        <v>850</v>
      </c>
      <c r="M7" s="225">
        <v>600</v>
      </c>
      <c r="N7" s="225">
        <v>52</v>
      </c>
      <c r="O7" s="225">
        <v>1400</v>
      </c>
      <c r="P7" s="225">
        <f t="shared" si="0"/>
        <v>5007</v>
      </c>
      <c r="Q7" s="225">
        <f>'Master escapements'!J21</f>
        <v>513</v>
      </c>
      <c r="S7" s="394">
        <v>2007</v>
      </c>
      <c r="T7" s="395">
        <v>4316.19131889442</v>
      </c>
      <c r="V7" s="220">
        <v>1988</v>
      </c>
      <c r="W7" s="220">
        <v>193</v>
      </c>
      <c r="X7" s="220">
        <v>790</v>
      </c>
      <c r="Y7" s="220">
        <v>850</v>
      </c>
      <c r="Z7" s="220">
        <v>600</v>
      </c>
      <c r="AA7" s="220">
        <v>52</v>
      </c>
      <c r="AB7" s="220">
        <v>1400</v>
      </c>
      <c r="AC7" s="220">
        <v>5007</v>
      </c>
      <c r="AD7" s="220">
        <v>513</v>
      </c>
    </row>
    <row r="8" spans="1:30" x14ac:dyDescent="0.2">
      <c r="A8" s="500">
        <v>1989</v>
      </c>
      <c r="B8" s="225">
        <v>75</v>
      </c>
      <c r="C8" s="225">
        <v>101</v>
      </c>
      <c r="D8" s="225">
        <v>290</v>
      </c>
      <c r="E8" s="225">
        <v>15</v>
      </c>
      <c r="F8" s="225">
        <v>925</v>
      </c>
      <c r="G8" s="225">
        <v>450</v>
      </c>
      <c r="H8" s="225">
        <v>510</v>
      </c>
      <c r="I8" s="225">
        <v>200</v>
      </c>
      <c r="J8" s="225">
        <v>70</v>
      </c>
      <c r="K8" s="225">
        <v>1000</v>
      </c>
      <c r="L8" s="225">
        <v>650</v>
      </c>
      <c r="M8" s="225">
        <v>1175</v>
      </c>
      <c r="N8" s="225">
        <v>350</v>
      </c>
      <c r="O8" s="225">
        <v>950</v>
      </c>
      <c r="P8" s="225">
        <f t="shared" si="0"/>
        <v>6761</v>
      </c>
      <c r="Q8" s="225">
        <f>'Master escapements'!J22</f>
        <v>433</v>
      </c>
      <c r="S8" s="394">
        <v>2010</v>
      </c>
      <c r="T8" s="395">
        <v>4562.5036185839253</v>
      </c>
      <c r="V8" s="220">
        <v>1989</v>
      </c>
      <c r="W8" s="220">
        <v>70</v>
      </c>
      <c r="X8" s="220">
        <v>1000</v>
      </c>
      <c r="Y8" s="220">
        <v>650</v>
      </c>
      <c r="Z8" s="220">
        <v>1175</v>
      </c>
      <c r="AA8" s="220">
        <v>350</v>
      </c>
      <c r="AB8" s="220">
        <v>950</v>
      </c>
      <c r="AC8" s="220">
        <v>6761</v>
      </c>
      <c r="AD8" s="220">
        <v>433</v>
      </c>
    </row>
    <row r="9" spans="1:30" x14ac:dyDescent="0.2">
      <c r="A9" s="500">
        <v>1990</v>
      </c>
      <c r="B9" s="225">
        <v>150</v>
      </c>
      <c r="C9" s="225">
        <v>30</v>
      </c>
      <c r="D9" s="225">
        <v>235</v>
      </c>
      <c r="E9" s="225">
        <v>150</v>
      </c>
      <c r="F9" s="226">
        <v>241.59147826983886</v>
      </c>
      <c r="G9" s="226">
        <v>50.072753584828334</v>
      </c>
      <c r="H9" s="388">
        <v>35</v>
      </c>
      <c r="I9" s="226">
        <v>81.243697266925651</v>
      </c>
      <c r="J9" s="226">
        <v>135.68370438242599</v>
      </c>
      <c r="K9" s="225">
        <v>800</v>
      </c>
      <c r="L9" s="225">
        <v>550</v>
      </c>
      <c r="M9" s="225">
        <v>575</v>
      </c>
      <c r="N9" s="225">
        <v>135</v>
      </c>
      <c r="O9" s="225">
        <v>275</v>
      </c>
      <c r="P9" s="225">
        <f t="shared" si="0"/>
        <v>3443.5916335040188</v>
      </c>
      <c r="Q9" s="225">
        <f>'Master escapements'!J23</f>
        <v>870</v>
      </c>
      <c r="S9" s="394">
        <v>1987</v>
      </c>
      <c r="T9" s="395">
        <v>4791.7310554409642</v>
      </c>
      <c r="V9" s="220">
        <v>1990</v>
      </c>
      <c r="W9" s="220">
        <v>135.68370438242599</v>
      </c>
      <c r="X9" s="220">
        <v>800</v>
      </c>
      <c r="Y9" s="220">
        <v>550</v>
      </c>
      <c r="Z9" s="220">
        <v>575</v>
      </c>
      <c r="AA9" s="220">
        <v>135</v>
      </c>
      <c r="AB9" s="220">
        <v>275</v>
      </c>
      <c r="AC9" s="220">
        <v>3443.5916335040192</v>
      </c>
      <c r="AD9" s="220">
        <v>870</v>
      </c>
    </row>
    <row r="10" spans="1:30" x14ac:dyDescent="0.2">
      <c r="A10" s="500">
        <v>1991</v>
      </c>
      <c r="B10" s="225">
        <v>245</v>
      </c>
      <c r="C10" s="225">
        <v>50</v>
      </c>
      <c r="D10" s="225">
        <v>285</v>
      </c>
      <c r="E10" s="225">
        <v>50</v>
      </c>
      <c r="F10" s="225">
        <v>550</v>
      </c>
      <c r="G10" s="225">
        <v>100</v>
      </c>
      <c r="H10" s="225">
        <v>300</v>
      </c>
      <c r="I10" s="225">
        <v>220</v>
      </c>
      <c r="J10" s="225">
        <v>375</v>
      </c>
      <c r="K10" s="225">
        <v>725</v>
      </c>
      <c r="L10" s="225">
        <v>800</v>
      </c>
      <c r="M10" s="225">
        <v>575</v>
      </c>
      <c r="N10" s="225">
        <v>671</v>
      </c>
      <c r="O10" s="225">
        <v>775</v>
      </c>
      <c r="P10" s="225">
        <f t="shared" si="0"/>
        <v>5721</v>
      </c>
      <c r="Q10" s="225">
        <f>'Master escapements'!J24</f>
        <v>1836</v>
      </c>
      <c r="S10" s="394">
        <v>1988</v>
      </c>
      <c r="T10" s="395">
        <v>5007</v>
      </c>
      <c r="V10" s="220">
        <v>1991</v>
      </c>
      <c r="W10" s="220">
        <v>375</v>
      </c>
      <c r="X10" s="220">
        <v>725</v>
      </c>
      <c r="Y10" s="220">
        <v>800</v>
      </c>
      <c r="Z10" s="220">
        <v>575</v>
      </c>
      <c r="AA10" s="220">
        <v>671</v>
      </c>
      <c r="AB10" s="220">
        <v>775</v>
      </c>
      <c r="AC10" s="220">
        <v>5721</v>
      </c>
      <c r="AD10" s="220">
        <v>1836</v>
      </c>
    </row>
    <row r="11" spans="1:30" x14ac:dyDescent="0.2">
      <c r="A11" s="500">
        <v>1992</v>
      </c>
      <c r="B11" s="225">
        <v>115</v>
      </c>
      <c r="C11" s="225">
        <v>270</v>
      </c>
      <c r="D11" s="225">
        <v>860</v>
      </c>
      <c r="E11" s="225">
        <v>90</v>
      </c>
      <c r="F11" s="225">
        <v>675</v>
      </c>
      <c r="G11" s="225">
        <v>100</v>
      </c>
      <c r="H11" s="225">
        <v>250</v>
      </c>
      <c r="I11" s="225">
        <v>150</v>
      </c>
      <c r="J11" s="225">
        <v>360</v>
      </c>
      <c r="K11" s="225">
        <v>650</v>
      </c>
      <c r="L11" s="225">
        <v>627</v>
      </c>
      <c r="M11" s="225">
        <v>1285</v>
      </c>
      <c r="N11" s="225">
        <v>550</v>
      </c>
      <c r="O11" s="225">
        <v>1035</v>
      </c>
      <c r="P11" s="225">
        <f t="shared" si="0"/>
        <v>7017</v>
      </c>
      <c r="Q11" s="225">
        <f>'Master escapements'!J25</f>
        <v>1426</v>
      </c>
      <c r="S11" s="394">
        <v>1997</v>
      </c>
      <c r="T11" s="395">
        <v>5024.9558480428277</v>
      </c>
      <c r="V11" s="220">
        <v>1992</v>
      </c>
      <c r="W11" s="220">
        <v>360</v>
      </c>
      <c r="X11" s="220">
        <v>650</v>
      </c>
      <c r="Y11" s="220">
        <v>627</v>
      </c>
      <c r="Z11" s="220">
        <v>1285</v>
      </c>
      <c r="AA11" s="220">
        <v>550</v>
      </c>
      <c r="AB11" s="220">
        <v>1035</v>
      </c>
      <c r="AC11" s="220">
        <v>7017</v>
      </c>
      <c r="AD11" s="220">
        <v>1426</v>
      </c>
    </row>
    <row r="12" spans="1:30" x14ac:dyDescent="0.2">
      <c r="A12" s="500">
        <v>1993</v>
      </c>
      <c r="B12" s="225">
        <v>90</v>
      </c>
      <c r="C12" s="225">
        <v>175</v>
      </c>
      <c r="D12" s="225">
        <v>460</v>
      </c>
      <c r="E12" s="225">
        <v>50</v>
      </c>
      <c r="F12" s="225">
        <v>475</v>
      </c>
      <c r="G12" s="225">
        <v>325</v>
      </c>
      <c r="H12" s="225">
        <v>110</v>
      </c>
      <c r="I12" s="225">
        <v>300</v>
      </c>
      <c r="J12" s="225">
        <v>310</v>
      </c>
      <c r="K12" s="225">
        <v>850</v>
      </c>
      <c r="L12" s="225">
        <v>725</v>
      </c>
      <c r="M12" s="225">
        <v>1525</v>
      </c>
      <c r="N12" s="225">
        <v>600</v>
      </c>
      <c r="O12" s="225">
        <v>1275</v>
      </c>
      <c r="P12" s="225">
        <f t="shared" si="0"/>
        <v>7270</v>
      </c>
      <c r="Q12" s="225">
        <f>'Master escapements'!J26</f>
        <v>832</v>
      </c>
      <c r="S12" s="394">
        <v>2011</v>
      </c>
      <c r="T12" s="395">
        <v>5097.790030993855</v>
      </c>
      <c r="V12" s="220">
        <v>1993</v>
      </c>
      <c r="W12" s="220">
        <v>310</v>
      </c>
      <c r="X12" s="220">
        <v>850</v>
      </c>
      <c r="Y12" s="220">
        <v>725</v>
      </c>
      <c r="Z12" s="220">
        <v>1525</v>
      </c>
      <c r="AA12" s="220">
        <v>600</v>
      </c>
      <c r="AB12" s="220">
        <v>1275</v>
      </c>
      <c r="AC12" s="220">
        <v>7270</v>
      </c>
      <c r="AD12" s="220">
        <v>832</v>
      </c>
    </row>
    <row r="13" spans="1:30" x14ac:dyDescent="0.2">
      <c r="A13" s="500">
        <v>1994</v>
      </c>
      <c r="B13" s="225">
        <v>265</v>
      </c>
      <c r="C13" s="225">
        <v>220</v>
      </c>
      <c r="D13" s="225">
        <v>755</v>
      </c>
      <c r="E13" s="225">
        <v>200</v>
      </c>
      <c r="F13" s="225">
        <v>560</v>
      </c>
      <c r="G13" s="225">
        <v>175</v>
      </c>
      <c r="H13" s="225">
        <v>325</v>
      </c>
      <c r="I13" s="225">
        <v>225</v>
      </c>
      <c r="J13" s="225">
        <v>475</v>
      </c>
      <c r="K13" s="225">
        <v>775</v>
      </c>
      <c r="L13" s="225">
        <v>1100</v>
      </c>
      <c r="M13" s="225">
        <v>2205</v>
      </c>
      <c r="N13" s="225">
        <v>560</v>
      </c>
      <c r="O13" s="225">
        <v>850</v>
      </c>
      <c r="P13" s="225">
        <f t="shared" si="0"/>
        <v>8690</v>
      </c>
      <c r="Q13" s="225">
        <f>'Master escapements'!J27</f>
        <v>1753</v>
      </c>
      <c r="S13" s="394">
        <v>1991</v>
      </c>
      <c r="T13" s="395">
        <v>5721</v>
      </c>
      <c r="V13" s="220">
        <v>1994</v>
      </c>
      <c r="W13" s="220">
        <v>475</v>
      </c>
      <c r="X13" s="220">
        <v>775</v>
      </c>
      <c r="Y13" s="220">
        <v>1100</v>
      </c>
      <c r="Z13" s="220">
        <v>2205</v>
      </c>
      <c r="AA13" s="220">
        <v>560</v>
      </c>
      <c r="AB13" s="220">
        <v>850</v>
      </c>
      <c r="AC13" s="220">
        <v>8690</v>
      </c>
      <c r="AD13" s="220">
        <v>1753</v>
      </c>
    </row>
    <row r="14" spans="1:30" x14ac:dyDescent="0.2">
      <c r="A14" s="500">
        <v>1995</v>
      </c>
      <c r="B14" s="225">
        <v>250</v>
      </c>
      <c r="C14" s="225">
        <v>94</v>
      </c>
      <c r="D14" s="225">
        <v>435</v>
      </c>
      <c r="E14" s="225">
        <v>165</v>
      </c>
      <c r="F14" s="225">
        <v>600</v>
      </c>
      <c r="G14" s="225">
        <v>220</v>
      </c>
      <c r="H14" s="225">
        <v>415</v>
      </c>
      <c r="I14" s="225">
        <v>180</v>
      </c>
      <c r="J14" s="225">
        <v>400</v>
      </c>
      <c r="K14" s="225">
        <v>800</v>
      </c>
      <c r="L14" s="225">
        <v>1155</v>
      </c>
      <c r="M14" s="225">
        <v>1385</v>
      </c>
      <c r="N14" s="225">
        <v>82</v>
      </c>
      <c r="O14" s="225">
        <v>2446</v>
      </c>
      <c r="P14" s="225">
        <f t="shared" si="0"/>
        <v>8627</v>
      </c>
      <c r="Q14" s="225">
        <f>'Master escapements'!J28</f>
        <v>1781</v>
      </c>
      <c r="S14" s="394">
        <v>1989</v>
      </c>
      <c r="T14" s="395">
        <v>6761</v>
      </c>
      <c r="V14" s="220">
        <v>1995</v>
      </c>
      <c r="W14" s="220">
        <v>400</v>
      </c>
      <c r="X14" s="220">
        <v>800</v>
      </c>
      <c r="Y14" s="220">
        <v>1155</v>
      </c>
      <c r="Z14" s="220">
        <v>1385</v>
      </c>
      <c r="AA14" s="220">
        <v>82</v>
      </c>
      <c r="AB14" s="220">
        <v>2446</v>
      </c>
      <c r="AC14" s="220">
        <v>8627</v>
      </c>
      <c r="AD14" s="220">
        <v>1781</v>
      </c>
    </row>
    <row r="15" spans="1:30" x14ac:dyDescent="0.2">
      <c r="A15" s="500">
        <v>1996</v>
      </c>
      <c r="B15" s="225">
        <v>94</v>
      </c>
      <c r="C15" s="225">
        <v>92</v>
      </c>
      <c r="D15" s="225">
        <v>383</v>
      </c>
      <c r="E15" s="225">
        <v>40</v>
      </c>
      <c r="F15" s="225">
        <v>570</v>
      </c>
      <c r="G15" s="225">
        <v>230</v>
      </c>
      <c r="H15" s="225">
        <v>457</v>
      </c>
      <c r="I15" s="225">
        <v>220</v>
      </c>
      <c r="J15" s="225">
        <v>240</v>
      </c>
      <c r="K15" s="225">
        <v>829</v>
      </c>
      <c r="L15" s="225">
        <v>1506</v>
      </c>
      <c r="M15" s="225">
        <v>1924</v>
      </c>
      <c r="N15" s="225">
        <v>440</v>
      </c>
      <c r="O15" s="225">
        <v>1806</v>
      </c>
      <c r="P15" s="225">
        <f t="shared" si="0"/>
        <v>8831</v>
      </c>
      <c r="Q15" s="225">
        <f>'Master escapements'!J29</f>
        <v>950</v>
      </c>
      <c r="S15" s="394">
        <v>2006</v>
      </c>
      <c r="T15" s="395">
        <v>6900.5412233682428</v>
      </c>
      <c r="V15" s="220">
        <v>1996</v>
      </c>
      <c r="W15" s="220">
        <v>240</v>
      </c>
      <c r="X15" s="220">
        <v>829</v>
      </c>
      <c r="Y15" s="220">
        <v>1506</v>
      </c>
      <c r="Z15" s="220">
        <v>1924</v>
      </c>
      <c r="AA15" s="220">
        <v>440</v>
      </c>
      <c r="AB15" s="220">
        <v>1806</v>
      </c>
      <c r="AC15" s="220">
        <v>8831</v>
      </c>
      <c r="AD15" s="220">
        <v>950</v>
      </c>
    </row>
    <row r="16" spans="1:30" x14ac:dyDescent="0.2">
      <c r="A16" s="500">
        <v>1997</v>
      </c>
      <c r="B16" s="225">
        <v>75</v>
      </c>
      <c r="C16" s="389">
        <v>82.029601753369761</v>
      </c>
      <c r="D16" s="225">
        <v>420</v>
      </c>
      <c r="E16" s="225">
        <v>60</v>
      </c>
      <c r="F16" s="226">
        <v>352.53498123744612</v>
      </c>
      <c r="G16" s="226">
        <v>73.06713535911976</v>
      </c>
      <c r="H16" s="226">
        <v>295.3241296928926</v>
      </c>
      <c r="I16" s="225">
        <v>175</v>
      </c>
      <c r="J16" s="225">
        <v>140</v>
      </c>
      <c r="K16" s="225">
        <v>1143</v>
      </c>
      <c r="L16" s="225">
        <v>571</v>
      </c>
      <c r="M16" s="225">
        <v>759</v>
      </c>
      <c r="N16" s="225">
        <v>32</v>
      </c>
      <c r="O16" s="225">
        <v>847</v>
      </c>
      <c r="P16" s="225">
        <f t="shared" si="0"/>
        <v>5024.9558480428277</v>
      </c>
      <c r="Q16" s="225">
        <f>'Master escapements'!J30</f>
        <v>732</v>
      </c>
      <c r="S16" s="394">
        <v>1992</v>
      </c>
      <c r="T16" s="395">
        <v>7017</v>
      </c>
      <c r="V16" s="220">
        <v>1997</v>
      </c>
      <c r="W16" s="220">
        <v>140</v>
      </c>
      <c r="X16" s="220">
        <v>1143</v>
      </c>
      <c r="Y16" s="220">
        <v>571</v>
      </c>
      <c r="Z16" s="220">
        <v>759</v>
      </c>
      <c r="AA16" s="220">
        <v>32</v>
      </c>
      <c r="AB16" s="220">
        <v>847</v>
      </c>
      <c r="AC16" s="220">
        <v>5024.9558480428277</v>
      </c>
      <c r="AD16" s="220">
        <v>732</v>
      </c>
    </row>
    <row r="17" spans="1:30" x14ac:dyDescent="0.2">
      <c r="A17" s="500">
        <v>1998</v>
      </c>
      <c r="B17" s="225">
        <v>94</v>
      </c>
      <c r="C17" s="225">
        <v>130</v>
      </c>
      <c r="D17" s="225">
        <v>460</v>
      </c>
      <c r="E17" s="225">
        <v>120</v>
      </c>
      <c r="F17" s="225">
        <v>304</v>
      </c>
      <c r="G17" s="225">
        <v>50</v>
      </c>
      <c r="H17" s="225">
        <v>411</v>
      </c>
      <c r="I17" s="225">
        <v>190</v>
      </c>
      <c r="J17" s="226">
        <v>279.53754012632038</v>
      </c>
      <c r="K17" s="225">
        <v>1004</v>
      </c>
      <c r="L17" s="225">
        <v>1169</v>
      </c>
      <c r="M17" s="225">
        <v>1961</v>
      </c>
      <c r="N17" s="225">
        <v>256</v>
      </c>
      <c r="O17" s="225">
        <v>666</v>
      </c>
      <c r="P17" s="225">
        <f t="shared" si="0"/>
        <v>7094.5375401263209</v>
      </c>
      <c r="Q17" s="225">
        <f>'Master escapements'!J31</f>
        <v>983</v>
      </c>
      <c r="S17" s="394">
        <v>1998</v>
      </c>
      <c r="T17" s="395">
        <v>7094.5375401263209</v>
      </c>
      <c r="V17" s="220">
        <v>1998</v>
      </c>
      <c r="W17" s="220">
        <v>279.53754012632038</v>
      </c>
      <c r="X17" s="220">
        <v>1004</v>
      </c>
      <c r="Y17" s="220">
        <v>1169</v>
      </c>
      <c r="Z17" s="220">
        <v>1961</v>
      </c>
      <c r="AA17" s="220">
        <v>256</v>
      </c>
      <c r="AB17" s="220">
        <v>666</v>
      </c>
      <c r="AC17" s="220">
        <v>7094.5375401263209</v>
      </c>
      <c r="AD17" s="220">
        <v>983</v>
      </c>
    </row>
    <row r="18" spans="1:30" x14ac:dyDescent="0.2">
      <c r="A18" s="500">
        <v>1999</v>
      </c>
      <c r="B18" s="225">
        <v>75</v>
      </c>
      <c r="C18" s="225">
        <v>127</v>
      </c>
      <c r="D18" s="225">
        <v>657</v>
      </c>
      <c r="E18" s="225">
        <v>150</v>
      </c>
      <c r="F18" s="225">
        <v>356</v>
      </c>
      <c r="G18" s="225">
        <v>25</v>
      </c>
      <c r="H18" s="225">
        <v>627</v>
      </c>
      <c r="I18" s="225">
        <v>225</v>
      </c>
      <c r="J18" s="225">
        <v>425</v>
      </c>
      <c r="K18" s="225">
        <v>598</v>
      </c>
      <c r="L18" s="225">
        <v>1895</v>
      </c>
      <c r="M18" s="225">
        <v>1518</v>
      </c>
      <c r="N18" s="225">
        <v>520</v>
      </c>
      <c r="O18" s="225">
        <v>840</v>
      </c>
      <c r="P18" s="225">
        <f t="shared" si="0"/>
        <v>8038</v>
      </c>
      <c r="Q18" s="225">
        <f>'Master escapements'!J32</f>
        <v>1246</v>
      </c>
      <c r="S18" s="394">
        <v>1993</v>
      </c>
      <c r="T18" s="395">
        <v>7270</v>
      </c>
      <c r="V18" s="220">
        <v>1999</v>
      </c>
      <c r="W18" s="220">
        <v>425</v>
      </c>
      <c r="X18" s="220">
        <v>598</v>
      </c>
      <c r="Y18" s="220">
        <v>1895</v>
      </c>
      <c r="Z18" s="220">
        <v>1518</v>
      </c>
      <c r="AA18" s="220">
        <v>520</v>
      </c>
      <c r="AB18" s="220">
        <v>840</v>
      </c>
      <c r="AC18" s="220">
        <v>8038</v>
      </c>
      <c r="AD18" s="220">
        <v>1246</v>
      </c>
    </row>
    <row r="19" spans="1:30" x14ac:dyDescent="0.2">
      <c r="A19" s="500">
        <v>2000</v>
      </c>
      <c r="B19" s="225">
        <v>135</v>
      </c>
      <c r="C19" s="225">
        <v>94</v>
      </c>
      <c r="D19" s="225">
        <v>600</v>
      </c>
      <c r="E19" s="225">
        <v>110</v>
      </c>
      <c r="F19" s="225">
        <v>380</v>
      </c>
      <c r="G19" s="225">
        <v>72</v>
      </c>
      <c r="H19" s="225">
        <v>620</v>
      </c>
      <c r="I19" s="225">
        <v>180</v>
      </c>
      <c r="J19" s="225">
        <v>275</v>
      </c>
      <c r="K19" s="225">
        <v>1354</v>
      </c>
      <c r="L19" s="225">
        <v>1619</v>
      </c>
      <c r="M19" s="225">
        <v>1421</v>
      </c>
      <c r="N19" s="225">
        <v>102</v>
      </c>
      <c r="O19" s="225">
        <v>1672</v>
      </c>
      <c r="P19" s="225">
        <f t="shared" si="0"/>
        <v>8634</v>
      </c>
      <c r="Q19" s="225">
        <f>'Master escapements'!J33</f>
        <v>600</v>
      </c>
      <c r="S19" s="394">
        <v>1999</v>
      </c>
      <c r="T19" s="395">
        <v>8038</v>
      </c>
      <c r="V19" s="220">
        <f>V68</f>
        <v>2000</v>
      </c>
      <c r="W19" s="220">
        <v>275</v>
      </c>
      <c r="X19" s="220">
        <v>1354</v>
      </c>
      <c r="Y19" s="220">
        <v>1619</v>
      </c>
      <c r="Z19" s="220">
        <v>1421</v>
      </c>
      <c r="AA19" s="220">
        <v>102</v>
      </c>
      <c r="AB19" s="220">
        <v>1672</v>
      </c>
      <c r="AC19" s="220">
        <v>8634</v>
      </c>
      <c r="AD19" s="220">
        <v>600</v>
      </c>
    </row>
    <row r="20" spans="1:30" x14ac:dyDescent="0.2">
      <c r="A20" s="500">
        <v>2001</v>
      </c>
      <c r="B20" s="225">
        <v>80</v>
      </c>
      <c r="C20" s="225">
        <v>110</v>
      </c>
      <c r="D20" s="225">
        <v>929</v>
      </c>
      <c r="E20" s="225">
        <v>151</v>
      </c>
      <c r="F20" s="225">
        <v>1140</v>
      </c>
      <c r="G20" s="226">
        <v>163.83347115160157</v>
      </c>
      <c r="H20" s="225">
        <v>891</v>
      </c>
      <c r="I20" s="225">
        <v>450</v>
      </c>
      <c r="J20" s="225">
        <v>173</v>
      </c>
      <c r="K20" s="225">
        <v>1561</v>
      </c>
      <c r="L20" s="226">
        <v>1714.4669101276709</v>
      </c>
      <c r="M20" s="225">
        <v>1956</v>
      </c>
      <c r="N20" s="225">
        <v>506</v>
      </c>
      <c r="O20" s="226">
        <v>1441.8165619004662</v>
      </c>
      <c r="P20" s="225">
        <f t="shared" si="0"/>
        <v>11267.116943179739</v>
      </c>
      <c r="Q20" s="225">
        <f>'Master escapements'!J34</f>
        <v>1580</v>
      </c>
      <c r="S20" s="220">
        <v>1995</v>
      </c>
      <c r="T20" s="225">
        <v>8627</v>
      </c>
      <c r="V20" s="220">
        <f>V69</f>
        <v>2001</v>
      </c>
      <c r="W20" s="220">
        <v>173</v>
      </c>
      <c r="X20" s="220">
        <v>1561</v>
      </c>
      <c r="Y20" s="220">
        <v>1714.4669101276709</v>
      </c>
      <c r="Z20" s="220">
        <v>1956</v>
      </c>
      <c r="AA20" s="220">
        <v>506</v>
      </c>
      <c r="AB20" s="220">
        <v>1441.8165619004662</v>
      </c>
      <c r="AC20" s="220">
        <v>11267.116943179739</v>
      </c>
      <c r="AD20" s="220">
        <v>1580</v>
      </c>
    </row>
    <row r="21" spans="1:30" x14ac:dyDescent="0.2">
      <c r="A21" s="500">
        <v>2002</v>
      </c>
      <c r="B21" s="225">
        <v>88</v>
      </c>
      <c r="C21" s="225">
        <v>138</v>
      </c>
      <c r="D21" s="225">
        <v>1105</v>
      </c>
      <c r="E21" s="225">
        <v>20</v>
      </c>
      <c r="F21" s="225">
        <v>940</v>
      </c>
      <c r="G21" s="225">
        <v>70</v>
      </c>
      <c r="H21" s="225">
        <v>700</v>
      </c>
      <c r="I21" s="225">
        <v>220</v>
      </c>
      <c r="J21" s="225">
        <v>270</v>
      </c>
      <c r="K21" s="225">
        <v>1359</v>
      </c>
      <c r="L21" s="225">
        <v>1368</v>
      </c>
      <c r="M21" s="225">
        <v>2302</v>
      </c>
      <c r="N21" s="225">
        <v>2004</v>
      </c>
      <c r="O21" s="225">
        <v>1639</v>
      </c>
      <c r="P21" s="225">
        <f t="shared" si="0"/>
        <v>12223</v>
      </c>
      <c r="Q21" s="225">
        <f>'Master escapements'!J35</f>
        <v>3291</v>
      </c>
      <c r="S21" s="220">
        <v>2000</v>
      </c>
      <c r="T21" s="225">
        <v>8634</v>
      </c>
      <c r="V21" s="220">
        <f>V70</f>
        <v>2002</v>
      </c>
      <c r="W21" s="220">
        <v>270</v>
      </c>
      <c r="X21" s="220">
        <v>1359</v>
      </c>
      <c r="Y21" s="220">
        <v>1368</v>
      </c>
      <c r="Z21" s="220">
        <v>2302</v>
      </c>
      <c r="AA21" s="220">
        <v>2004</v>
      </c>
      <c r="AB21" s="220">
        <v>1639</v>
      </c>
      <c r="AC21" s="220">
        <v>12223</v>
      </c>
      <c r="AD21" s="220">
        <v>3291</v>
      </c>
    </row>
    <row r="22" spans="1:30" x14ac:dyDescent="0.2">
      <c r="A22" s="500">
        <v>2003</v>
      </c>
      <c r="B22" s="225">
        <v>242</v>
      </c>
      <c r="C22" s="226">
        <v>194.24603497384655</v>
      </c>
      <c r="D22" s="225">
        <v>875</v>
      </c>
      <c r="E22" s="225">
        <v>39</v>
      </c>
      <c r="F22" s="225">
        <v>690</v>
      </c>
      <c r="G22" s="225">
        <v>57</v>
      </c>
      <c r="H22" s="225">
        <v>1140</v>
      </c>
      <c r="I22" s="225">
        <v>380</v>
      </c>
      <c r="J22" s="226">
        <v>468.84561410503807</v>
      </c>
      <c r="K22" s="225">
        <v>1940</v>
      </c>
      <c r="L22" s="225">
        <v>1934</v>
      </c>
      <c r="M22" s="225">
        <v>1980</v>
      </c>
      <c r="N22" s="225">
        <v>214</v>
      </c>
      <c r="O22" s="225">
        <v>1745</v>
      </c>
      <c r="P22" s="225">
        <f t="shared" si="0"/>
        <v>11899.091649078884</v>
      </c>
      <c r="Q22" s="225">
        <f>'Master escapements'!J36</f>
        <v>1510</v>
      </c>
      <c r="S22" s="220">
        <v>1994</v>
      </c>
      <c r="T22" s="225">
        <v>8690</v>
      </c>
      <c r="V22" s="220">
        <f>V71</f>
        <v>2003</v>
      </c>
      <c r="W22" s="220">
        <v>468.84561410503807</v>
      </c>
      <c r="X22" s="220">
        <v>1940</v>
      </c>
      <c r="Y22" s="220">
        <v>1934</v>
      </c>
      <c r="Z22" s="220">
        <v>1980</v>
      </c>
      <c r="AA22" s="220">
        <v>214</v>
      </c>
      <c r="AB22" s="220">
        <v>1745</v>
      </c>
      <c r="AC22" s="220">
        <v>11899.091649078884</v>
      </c>
      <c r="AD22" s="220">
        <v>1510</v>
      </c>
    </row>
    <row r="23" spans="1:30" x14ac:dyDescent="0.2">
      <c r="A23" s="500">
        <v>2004</v>
      </c>
      <c r="B23" s="225">
        <v>150</v>
      </c>
      <c r="C23" s="225">
        <v>230</v>
      </c>
      <c r="D23" s="225">
        <v>801</v>
      </c>
      <c r="E23" s="225">
        <v>170</v>
      </c>
      <c r="F23" s="225">
        <v>935</v>
      </c>
      <c r="G23" s="225">
        <v>250</v>
      </c>
      <c r="H23" s="225">
        <v>640</v>
      </c>
      <c r="I23" s="225">
        <v>180</v>
      </c>
      <c r="J23" s="225">
        <v>455</v>
      </c>
      <c r="K23" s="225">
        <v>1005</v>
      </c>
      <c r="L23" s="225">
        <v>1200</v>
      </c>
      <c r="M23" s="225">
        <v>1835</v>
      </c>
      <c r="N23" s="225">
        <v>1230</v>
      </c>
      <c r="O23" s="225">
        <v>823</v>
      </c>
      <c r="P23" s="225">
        <f t="shared" si="0"/>
        <v>9904</v>
      </c>
      <c r="Q23" s="225">
        <f>'Master escapements'!J37</f>
        <v>840</v>
      </c>
      <c r="S23" s="220">
        <v>2009</v>
      </c>
      <c r="T23" s="225">
        <v>8709.9845470338514</v>
      </c>
      <c r="V23" s="220">
        <f>V72</f>
        <v>2004</v>
      </c>
      <c r="W23" s="220">
        <v>455</v>
      </c>
      <c r="X23" s="220">
        <v>1005</v>
      </c>
      <c r="Y23" s="220">
        <v>1200</v>
      </c>
      <c r="Z23" s="220">
        <v>1835</v>
      </c>
      <c r="AA23" s="220">
        <v>1230</v>
      </c>
      <c r="AB23" s="220">
        <v>823</v>
      </c>
      <c r="AC23" s="220">
        <v>9904</v>
      </c>
      <c r="AD23" s="220">
        <v>840</v>
      </c>
    </row>
    <row r="24" spans="1:30" x14ac:dyDescent="0.2">
      <c r="A24" s="500">
        <v>2005</v>
      </c>
      <c r="B24" s="225">
        <v>510</v>
      </c>
      <c r="C24" s="225">
        <v>300</v>
      </c>
      <c r="D24" s="225">
        <v>1240</v>
      </c>
      <c r="E24" s="225">
        <v>360</v>
      </c>
      <c r="F24" s="225">
        <v>890</v>
      </c>
      <c r="G24" s="225">
        <v>190</v>
      </c>
      <c r="H24" s="225">
        <v>810</v>
      </c>
      <c r="I24" s="225">
        <v>270</v>
      </c>
      <c r="J24" s="225">
        <v>500</v>
      </c>
      <c r="K24" s="225">
        <v>3680</v>
      </c>
      <c r="L24" s="225">
        <v>3290</v>
      </c>
      <c r="M24" s="225">
        <v>1130</v>
      </c>
      <c r="N24" s="225">
        <v>500</v>
      </c>
      <c r="O24" s="225">
        <v>1170</v>
      </c>
      <c r="P24" s="225">
        <f t="shared" si="0"/>
        <v>14840</v>
      </c>
      <c r="Q24" s="225">
        <f>'Master escapements'!J38</f>
        <v>1732</v>
      </c>
      <c r="S24" s="220">
        <v>1996</v>
      </c>
      <c r="T24" s="225">
        <v>8831</v>
      </c>
      <c r="V24" s="220">
        <v>2005</v>
      </c>
      <c r="W24" s="220">
        <v>500</v>
      </c>
      <c r="X24" s="220">
        <v>3680</v>
      </c>
      <c r="Y24" s="220">
        <v>3290</v>
      </c>
      <c r="Z24" s="220">
        <v>1130</v>
      </c>
      <c r="AA24" s="220">
        <v>500</v>
      </c>
      <c r="AB24" s="220">
        <v>1170</v>
      </c>
      <c r="AC24" s="220">
        <v>14840</v>
      </c>
      <c r="AD24" s="220">
        <v>1732</v>
      </c>
    </row>
    <row r="25" spans="1:30" x14ac:dyDescent="0.2">
      <c r="A25" s="500">
        <v>2006</v>
      </c>
      <c r="B25" s="225">
        <v>165</v>
      </c>
      <c r="C25" s="226">
        <v>112.64748701317497</v>
      </c>
      <c r="D25" s="225">
        <v>190</v>
      </c>
      <c r="E25" s="225">
        <v>176</v>
      </c>
      <c r="F25" s="225">
        <v>280</v>
      </c>
      <c r="G25" s="225">
        <v>30</v>
      </c>
      <c r="H25" s="225">
        <v>405</v>
      </c>
      <c r="I25" s="225">
        <v>130</v>
      </c>
      <c r="J25" s="226">
        <v>271.89373635506757</v>
      </c>
      <c r="K25" s="225">
        <v>2300</v>
      </c>
      <c r="L25" s="225">
        <v>645</v>
      </c>
      <c r="M25" s="225">
        <v>335</v>
      </c>
      <c r="N25" s="225">
        <v>260</v>
      </c>
      <c r="O25" s="225">
        <v>1600</v>
      </c>
      <c r="P25" s="225">
        <f t="shared" si="0"/>
        <v>6900.5412233682428</v>
      </c>
      <c r="Q25" s="225">
        <f>'Master escapements'!J39</f>
        <v>891</v>
      </c>
      <c r="S25" s="220">
        <v>2004</v>
      </c>
      <c r="T25" s="225">
        <v>9904</v>
      </c>
      <c r="V25" s="220">
        <v>2006</v>
      </c>
      <c r="W25" s="220">
        <v>271.89373635506757</v>
      </c>
      <c r="X25" s="220">
        <v>2300</v>
      </c>
      <c r="Y25" s="220">
        <v>645</v>
      </c>
      <c r="Z25" s="220">
        <v>335</v>
      </c>
      <c r="AA25" s="220">
        <v>260</v>
      </c>
      <c r="AB25" s="220">
        <v>1600</v>
      </c>
      <c r="AC25" s="220">
        <v>6900.5412233682428</v>
      </c>
      <c r="AD25" s="220">
        <v>891</v>
      </c>
    </row>
    <row r="26" spans="1:30" x14ac:dyDescent="0.2">
      <c r="A26" s="500">
        <v>2007</v>
      </c>
      <c r="B26" s="225">
        <v>134</v>
      </c>
      <c r="C26" s="225">
        <v>75</v>
      </c>
      <c r="D26" s="226">
        <v>275.79655572674551</v>
      </c>
      <c r="E26" s="225">
        <v>35</v>
      </c>
      <c r="F26" s="225">
        <v>245</v>
      </c>
      <c r="G26" s="225">
        <v>15</v>
      </c>
      <c r="H26" s="225">
        <v>290</v>
      </c>
      <c r="I26" s="225">
        <v>210</v>
      </c>
      <c r="J26" s="226">
        <v>170.06570160065181</v>
      </c>
      <c r="K26" s="225">
        <v>990</v>
      </c>
      <c r="L26" s="225">
        <v>970</v>
      </c>
      <c r="M26" s="225">
        <v>351</v>
      </c>
      <c r="N26" s="225">
        <v>3</v>
      </c>
      <c r="O26" s="226">
        <v>552.32906156702211</v>
      </c>
      <c r="P26" s="225">
        <f t="shared" si="0"/>
        <v>4316.19131889442</v>
      </c>
      <c r="Q26" s="225">
        <f>'Master escapements'!J40</f>
        <v>1244</v>
      </c>
      <c r="S26" s="220">
        <v>2015</v>
      </c>
      <c r="T26" s="225">
        <v>10128.133298386627</v>
      </c>
      <c r="V26" s="220">
        <v>2007</v>
      </c>
      <c r="W26" s="220">
        <v>170.06570160065181</v>
      </c>
      <c r="X26" s="220">
        <v>990</v>
      </c>
      <c r="Y26" s="220">
        <v>970</v>
      </c>
      <c r="Z26" s="220">
        <v>351</v>
      </c>
      <c r="AA26" s="220">
        <v>3</v>
      </c>
      <c r="AB26" s="220">
        <v>552.32906156702211</v>
      </c>
      <c r="AC26" s="220">
        <v>4316.1913188944191</v>
      </c>
      <c r="AD26" s="220">
        <v>1244</v>
      </c>
    </row>
    <row r="27" spans="1:30" x14ac:dyDescent="0.2">
      <c r="A27" s="500">
        <v>2008</v>
      </c>
      <c r="B27" s="225">
        <v>115</v>
      </c>
      <c r="C27" s="225">
        <v>55</v>
      </c>
      <c r="D27" s="225">
        <v>570</v>
      </c>
      <c r="E27" s="225">
        <v>25</v>
      </c>
      <c r="F27" s="225">
        <v>1250</v>
      </c>
      <c r="G27" s="225">
        <v>23</v>
      </c>
      <c r="H27" s="225">
        <v>420</v>
      </c>
      <c r="I27" s="225">
        <v>100</v>
      </c>
      <c r="J27" s="226">
        <v>660.06556179654194</v>
      </c>
      <c r="K27" s="225">
        <v>7100</v>
      </c>
      <c r="L27" s="226">
        <v>2549.1026929514437</v>
      </c>
      <c r="M27" s="225">
        <v>925</v>
      </c>
      <c r="N27" s="225">
        <v>2600</v>
      </c>
      <c r="O27" s="225">
        <v>360</v>
      </c>
      <c r="P27" s="225">
        <f t="shared" si="0"/>
        <v>16752.168254747987</v>
      </c>
      <c r="Q27" s="225">
        <f>'Master escapements'!J41</f>
        <v>1741</v>
      </c>
      <c r="S27" s="220">
        <v>2001</v>
      </c>
      <c r="T27" s="225">
        <v>11267.116943179739</v>
      </c>
      <c r="V27" s="220">
        <v>2008</v>
      </c>
      <c r="W27" s="220">
        <v>660.06556179654194</v>
      </c>
      <c r="X27" s="220">
        <v>7100</v>
      </c>
      <c r="Y27" s="220">
        <v>2549.1026929514437</v>
      </c>
      <c r="Z27" s="220">
        <v>925</v>
      </c>
      <c r="AA27" s="220">
        <v>2600</v>
      </c>
      <c r="AB27" s="220">
        <v>360</v>
      </c>
      <c r="AC27" s="220">
        <v>16752.168254747987</v>
      </c>
      <c r="AD27" s="220">
        <v>1741</v>
      </c>
    </row>
    <row r="28" spans="1:30" x14ac:dyDescent="0.2">
      <c r="A28" s="500">
        <v>2009</v>
      </c>
      <c r="B28" s="226">
        <v>149.30112762608312</v>
      </c>
      <c r="C28" s="225">
        <v>330</v>
      </c>
      <c r="D28" s="225">
        <v>330</v>
      </c>
      <c r="E28" s="225">
        <v>340</v>
      </c>
      <c r="F28" s="225">
        <v>750</v>
      </c>
      <c r="G28" s="225">
        <v>110</v>
      </c>
      <c r="H28" s="225">
        <v>1050</v>
      </c>
      <c r="I28" s="225">
        <v>100</v>
      </c>
      <c r="J28" s="225">
        <v>1100</v>
      </c>
      <c r="K28" s="226">
        <v>1535.6834194077674</v>
      </c>
      <c r="L28" s="225">
        <v>315</v>
      </c>
      <c r="M28" s="225">
        <v>1675</v>
      </c>
      <c r="N28" s="225">
        <v>700</v>
      </c>
      <c r="O28" s="225">
        <v>225</v>
      </c>
      <c r="P28" s="225">
        <f t="shared" si="0"/>
        <v>8709.9845470338514</v>
      </c>
      <c r="Q28" s="225">
        <f>'Master escapements'!J42</f>
        <v>2281</v>
      </c>
      <c r="S28" s="220">
        <v>2013</v>
      </c>
      <c r="T28" s="225">
        <v>11294.848476759547</v>
      </c>
      <c r="V28" s="220">
        <v>2009</v>
      </c>
      <c r="W28" s="220">
        <v>1100</v>
      </c>
      <c r="X28" s="220">
        <v>1535.6834194077674</v>
      </c>
      <c r="Y28" s="220">
        <v>315</v>
      </c>
      <c r="Z28" s="220">
        <v>1675</v>
      </c>
      <c r="AA28" s="220">
        <v>700</v>
      </c>
      <c r="AB28" s="220">
        <v>225</v>
      </c>
      <c r="AC28" s="220">
        <v>8709.9845470338514</v>
      </c>
      <c r="AD28" s="220">
        <v>2281</v>
      </c>
    </row>
    <row r="29" spans="1:30" x14ac:dyDescent="0.2">
      <c r="A29" s="500">
        <v>2010</v>
      </c>
      <c r="B29" s="225">
        <v>85</v>
      </c>
      <c r="C29" s="225">
        <v>102</v>
      </c>
      <c r="D29" s="225">
        <v>370</v>
      </c>
      <c r="E29" s="226">
        <v>61.883918360074595</v>
      </c>
      <c r="F29" s="225">
        <v>880</v>
      </c>
      <c r="G29" s="225">
        <v>90</v>
      </c>
      <c r="H29" s="225">
        <v>570</v>
      </c>
      <c r="I29" s="225">
        <v>190</v>
      </c>
      <c r="J29" s="226">
        <v>179.77084926901085</v>
      </c>
      <c r="K29" s="225">
        <v>350</v>
      </c>
      <c r="L29" s="225">
        <v>550</v>
      </c>
      <c r="M29" s="225">
        <v>350</v>
      </c>
      <c r="N29" s="225">
        <v>200</v>
      </c>
      <c r="O29" s="226">
        <v>583.84885095484003</v>
      </c>
      <c r="P29" s="225">
        <f t="shared" si="0"/>
        <v>4562.5036185839253</v>
      </c>
      <c r="Q29" s="225">
        <f>'Master escapements'!J43</f>
        <v>2878</v>
      </c>
      <c r="S29" s="220">
        <v>2003</v>
      </c>
      <c r="T29" s="225">
        <v>11899.091649078884</v>
      </c>
      <c r="V29" s="220">
        <v>2010</v>
      </c>
      <c r="W29" s="220">
        <v>179.77084926901085</v>
      </c>
      <c r="X29" s="220">
        <v>350</v>
      </c>
      <c r="Y29" s="220">
        <v>550</v>
      </c>
      <c r="Z29" s="220">
        <v>350</v>
      </c>
      <c r="AA29" s="220">
        <v>200</v>
      </c>
      <c r="AB29" s="220">
        <v>583.84885095484003</v>
      </c>
      <c r="AC29" s="220">
        <v>4562.5036185839253</v>
      </c>
      <c r="AD29" s="220">
        <v>2878</v>
      </c>
    </row>
    <row r="30" spans="1:30" x14ac:dyDescent="0.2">
      <c r="A30" s="500">
        <v>2011</v>
      </c>
      <c r="B30" s="389">
        <v>87.383140067170615</v>
      </c>
      <c r="C30" s="389">
        <v>83.218579177972671</v>
      </c>
      <c r="D30" s="225">
        <v>350</v>
      </c>
      <c r="E30" s="389">
        <v>69.144322585927185</v>
      </c>
      <c r="F30" s="225">
        <v>175</v>
      </c>
      <c r="G30" s="389">
        <v>74.126206340912248</v>
      </c>
      <c r="H30" s="225">
        <v>110</v>
      </c>
      <c r="I30" s="225">
        <v>85</v>
      </c>
      <c r="J30" s="389">
        <v>200.86209671254954</v>
      </c>
      <c r="K30" s="225">
        <v>1235</v>
      </c>
      <c r="L30" s="389">
        <v>775.70796196299705</v>
      </c>
      <c r="M30" s="225">
        <v>350</v>
      </c>
      <c r="N30" s="225">
        <v>850</v>
      </c>
      <c r="O30" s="389">
        <v>652.34772414632539</v>
      </c>
      <c r="P30" s="225">
        <f t="shared" si="0"/>
        <v>5097.790030993855</v>
      </c>
      <c r="Q30" s="225">
        <f>'Master escapements'!J44</f>
        <v>2137</v>
      </c>
      <c r="S30" s="220">
        <v>2012</v>
      </c>
      <c r="T30" s="225">
        <v>11960.137442047555</v>
      </c>
      <c r="V30" s="220">
        <v>2011</v>
      </c>
      <c r="W30" s="220">
        <v>200.86209671254954</v>
      </c>
      <c r="X30" s="220">
        <v>1235</v>
      </c>
      <c r="Y30" s="220">
        <v>775.70796196299705</v>
      </c>
      <c r="Z30" s="220">
        <v>350</v>
      </c>
      <c r="AA30" s="220">
        <v>850</v>
      </c>
      <c r="AB30" s="220">
        <v>652.34772414632539</v>
      </c>
      <c r="AC30" s="220">
        <v>5097.7900309938541</v>
      </c>
      <c r="AD30" s="220">
        <v>2137</v>
      </c>
    </row>
    <row r="31" spans="1:30" x14ac:dyDescent="0.2">
      <c r="A31" s="500">
        <v>2012</v>
      </c>
      <c r="B31" s="225">
        <v>25</v>
      </c>
      <c r="C31" s="225">
        <v>60</v>
      </c>
      <c r="D31" s="225">
        <v>400</v>
      </c>
      <c r="E31" s="389">
        <v>162.22237416488286</v>
      </c>
      <c r="F31" s="225">
        <v>170</v>
      </c>
      <c r="G31" s="225">
        <v>40</v>
      </c>
      <c r="H31" s="389">
        <v>702.91506788267293</v>
      </c>
      <c r="I31" s="225">
        <v>110</v>
      </c>
      <c r="J31" s="225">
        <v>330</v>
      </c>
      <c r="K31" s="225">
        <v>2400</v>
      </c>
      <c r="L31" s="225">
        <v>3300</v>
      </c>
      <c r="M31" s="225">
        <v>2650</v>
      </c>
      <c r="N31" s="225">
        <v>360</v>
      </c>
      <c r="O31" s="225">
        <v>1250</v>
      </c>
      <c r="P31" s="225">
        <f t="shared" si="0"/>
        <v>11960.137442047555</v>
      </c>
      <c r="Q31" s="225">
        <f>'Master escapements'!J45</f>
        <v>1908</v>
      </c>
      <c r="S31" s="220">
        <v>2002</v>
      </c>
      <c r="T31" s="225">
        <v>12223</v>
      </c>
      <c r="V31" s="220">
        <v>2012</v>
      </c>
      <c r="W31" s="220">
        <v>330</v>
      </c>
      <c r="X31" s="220">
        <v>2400</v>
      </c>
      <c r="Y31" s="220">
        <v>3300</v>
      </c>
      <c r="Z31" s="220">
        <v>2650</v>
      </c>
      <c r="AA31" s="220">
        <v>360</v>
      </c>
      <c r="AB31" s="220">
        <v>1250</v>
      </c>
      <c r="AC31" s="220">
        <v>11960.137442047555</v>
      </c>
      <c r="AD31" s="220">
        <v>1908</v>
      </c>
    </row>
    <row r="32" spans="1:30" x14ac:dyDescent="0.2">
      <c r="A32" s="500">
        <v>2013</v>
      </c>
      <c r="B32" s="389">
        <v>193.60925440169672</v>
      </c>
      <c r="C32" s="389">
        <v>184.38210224254519</v>
      </c>
      <c r="D32" s="389">
        <v>721.71970080342885</v>
      </c>
      <c r="E32" s="389">
        <v>153.1986688777792</v>
      </c>
      <c r="F32" s="389">
        <v>792.41078252001489</v>
      </c>
      <c r="G32" s="389">
        <v>164.23671119470109</v>
      </c>
      <c r="H32" s="389">
        <v>663.81504578930219</v>
      </c>
      <c r="I32" s="389">
        <v>266.47621093007933</v>
      </c>
      <c r="J32" s="225">
        <v>215</v>
      </c>
      <c r="K32" s="225">
        <v>2140</v>
      </c>
      <c r="L32" s="225">
        <v>1560</v>
      </c>
      <c r="M32" s="225">
        <v>2370</v>
      </c>
      <c r="N32" s="225">
        <v>530</v>
      </c>
      <c r="O32" s="225">
        <v>1340</v>
      </c>
      <c r="P32" s="225">
        <f t="shared" si="0"/>
        <v>11294.848476759547</v>
      </c>
      <c r="Q32" s="225">
        <f>'Master escapements'!J46</f>
        <v>3048</v>
      </c>
      <c r="S32" s="392">
        <v>2016</v>
      </c>
      <c r="T32" s="393">
        <v>13419.975739938032</v>
      </c>
      <c r="V32" s="220">
        <v>2013</v>
      </c>
      <c r="W32" s="220">
        <v>215</v>
      </c>
      <c r="X32" s="220">
        <v>2140</v>
      </c>
      <c r="Y32" s="220">
        <v>1560</v>
      </c>
      <c r="Z32" s="220">
        <v>2370</v>
      </c>
      <c r="AA32" s="220">
        <v>530</v>
      </c>
      <c r="AB32" s="220">
        <v>1340</v>
      </c>
      <c r="AC32" s="220">
        <v>11294.848476759547</v>
      </c>
      <c r="AD32" s="220">
        <v>3048</v>
      </c>
    </row>
    <row r="33" spans="1:30" x14ac:dyDescent="0.2">
      <c r="A33" s="500">
        <v>2014</v>
      </c>
      <c r="B33" s="225">
        <v>425</v>
      </c>
      <c r="C33" s="225">
        <v>80</v>
      </c>
      <c r="D33" s="225">
        <v>660</v>
      </c>
      <c r="E33" s="389">
        <v>226.17132483651807</v>
      </c>
      <c r="F33" s="225">
        <v>1500</v>
      </c>
      <c r="G33" s="389">
        <v>242.46708434383856</v>
      </c>
      <c r="H33" s="225">
        <v>850</v>
      </c>
      <c r="I33" s="225">
        <v>400</v>
      </c>
      <c r="J33" s="225">
        <v>220</v>
      </c>
      <c r="K33" s="225">
        <v>2000</v>
      </c>
      <c r="L33" s="225">
        <v>1300</v>
      </c>
      <c r="M33" s="389">
        <v>2661.1906885281237</v>
      </c>
      <c r="N33" s="226">
        <v>1110.060215081988</v>
      </c>
      <c r="O33" s="225">
        <v>5000</v>
      </c>
      <c r="P33" s="225">
        <f t="shared" si="0"/>
        <v>16674.889312790467</v>
      </c>
      <c r="Q33" s="225">
        <f>'Master escapements'!J47</f>
        <v>4110</v>
      </c>
      <c r="S33" s="220">
        <v>2005</v>
      </c>
      <c r="T33" s="225">
        <v>14840</v>
      </c>
      <c r="V33" s="220">
        <v>2014</v>
      </c>
      <c r="W33" s="220">
        <v>220</v>
      </c>
      <c r="X33" s="220">
        <v>2000</v>
      </c>
      <c r="Y33" s="220">
        <v>1300</v>
      </c>
      <c r="Z33" s="220">
        <v>2661.1906885281237</v>
      </c>
      <c r="AA33" s="220">
        <v>1110.060215081988</v>
      </c>
      <c r="AB33" s="220">
        <v>5000</v>
      </c>
      <c r="AC33" s="220">
        <v>16674.889312790467</v>
      </c>
      <c r="AD33" s="220">
        <v>4110</v>
      </c>
    </row>
    <row r="34" spans="1:30" x14ac:dyDescent="0.2">
      <c r="A34" s="500">
        <v>2015</v>
      </c>
      <c r="B34" s="225">
        <v>20</v>
      </c>
      <c r="C34" s="225">
        <v>200</v>
      </c>
      <c r="D34" s="225">
        <v>550</v>
      </c>
      <c r="E34" s="389">
        <v>136.13977605018297</v>
      </c>
      <c r="F34" s="225">
        <v>1200</v>
      </c>
      <c r="G34" s="389">
        <v>241.99352233644294</v>
      </c>
      <c r="H34" s="225">
        <v>550</v>
      </c>
      <c r="I34" s="225">
        <v>200</v>
      </c>
      <c r="J34" s="225">
        <v>450</v>
      </c>
      <c r="K34" s="225">
        <v>2310</v>
      </c>
      <c r="L34" s="225">
        <v>1470</v>
      </c>
      <c r="M34" s="225">
        <v>1555</v>
      </c>
      <c r="N34" s="225">
        <v>210</v>
      </c>
      <c r="O34" s="225">
        <v>1035</v>
      </c>
      <c r="P34" s="225">
        <f t="shared" si="0"/>
        <v>10128.133298386627</v>
      </c>
      <c r="Q34" s="225">
        <f>'Master escapements'!J48</f>
        <v>956</v>
      </c>
      <c r="S34" s="220">
        <v>2014</v>
      </c>
      <c r="T34" s="225">
        <v>16674.889312790467</v>
      </c>
      <c r="V34" s="220">
        <v>2015</v>
      </c>
      <c r="W34" s="220">
        <v>450</v>
      </c>
      <c r="X34" s="220">
        <v>2310</v>
      </c>
      <c r="Y34" s="220">
        <v>1470</v>
      </c>
      <c r="Z34" s="220">
        <v>1555</v>
      </c>
      <c r="AA34" s="220">
        <v>210</v>
      </c>
      <c r="AB34" s="220">
        <v>1035</v>
      </c>
      <c r="AC34" s="220">
        <v>10128.133298386627</v>
      </c>
      <c r="AD34" s="220">
        <v>956</v>
      </c>
    </row>
    <row r="35" spans="1:30" x14ac:dyDescent="0.2">
      <c r="A35" s="502">
        <v>2016</v>
      </c>
      <c r="B35" s="393">
        <v>160</v>
      </c>
      <c r="C35" s="393">
        <v>25</v>
      </c>
      <c r="D35" s="393">
        <v>810</v>
      </c>
      <c r="E35" s="393">
        <v>450</v>
      </c>
      <c r="F35" s="393">
        <v>370</v>
      </c>
      <c r="G35" s="393">
        <v>90</v>
      </c>
      <c r="H35" s="393">
        <v>540</v>
      </c>
      <c r="I35" s="457">
        <v>314.97573993803303</v>
      </c>
      <c r="J35" s="393">
        <v>750</v>
      </c>
      <c r="K35" s="393">
        <v>3070</v>
      </c>
      <c r="L35" s="393">
        <v>2470</v>
      </c>
      <c r="M35" s="393">
        <v>2120</v>
      </c>
      <c r="N35" s="393">
        <v>280</v>
      </c>
      <c r="O35" s="393">
        <v>1970</v>
      </c>
      <c r="P35" s="393">
        <f t="shared" si="0"/>
        <v>13419.975739938032</v>
      </c>
      <c r="Q35" s="225">
        <f>'Master escapements'!J49</f>
        <v>948</v>
      </c>
      <c r="S35" s="222">
        <v>2008</v>
      </c>
      <c r="T35" s="224">
        <v>16752.168254747987</v>
      </c>
      <c r="V35" s="220">
        <v>2016</v>
      </c>
      <c r="W35" s="220">
        <v>750</v>
      </c>
      <c r="X35" s="220">
        <v>3070</v>
      </c>
      <c r="Y35" s="220">
        <v>2470</v>
      </c>
      <c r="Z35" s="220">
        <v>2120</v>
      </c>
      <c r="AA35" s="220">
        <v>280</v>
      </c>
      <c r="AB35" s="220">
        <v>1970</v>
      </c>
      <c r="AC35" s="220">
        <v>13419.975739938032</v>
      </c>
      <c r="AD35" s="220">
        <v>948</v>
      </c>
    </row>
    <row r="36" spans="1:30" x14ac:dyDescent="0.2">
      <c r="A36" s="502">
        <v>2017</v>
      </c>
      <c r="B36" s="393">
        <v>40</v>
      </c>
      <c r="C36" s="457">
        <v>167.02226394639646</v>
      </c>
      <c r="D36" s="393">
        <v>540</v>
      </c>
      <c r="E36" s="393">
        <v>280</v>
      </c>
      <c r="F36" s="393">
        <v>850</v>
      </c>
      <c r="G36" s="393">
        <v>20</v>
      </c>
      <c r="H36" s="393">
        <v>100</v>
      </c>
      <c r="I36" s="393">
        <v>240</v>
      </c>
      <c r="J36" s="393">
        <v>285</v>
      </c>
      <c r="K36" s="393">
        <v>3100</v>
      </c>
      <c r="L36" s="393">
        <v>2450</v>
      </c>
      <c r="M36" s="393">
        <v>1675</v>
      </c>
      <c r="N36" s="393">
        <v>830</v>
      </c>
      <c r="O36" s="393">
        <v>980</v>
      </c>
      <c r="P36" s="393">
        <f t="shared" ref="P36" si="1">SUM(B36:O36)</f>
        <v>11557.022263946397</v>
      </c>
      <c r="Q36" s="393">
        <f>'Master escapements'!J49</f>
        <v>948</v>
      </c>
      <c r="S36" s="392"/>
      <c r="T36" s="393"/>
    </row>
    <row r="37" spans="1:30" x14ac:dyDescent="0.2">
      <c r="A37" s="501">
        <v>2017</v>
      </c>
      <c r="B37" s="224">
        <v>76</v>
      </c>
      <c r="C37" s="224">
        <v>55</v>
      </c>
      <c r="D37" s="224">
        <v>280</v>
      </c>
      <c r="E37" s="224">
        <v>70</v>
      </c>
      <c r="F37" s="224">
        <v>610</v>
      </c>
      <c r="G37" s="224">
        <v>0</v>
      </c>
      <c r="H37" s="224">
        <v>595</v>
      </c>
      <c r="I37" s="224">
        <v>110</v>
      </c>
      <c r="J37" s="517">
        <v>530.90712766906972</v>
      </c>
      <c r="K37" s="224">
        <v>3100</v>
      </c>
      <c r="L37" s="224">
        <v>3300</v>
      </c>
      <c r="M37" s="224">
        <v>1750</v>
      </c>
      <c r="N37" s="517">
        <v>882.94247728081552</v>
      </c>
      <c r="O37" s="224">
        <v>2700</v>
      </c>
      <c r="P37" s="224">
        <f t="shared" si="0"/>
        <v>14059.849604949886</v>
      </c>
      <c r="Q37" s="224">
        <f>'Master escapements'!J50</f>
        <v>1266</v>
      </c>
    </row>
    <row r="38" spans="1:30" x14ac:dyDescent="0.2">
      <c r="A38" s="501" t="s">
        <v>32</v>
      </c>
      <c r="B38" s="224">
        <f>AVERAGE(B6:B37)</f>
        <v>142.8841725654672</v>
      </c>
      <c r="C38" s="224">
        <f t="shared" ref="C38:P38" si="2">AVERAGE(C6:C37)</f>
        <v>131.08651269282026</v>
      </c>
      <c r="D38" s="224">
        <f t="shared" si="2"/>
        <v>537.39113301656789</v>
      </c>
      <c r="E38" s="224">
        <f t="shared" si="2"/>
        <v>131.55479530288125</v>
      </c>
      <c r="F38" s="224">
        <f t="shared" si="2"/>
        <v>634.14718471074445</v>
      </c>
      <c r="G38" s="224">
        <f t="shared" si="2"/>
        <v>120.67102289567492</v>
      </c>
      <c r="H38" s="224">
        <f t="shared" si="2"/>
        <v>494.98973140874995</v>
      </c>
      <c r="I38" s="224">
        <f t="shared" si="2"/>
        <v>205.17955071607551</v>
      </c>
      <c r="J38" s="224">
        <f t="shared" si="2"/>
        <v>346.51974787552115</v>
      </c>
      <c r="K38" s="224">
        <f t="shared" si="2"/>
        <v>1662.3026068564927</v>
      </c>
      <c r="L38" s="224">
        <f t="shared" si="2"/>
        <v>1411.8211739075659</v>
      </c>
      <c r="M38" s="224">
        <f t="shared" si="2"/>
        <v>1425.5684590165038</v>
      </c>
      <c r="N38" s="224">
        <f t="shared" si="2"/>
        <v>570.9375841363377</v>
      </c>
      <c r="O38" s="224">
        <f>AVERAGE(O6:O37)</f>
        <v>1263.6356937052706</v>
      </c>
      <c r="P38" s="224">
        <f t="shared" si="2"/>
        <v>9078.6893688066721</v>
      </c>
      <c r="Q38" s="224">
        <f>AVERAGE(Q6:Q37)</f>
        <v>1511.90625</v>
      </c>
      <c r="V38" s="220" t="s">
        <v>32</v>
      </c>
      <c r="W38" s="220">
        <f t="shared" ref="W38:AD38" si="3">AVERAGE(W6:W35)</f>
        <v>342.42416014492022</v>
      </c>
      <c r="X38" s="220">
        <f t="shared" si="3"/>
        <v>1566.4561139802588</v>
      </c>
      <c r="Y38" s="220">
        <f t="shared" si="3"/>
        <v>1314.275918834737</v>
      </c>
      <c r="Z38" s="220">
        <f t="shared" si="3"/>
        <v>1406.439689617604</v>
      </c>
      <c r="AA38" s="220">
        <f t="shared" si="3"/>
        <v>551.90200716939967</v>
      </c>
      <c r="AB38" s="220">
        <f t="shared" si="3"/>
        <v>1225.2114066189554</v>
      </c>
      <c r="AC38" s="220">
        <f t="shared" si="3"/>
        <v>8830.0395977639073</v>
      </c>
      <c r="AD38" s="220">
        <f t="shared" si="3"/>
        <v>1538.9</v>
      </c>
    </row>
    <row r="39" spans="1:30" x14ac:dyDescent="0.2">
      <c r="A39" s="500" t="s">
        <v>115</v>
      </c>
      <c r="B39" s="223"/>
      <c r="C39" s="223"/>
      <c r="D39" s="223"/>
      <c r="E39" s="223"/>
      <c r="F39" s="223"/>
      <c r="G39" s="223"/>
      <c r="H39" s="223"/>
      <c r="I39" s="223"/>
      <c r="J39" s="223"/>
      <c r="K39" s="223"/>
      <c r="L39" s="223"/>
      <c r="M39" s="223"/>
      <c r="N39" s="223"/>
      <c r="O39" s="223"/>
      <c r="P39" s="223"/>
      <c r="Q39" s="223"/>
      <c r="V39" s="220" t="s">
        <v>114</v>
      </c>
    </row>
    <row r="40" spans="1:30" x14ac:dyDescent="0.2">
      <c r="A40" s="500" t="s">
        <v>113</v>
      </c>
      <c r="B40" s="223"/>
      <c r="C40" s="223"/>
      <c r="D40" s="223"/>
      <c r="E40" s="223"/>
      <c r="F40" s="223"/>
      <c r="G40" s="223"/>
      <c r="H40" s="223"/>
      <c r="I40" s="223"/>
      <c r="J40" s="223"/>
      <c r="K40" s="223"/>
      <c r="L40" s="223"/>
      <c r="M40" s="223"/>
      <c r="N40" s="223"/>
      <c r="O40" s="223"/>
      <c r="P40" s="225">
        <v>5100</v>
      </c>
      <c r="Q40" s="225">
        <v>850</v>
      </c>
      <c r="S40" s="220">
        <f>COUNT(T6:T35)</f>
        <v>30</v>
      </c>
    </row>
    <row r="41" spans="1:30" x14ac:dyDescent="0.2">
      <c r="A41" s="500" t="s">
        <v>7</v>
      </c>
      <c r="B41" s="223"/>
      <c r="C41" s="223"/>
      <c r="D41" s="223"/>
      <c r="E41" s="223"/>
      <c r="F41" s="223"/>
      <c r="G41" s="223"/>
      <c r="H41" s="223"/>
      <c r="I41" s="223"/>
      <c r="J41" s="223"/>
      <c r="K41" s="223"/>
      <c r="L41" s="223"/>
      <c r="M41" s="223"/>
      <c r="N41" s="223"/>
      <c r="O41" s="223"/>
      <c r="P41" s="225">
        <v>4250</v>
      </c>
      <c r="Q41" s="225">
        <v>500</v>
      </c>
      <c r="S41" s="220">
        <f>COUNT(T7:T19)</f>
        <v>13</v>
      </c>
    </row>
    <row r="42" spans="1:30" x14ac:dyDescent="0.2">
      <c r="A42" s="501" t="s">
        <v>6</v>
      </c>
      <c r="B42" s="221"/>
      <c r="C42" s="221"/>
      <c r="D42" s="221"/>
      <c r="E42" s="221"/>
      <c r="F42" s="221"/>
      <c r="G42" s="221"/>
      <c r="H42" s="221"/>
      <c r="I42" s="221"/>
      <c r="J42" s="221"/>
      <c r="K42" s="221"/>
      <c r="L42" s="221"/>
      <c r="M42" s="221"/>
      <c r="N42" s="221"/>
      <c r="O42" s="221"/>
      <c r="P42" s="224">
        <v>8500</v>
      </c>
      <c r="Q42" s="224">
        <v>1600</v>
      </c>
      <c r="S42" s="220">
        <f>COUNT(T20:T35)</f>
        <v>16</v>
      </c>
    </row>
    <row r="45" spans="1:30" x14ac:dyDescent="0.2">
      <c r="A45" s="220">
        <v>2008</v>
      </c>
      <c r="B45" s="225">
        <v>16752.168254747987</v>
      </c>
    </row>
    <row r="46" spans="1:30" x14ac:dyDescent="0.2">
      <c r="A46" s="220">
        <v>2014</v>
      </c>
      <c r="B46" s="225">
        <v>16674.889312790467</v>
      </c>
    </row>
    <row r="47" spans="1:30" x14ac:dyDescent="0.2">
      <c r="A47" s="220">
        <v>2005</v>
      </c>
      <c r="B47" s="225">
        <v>14840</v>
      </c>
      <c r="P47" s="315"/>
      <c r="Q47" s="315"/>
    </row>
    <row r="48" spans="1:30" x14ac:dyDescent="0.2">
      <c r="A48" s="392">
        <v>2016</v>
      </c>
      <c r="B48" s="393">
        <v>13419.975739938032</v>
      </c>
      <c r="O48" s="315"/>
      <c r="P48" s="315"/>
    </row>
    <row r="49" spans="1:30" x14ac:dyDescent="0.2">
      <c r="A49" s="220">
        <v>2002</v>
      </c>
      <c r="B49" s="225">
        <v>12223</v>
      </c>
      <c r="K49" s="315"/>
      <c r="M49" s="315"/>
      <c r="P49" s="315"/>
    </row>
    <row r="50" spans="1:30" x14ac:dyDescent="0.2">
      <c r="A50" s="220">
        <v>2012</v>
      </c>
      <c r="B50" s="225">
        <v>11960.137442047555</v>
      </c>
      <c r="P50" s="315"/>
    </row>
    <row r="51" spans="1:30" x14ac:dyDescent="0.2">
      <c r="A51" s="220">
        <v>2003</v>
      </c>
      <c r="B51" s="225">
        <v>11899.091649078884</v>
      </c>
      <c r="P51" s="315"/>
      <c r="Q51" s="315"/>
      <c r="V51" s="220" t="s">
        <v>112</v>
      </c>
    </row>
    <row r="52" spans="1:30" x14ac:dyDescent="0.2">
      <c r="A52" s="220">
        <v>2013</v>
      </c>
      <c r="B52" s="225">
        <v>11294.848476759547</v>
      </c>
      <c r="M52" s="315"/>
      <c r="O52" s="315"/>
      <c r="P52" s="315"/>
      <c r="Q52" s="315"/>
    </row>
    <row r="53" spans="1:30" x14ac:dyDescent="0.2">
      <c r="A53" s="220">
        <v>2001</v>
      </c>
      <c r="B53" s="225">
        <v>11267.116943179739</v>
      </c>
      <c r="M53" s="315"/>
      <c r="O53" s="315"/>
      <c r="P53" s="315"/>
      <c r="W53" s="220" t="s">
        <v>111</v>
      </c>
      <c r="X53" s="220" t="s">
        <v>110</v>
      </c>
      <c r="Y53" s="220" t="s">
        <v>109</v>
      </c>
      <c r="Z53" s="220" t="s">
        <v>108</v>
      </c>
      <c r="AA53" s="220" t="s">
        <v>107</v>
      </c>
      <c r="AB53" s="220" t="s">
        <v>106</v>
      </c>
      <c r="AC53" s="220" t="s">
        <v>105</v>
      </c>
      <c r="AD53" s="220" t="s">
        <v>104</v>
      </c>
    </row>
    <row r="54" spans="1:30" x14ac:dyDescent="0.2">
      <c r="A54" s="220">
        <v>2015</v>
      </c>
      <c r="B54" s="225">
        <v>10128.133298386627</v>
      </c>
      <c r="L54" s="315"/>
      <c r="M54" s="315"/>
      <c r="P54" s="315"/>
      <c r="Q54" s="315"/>
      <c r="V54" s="220" t="s">
        <v>3</v>
      </c>
      <c r="W54" s="220" t="s">
        <v>103</v>
      </c>
      <c r="X54" s="220" t="s">
        <v>98</v>
      </c>
      <c r="Y54" s="220" t="s">
        <v>102</v>
      </c>
      <c r="Z54" s="220" t="s">
        <v>101</v>
      </c>
      <c r="AA54" s="220" t="s">
        <v>100</v>
      </c>
      <c r="AB54" s="220" t="s">
        <v>99</v>
      </c>
      <c r="AC54" s="220" t="s">
        <v>98</v>
      </c>
      <c r="AD54" s="220" t="s">
        <v>97</v>
      </c>
    </row>
    <row r="55" spans="1:30" x14ac:dyDescent="0.2">
      <c r="A55" s="220">
        <v>2004</v>
      </c>
      <c r="B55" s="225">
        <v>9904</v>
      </c>
      <c r="L55" s="315"/>
      <c r="M55" s="315"/>
      <c r="O55" s="315"/>
      <c r="P55" s="315"/>
      <c r="Q55" s="315"/>
      <c r="V55" s="220">
        <v>1987</v>
      </c>
      <c r="W55" s="220">
        <v>92</v>
      </c>
      <c r="X55" s="220">
        <v>78.222337062943296</v>
      </c>
      <c r="Y55" s="220">
        <v>154</v>
      </c>
      <c r="Z55" s="220">
        <v>64.99306481683567</v>
      </c>
      <c r="AA55" s="220">
        <v>336.17266871652299</v>
      </c>
      <c r="AB55" s="220">
        <v>69.675848350153643</v>
      </c>
      <c r="AC55" s="220">
        <v>281.61716171512978</v>
      </c>
      <c r="AD55" s="220">
        <v>113.04997477937874</v>
      </c>
    </row>
    <row r="56" spans="1:30" x14ac:dyDescent="0.2">
      <c r="A56" s="220">
        <v>1996</v>
      </c>
      <c r="B56" s="225">
        <v>8831</v>
      </c>
      <c r="L56" s="315"/>
      <c r="M56" s="315"/>
      <c r="O56" s="315"/>
      <c r="P56" s="315"/>
      <c r="V56" s="220">
        <v>1988</v>
      </c>
      <c r="W56" s="220">
        <v>72</v>
      </c>
      <c r="X56" s="220">
        <v>150</v>
      </c>
      <c r="Y56" s="220">
        <v>205</v>
      </c>
      <c r="Z56" s="220">
        <v>20</v>
      </c>
      <c r="AA56" s="220">
        <v>300</v>
      </c>
      <c r="AB56" s="220">
        <v>50</v>
      </c>
      <c r="AC56" s="220">
        <v>175</v>
      </c>
      <c r="AD56" s="220">
        <v>150</v>
      </c>
    </row>
    <row r="57" spans="1:30" x14ac:dyDescent="0.2">
      <c r="A57" s="220">
        <v>2009</v>
      </c>
      <c r="B57" s="225">
        <v>8709.9845470338514</v>
      </c>
      <c r="K57" s="315"/>
      <c r="P57" s="315"/>
      <c r="V57" s="220">
        <v>1989</v>
      </c>
      <c r="W57" s="220">
        <v>75</v>
      </c>
      <c r="X57" s="220">
        <v>101</v>
      </c>
      <c r="Y57" s="220">
        <v>290</v>
      </c>
      <c r="Z57" s="220">
        <v>15</v>
      </c>
      <c r="AA57" s="220">
        <v>925</v>
      </c>
      <c r="AB57" s="220">
        <v>450</v>
      </c>
      <c r="AC57" s="220">
        <v>510</v>
      </c>
      <c r="AD57" s="220">
        <v>200</v>
      </c>
    </row>
    <row r="58" spans="1:30" x14ac:dyDescent="0.2">
      <c r="A58" s="220">
        <v>1994</v>
      </c>
      <c r="B58" s="225">
        <v>8690</v>
      </c>
      <c r="K58" s="315"/>
      <c r="L58" s="315"/>
      <c r="M58" s="315"/>
      <c r="P58" s="315"/>
      <c r="V58" s="220">
        <v>1990</v>
      </c>
      <c r="W58" s="220">
        <v>150</v>
      </c>
      <c r="X58" s="220">
        <v>30</v>
      </c>
      <c r="Y58" s="220">
        <v>235</v>
      </c>
      <c r="Z58" s="220">
        <v>150</v>
      </c>
      <c r="AA58" s="220">
        <v>241.59147826983886</v>
      </c>
      <c r="AB58" s="220">
        <v>50.072753584828334</v>
      </c>
      <c r="AC58" s="220">
        <v>35</v>
      </c>
      <c r="AD58" s="220">
        <v>81.243697266925651</v>
      </c>
    </row>
    <row r="59" spans="1:30" x14ac:dyDescent="0.2">
      <c r="A59" s="220">
        <v>2000</v>
      </c>
      <c r="B59" s="225">
        <v>8634</v>
      </c>
      <c r="L59" s="315"/>
      <c r="M59" s="315"/>
      <c r="P59" s="315"/>
      <c r="Q59" s="315"/>
      <c r="V59" s="220">
        <v>1991</v>
      </c>
      <c r="W59" s="220">
        <v>245</v>
      </c>
      <c r="X59" s="220">
        <v>50</v>
      </c>
      <c r="Y59" s="220">
        <v>285</v>
      </c>
      <c r="Z59" s="220">
        <v>50</v>
      </c>
      <c r="AA59" s="220">
        <v>550</v>
      </c>
      <c r="AB59" s="220">
        <v>100</v>
      </c>
      <c r="AC59" s="220">
        <v>300</v>
      </c>
      <c r="AD59" s="220">
        <v>220</v>
      </c>
    </row>
    <row r="60" spans="1:30" x14ac:dyDescent="0.2">
      <c r="A60" s="220">
        <v>1995</v>
      </c>
      <c r="B60" s="225">
        <v>8627</v>
      </c>
      <c r="K60" s="315"/>
      <c r="L60" s="315"/>
      <c r="M60" s="315"/>
      <c r="O60" s="315"/>
      <c r="P60" s="315"/>
      <c r="V60" s="220">
        <v>1992</v>
      </c>
      <c r="W60" s="220">
        <v>115</v>
      </c>
      <c r="X60" s="220">
        <v>270</v>
      </c>
      <c r="Y60" s="220">
        <v>860</v>
      </c>
      <c r="Z60" s="220">
        <v>90</v>
      </c>
      <c r="AA60" s="220">
        <v>675</v>
      </c>
      <c r="AB60" s="220">
        <v>100</v>
      </c>
      <c r="AC60" s="220">
        <v>250</v>
      </c>
      <c r="AD60" s="220">
        <v>150</v>
      </c>
    </row>
    <row r="61" spans="1:30" x14ac:dyDescent="0.2">
      <c r="A61" s="220">
        <v>1999</v>
      </c>
      <c r="B61" s="225">
        <v>8038</v>
      </c>
      <c r="F61" s="315"/>
      <c r="K61" s="315"/>
      <c r="L61" s="315"/>
      <c r="M61" s="315"/>
      <c r="O61" s="315"/>
      <c r="P61" s="315"/>
      <c r="Q61" s="315"/>
      <c r="V61" s="220">
        <v>1993</v>
      </c>
      <c r="W61" s="220">
        <v>90</v>
      </c>
      <c r="X61" s="220">
        <v>175</v>
      </c>
      <c r="Y61" s="220">
        <v>460</v>
      </c>
      <c r="Z61" s="220">
        <v>50</v>
      </c>
      <c r="AA61" s="220">
        <v>475</v>
      </c>
      <c r="AB61" s="220">
        <v>325</v>
      </c>
      <c r="AC61" s="220">
        <v>110</v>
      </c>
      <c r="AD61" s="220">
        <v>300</v>
      </c>
    </row>
    <row r="62" spans="1:30" x14ac:dyDescent="0.2">
      <c r="A62" s="220">
        <v>1993</v>
      </c>
      <c r="B62" s="225">
        <v>7270</v>
      </c>
      <c r="D62" s="315"/>
      <c r="K62" s="315"/>
      <c r="L62" s="315"/>
      <c r="M62" s="315"/>
      <c r="N62" s="315"/>
      <c r="O62" s="315"/>
      <c r="P62" s="315"/>
      <c r="Q62" s="315"/>
      <c r="V62" s="220">
        <v>1994</v>
      </c>
      <c r="W62" s="220">
        <v>265</v>
      </c>
      <c r="X62" s="220">
        <v>220</v>
      </c>
      <c r="Y62" s="220">
        <v>755</v>
      </c>
      <c r="Z62" s="220">
        <v>200</v>
      </c>
      <c r="AA62" s="220">
        <v>560</v>
      </c>
      <c r="AB62" s="220">
        <v>175</v>
      </c>
      <c r="AC62" s="220">
        <v>325</v>
      </c>
      <c r="AD62" s="220">
        <v>225</v>
      </c>
    </row>
    <row r="63" spans="1:30" x14ac:dyDescent="0.2">
      <c r="A63" s="220">
        <v>1998</v>
      </c>
      <c r="B63" s="225">
        <v>7094.5375401263209</v>
      </c>
      <c r="H63" s="315"/>
      <c r="K63" s="315"/>
      <c r="L63" s="315"/>
      <c r="M63" s="315"/>
      <c r="O63" s="315"/>
      <c r="P63" s="315"/>
      <c r="Q63" s="315"/>
      <c r="V63" s="220">
        <v>1995</v>
      </c>
      <c r="W63" s="220">
        <v>250</v>
      </c>
      <c r="X63" s="220">
        <v>94</v>
      </c>
      <c r="Y63" s="220">
        <v>435</v>
      </c>
      <c r="Z63" s="220">
        <v>165</v>
      </c>
      <c r="AA63" s="220">
        <v>600</v>
      </c>
      <c r="AB63" s="220">
        <v>220</v>
      </c>
      <c r="AC63" s="220">
        <v>415</v>
      </c>
      <c r="AD63" s="220">
        <v>180</v>
      </c>
    </row>
    <row r="64" spans="1:30" x14ac:dyDescent="0.2">
      <c r="A64" s="220">
        <v>1992</v>
      </c>
      <c r="B64" s="225">
        <v>7017</v>
      </c>
      <c r="K64" s="315"/>
      <c r="L64" s="315"/>
      <c r="M64" s="315"/>
      <c r="N64" s="315"/>
      <c r="P64" s="315"/>
      <c r="V64" s="220">
        <v>1996</v>
      </c>
      <c r="W64" s="220">
        <v>94</v>
      </c>
      <c r="X64" s="220">
        <v>92</v>
      </c>
      <c r="Y64" s="220">
        <v>383</v>
      </c>
      <c r="Z64" s="220">
        <v>40</v>
      </c>
      <c r="AA64" s="220">
        <v>570</v>
      </c>
      <c r="AB64" s="220">
        <v>230</v>
      </c>
      <c r="AC64" s="220">
        <v>457</v>
      </c>
      <c r="AD64" s="220">
        <v>220</v>
      </c>
    </row>
    <row r="65" spans="1:30" x14ac:dyDescent="0.2">
      <c r="A65" s="220">
        <v>2006</v>
      </c>
      <c r="B65" s="225">
        <v>6900.5412233682428</v>
      </c>
      <c r="D65" s="315"/>
      <c r="K65" s="315"/>
      <c r="L65" s="315"/>
      <c r="M65" s="315"/>
      <c r="O65" s="315"/>
      <c r="P65" s="315"/>
      <c r="Q65" s="315"/>
      <c r="V65" s="220">
        <v>1997</v>
      </c>
      <c r="W65" s="220">
        <v>75</v>
      </c>
      <c r="X65" s="220">
        <v>82.029601753369761</v>
      </c>
      <c r="Y65" s="220">
        <v>420</v>
      </c>
      <c r="Z65" s="220">
        <v>60</v>
      </c>
      <c r="AA65" s="220">
        <v>352.53498123744612</v>
      </c>
      <c r="AB65" s="220">
        <v>73.06713535911976</v>
      </c>
      <c r="AC65" s="220">
        <v>295.3241296928926</v>
      </c>
      <c r="AD65" s="220">
        <v>175</v>
      </c>
    </row>
    <row r="66" spans="1:30" x14ac:dyDescent="0.2">
      <c r="A66" s="220">
        <v>1989</v>
      </c>
      <c r="B66" s="225">
        <v>6761</v>
      </c>
      <c r="K66" s="315"/>
      <c r="O66" s="315"/>
      <c r="P66" s="315"/>
      <c r="V66" s="220">
        <v>1998</v>
      </c>
      <c r="W66" s="220">
        <v>94</v>
      </c>
      <c r="X66" s="220">
        <v>130</v>
      </c>
      <c r="Y66" s="220">
        <v>460</v>
      </c>
      <c r="Z66" s="220">
        <v>120</v>
      </c>
      <c r="AA66" s="220">
        <v>304</v>
      </c>
      <c r="AB66" s="220">
        <v>50</v>
      </c>
      <c r="AC66" s="220">
        <v>411</v>
      </c>
      <c r="AD66" s="220">
        <v>190</v>
      </c>
    </row>
    <row r="67" spans="1:30" x14ac:dyDescent="0.2">
      <c r="A67" s="220">
        <v>1991</v>
      </c>
      <c r="B67" s="225">
        <v>5721</v>
      </c>
      <c r="P67" s="315"/>
      <c r="Q67" s="315"/>
      <c r="V67" s="220">
        <v>1999</v>
      </c>
      <c r="W67" s="220">
        <v>75</v>
      </c>
      <c r="X67" s="220">
        <v>127</v>
      </c>
      <c r="Y67" s="220">
        <v>657</v>
      </c>
      <c r="Z67" s="220">
        <v>150</v>
      </c>
      <c r="AA67" s="220">
        <v>356</v>
      </c>
      <c r="AB67" s="220">
        <v>25</v>
      </c>
      <c r="AC67" s="220">
        <v>627</v>
      </c>
      <c r="AD67" s="220">
        <v>225</v>
      </c>
    </row>
    <row r="68" spans="1:30" x14ac:dyDescent="0.2">
      <c r="A68" s="220">
        <v>2011</v>
      </c>
      <c r="B68" s="225">
        <v>5097.790030993855</v>
      </c>
      <c r="F68" s="315"/>
      <c r="K68" s="315"/>
      <c r="L68" s="315"/>
      <c r="N68" s="315"/>
      <c r="P68" s="315"/>
      <c r="Q68" s="315"/>
      <c r="V68" s="220">
        <v>2000</v>
      </c>
      <c r="W68" s="220">
        <v>135</v>
      </c>
      <c r="X68" s="220">
        <v>94</v>
      </c>
      <c r="Y68" s="220">
        <v>600</v>
      </c>
      <c r="Z68" s="220">
        <v>110</v>
      </c>
      <c r="AA68" s="220">
        <v>380</v>
      </c>
      <c r="AB68" s="220">
        <v>72</v>
      </c>
      <c r="AC68" s="220">
        <v>620</v>
      </c>
      <c r="AD68" s="220">
        <v>180</v>
      </c>
    </row>
    <row r="69" spans="1:30" x14ac:dyDescent="0.2">
      <c r="A69" s="220">
        <v>1997</v>
      </c>
      <c r="B69" s="225">
        <v>5024.9558480428277</v>
      </c>
      <c r="H69" s="315"/>
      <c r="J69" s="315"/>
      <c r="K69" s="315"/>
      <c r="M69" s="315"/>
      <c r="P69" s="315"/>
      <c r="Q69" s="315"/>
      <c r="V69" s="220">
        <v>2001</v>
      </c>
      <c r="W69" s="220">
        <v>80</v>
      </c>
      <c r="X69" s="220">
        <v>110</v>
      </c>
      <c r="Y69" s="220">
        <v>929</v>
      </c>
      <c r="Z69" s="220">
        <v>151</v>
      </c>
      <c r="AA69" s="220">
        <v>1140</v>
      </c>
      <c r="AB69" s="220">
        <v>163.83347115160157</v>
      </c>
      <c r="AC69" s="220">
        <v>891</v>
      </c>
      <c r="AD69" s="220">
        <v>450</v>
      </c>
    </row>
    <row r="70" spans="1:30" x14ac:dyDescent="0.2">
      <c r="A70" s="220">
        <v>1988</v>
      </c>
      <c r="B70" s="225">
        <v>5007</v>
      </c>
      <c r="P70" s="315"/>
      <c r="Q70" s="315"/>
      <c r="V70" s="220">
        <v>2002</v>
      </c>
      <c r="W70" s="220">
        <v>88</v>
      </c>
      <c r="X70" s="220">
        <v>138</v>
      </c>
      <c r="Y70" s="220">
        <v>1105</v>
      </c>
      <c r="Z70" s="220">
        <v>20</v>
      </c>
      <c r="AA70" s="220">
        <v>940</v>
      </c>
      <c r="AB70" s="220">
        <v>70</v>
      </c>
      <c r="AC70" s="220">
        <v>700</v>
      </c>
      <c r="AD70" s="220">
        <v>220</v>
      </c>
    </row>
    <row r="71" spans="1:30" x14ac:dyDescent="0.2">
      <c r="A71" s="220">
        <v>1987</v>
      </c>
      <c r="B71" s="225">
        <v>4791.7310554409642</v>
      </c>
      <c r="K71" s="315"/>
      <c r="P71" s="315"/>
      <c r="Q71" s="315"/>
      <c r="V71" s="220">
        <v>2003</v>
      </c>
      <c r="W71" s="220">
        <v>242</v>
      </c>
      <c r="X71" s="220">
        <v>194.24603497384655</v>
      </c>
      <c r="Y71" s="220">
        <v>875</v>
      </c>
      <c r="Z71" s="220">
        <v>39</v>
      </c>
      <c r="AA71" s="220">
        <v>690</v>
      </c>
      <c r="AB71" s="220">
        <v>57</v>
      </c>
      <c r="AC71" s="220">
        <v>1140</v>
      </c>
      <c r="AD71" s="220">
        <v>380</v>
      </c>
    </row>
    <row r="72" spans="1:30" x14ac:dyDescent="0.2">
      <c r="A72" s="220">
        <v>2010</v>
      </c>
      <c r="B72" s="225">
        <v>4562.5036185839253</v>
      </c>
      <c r="K72" s="315"/>
      <c r="L72" s="315"/>
      <c r="M72" s="315"/>
      <c r="O72" s="315"/>
      <c r="P72" s="315"/>
      <c r="Q72" s="315"/>
      <c r="V72" s="220">
        <v>2004</v>
      </c>
      <c r="W72" s="220">
        <v>150</v>
      </c>
      <c r="X72" s="220">
        <v>230</v>
      </c>
      <c r="Y72" s="220">
        <v>801</v>
      </c>
      <c r="Z72" s="220">
        <v>170</v>
      </c>
      <c r="AA72" s="220">
        <v>935</v>
      </c>
      <c r="AB72" s="220">
        <v>250</v>
      </c>
      <c r="AC72" s="220">
        <v>640</v>
      </c>
      <c r="AD72" s="220">
        <v>180</v>
      </c>
    </row>
    <row r="73" spans="1:30" x14ac:dyDescent="0.2">
      <c r="A73" s="220">
        <v>2007</v>
      </c>
      <c r="B73" s="225">
        <v>4316.19131889442</v>
      </c>
      <c r="K73" s="315"/>
      <c r="L73" s="315"/>
      <c r="M73" s="315"/>
      <c r="O73" s="315"/>
      <c r="P73" s="315"/>
      <c r="Q73" s="315"/>
      <c r="V73" s="220">
        <v>2005</v>
      </c>
      <c r="W73" s="220">
        <v>510</v>
      </c>
      <c r="X73" s="220">
        <v>300</v>
      </c>
      <c r="Y73" s="220">
        <v>1240</v>
      </c>
      <c r="Z73" s="220">
        <v>360</v>
      </c>
      <c r="AA73" s="220">
        <v>890</v>
      </c>
      <c r="AB73" s="220">
        <v>190</v>
      </c>
      <c r="AC73" s="220">
        <v>810</v>
      </c>
      <c r="AD73" s="220">
        <v>270</v>
      </c>
    </row>
    <row r="74" spans="1:30" x14ac:dyDescent="0.2">
      <c r="A74" s="222">
        <v>1990</v>
      </c>
      <c r="B74" s="224">
        <v>3443.5916335040188</v>
      </c>
      <c r="C74" s="220">
        <f>COUNT(B45:B60)</f>
        <v>16</v>
      </c>
      <c r="F74" s="315"/>
      <c r="K74" s="315"/>
      <c r="L74" s="315"/>
      <c r="M74" s="315"/>
      <c r="N74" s="315"/>
      <c r="O74" s="315"/>
      <c r="P74" s="315"/>
      <c r="Q74" s="315"/>
      <c r="V74" s="220">
        <v>2006</v>
      </c>
      <c r="W74" s="220">
        <v>165</v>
      </c>
      <c r="X74" s="220">
        <v>112.64748701317497</v>
      </c>
      <c r="Y74" s="220">
        <v>190</v>
      </c>
      <c r="Z74" s="220">
        <v>176</v>
      </c>
      <c r="AA74" s="220">
        <v>280</v>
      </c>
      <c r="AB74" s="220">
        <v>30</v>
      </c>
      <c r="AC74" s="220">
        <v>405</v>
      </c>
      <c r="AD74" s="220">
        <v>130</v>
      </c>
    </row>
    <row r="75" spans="1:30" x14ac:dyDescent="0.2">
      <c r="C75" s="220">
        <f>COUNT(B61:B73)</f>
        <v>13</v>
      </c>
      <c r="F75" s="315"/>
      <c r="K75" s="315"/>
      <c r="L75" s="315"/>
      <c r="M75" s="315"/>
      <c r="O75" s="315"/>
      <c r="P75" s="315"/>
      <c r="V75" s="220">
        <v>2007</v>
      </c>
      <c r="W75" s="220">
        <v>134</v>
      </c>
      <c r="X75" s="220">
        <v>75</v>
      </c>
      <c r="Y75" s="220">
        <v>275.79655572674551</v>
      </c>
      <c r="Z75" s="220">
        <v>35</v>
      </c>
      <c r="AA75" s="220">
        <v>245</v>
      </c>
      <c r="AB75" s="220">
        <v>15</v>
      </c>
      <c r="AC75" s="220">
        <v>290</v>
      </c>
      <c r="AD75" s="220">
        <v>210</v>
      </c>
    </row>
    <row r="76" spans="1:30" x14ac:dyDescent="0.2">
      <c r="K76" s="315"/>
      <c r="L76" s="315"/>
      <c r="M76" s="315"/>
      <c r="O76" s="315"/>
      <c r="P76" s="315"/>
      <c r="V76" s="220">
        <v>2008</v>
      </c>
      <c r="W76" s="220">
        <v>115</v>
      </c>
      <c r="X76" s="220">
        <v>55</v>
      </c>
      <c r="Y76" s="220">
        <v>570</v>
      </c>
      <c r="Z76" s="220">
        <v>25</v>
      </c>
      <c r="AA76" s="220">
        <v>1250</v>
      </c>
      <c r="AB76" s="220">
        <v>23</v>
      </c>
      <c r="AC76" s="220">
        <v>420</v>
      </c>
      <c r="AD76" s="220">
        <v>100</v>
      </c>
    </row>
    <row r="77" spans="1:30" x14ac:dyDescent="0.2">
      <c r="K77" s="315"/>
      <c r="L77" s="315"/>
      <c r="M77" s="315"/>
      <c r="O77" s="315"/>
      <c r="P77" s="315"/>
      <c r="Q77" s="315"/>
      <c r="V77" s="220">
        <v>2009</v>
      </c>
      <c r="W77" s="220">
        <v>149.30112762608312</v>
      </c>
      <c r="X77" s="220">
        <v>330</v>
      </c>
      <c r="Y77" s="220">
        <v>330</v>
      </c>
      <c r="Z77" s="220">
        <v>340</v>
      </c>
      <c r="AA77" s="220">
        <v>750</v>
      </c>
      <c r="AB77" s="220">
        <v>110</v>
      </c>
      <c r="AC77" s="220">
        <v>1050</v>
      </c>
      <c r="AD77" s="220">
        <v>100</v>
      </c>
    </row>
    <row r="78" spans="1:30" x14ac:dyDescent="0.2">
      <c r="V78" s="220">
        <v>2010</v>
      </c>
      <c r="W78" s="220">
        <v>85</v>
      </c>
      <c r="X78" s="220">
        <v>102</v>
      </c>
      <c r="Y78" s="220">
        <v>370</v>
      </c>
      <c r="Z78" s="220">
        <v>61.883918360074595</v>
      </c>
      <c r="AA78" s="220">
        <v>880</v>
      </c>
      <c r="AB78" s="220">
        <v>90</v>
      </c>
      <c r="AC78" s="220">
        <v>570</v>
      </c>
      <c r="AD78" s="220">
        <v>190</v>
      </c>
    </row>
    <row r="79" spans="1:30" x14ac:dyDescent="0.2">
      <c r="B79" s="315"/>
      <c r="C79" s="315"/>
      <c r="D79" s="315"/>
      <c r="E79" s="315"/>
      <c r="F79" s="315"/>
      <c r="G79" s="315"/>
      <c r="H79" s="315"/>
      <c r="I79" s="315"/>
      <c r="J79" s="315"/>
      <c r="K79" s="315"/>
      <c r="L79" s="315"/>
      <c r="M79" s="315"/>
      <c r="N79" s="315"/>
      <c r="O79" s="315"/>
      <c r="P79" s="315"/>
      <c r="Q79" s="315"/>
      <c r="V79" s="220">
        <v>2011</v>
      </c>
      <c r="W79" s="220">
        <v>87.383140067170615</v>
      </c>
      <c r="X79" s="220">
        <v>83.218579177972671</v>
      </c>
      <c r="Y79" s="220">
        <v>350</v>
      </c>
      <c r="Z79" s="220">
        <v>69.144322585927185</v>
      </c>
      <c r="AA79" s="220">
        <v>175</v>
      </c>
      <c r="AB79" s="220">
        <v>74.126206340912248</v>
      </c>
      <c r="AC79" s="220">
        <v>110</v>
      </c>
      <c r="AD79" s="220">
        <v>85</v>
      </c>
    </row>
    <row r="80" spans="1:30" x14ac:dyDescent="0.2">
      <c r="B80" s="315"/>
      <c r="C80" s="315"/>
      <c r="D80" s="315"/>
      <c r="E80" s="315"/>
      <c r="F80" s="315"/>
      <c r="G80" s="315"/>
      <c r="H80" s="315"/>
      <c r="I80" s="315"/>
      <c r="J80" s="315"/>
      <c r="K80" s="315"/>
      <c r="L80" s="315"/>
      <c r="M80" s="315"/>
      <c r="N80" s="315"/>
      <c r="O80" s="315"/>
      <c r="P80" s="315"/>
      <c r="Q80" s="315"/>
      <c r="V80" s="220">
        <v>2012</v>
      </c>
      <c r="W80" s="220">
        <v>25</v>
      </c>
      <c r="X80" s="220">
        <v>60</v>
      </c>
      <c r="Y80" s="220">
        <v>400</v>
      </c>
      <c r="Z80" s="220">
        <v>162.22237416488286</v>
      </c>
      <c r="AA80" s="220">
        <v>170</v>
      </c>
      <c r="AB80" s="220">
        <v>40</v>
      </c>
      <c r="AC80" s="220">
        <v>702.91506788267293</v>
      </c>
      <c r="AD80" s="220">
        <v>110</v>
      </c>
    </row>
    <row r="81" spans="2:33" x14ac:dyDescent="0.2">
      <c r="B81" s="315"/>
      <c r="C81" s="315"/>
      <c r="D81" s="315"/>
      <c r="E81" s="315"/>
      <c r="F81" s="315"/>
      <c r="G81" s="315"/>
      <c r="H81" s="315"/>
      <c r="I81" s="315"/>
      <c r="J81" s="315"/>
      <c r="K81" s="315"/>
      <c r="L81" s="315"/>
      <c r="M81" s="315"/>
      <c r="N81" s="315"/>
      <c r="O81" s="315"/>
      <c r="P81" s="315"/>
      <c r="Q81" s="315"/>
      <c r="V81" s="220">
        <v>2013</v>
      </c>
      <c r="W81" s="220">
        <v>193.60925440169672</v>
      </c>
      <c r="X81" s="220">
        <v>184.38210224254519</v>
      </c>
      <c r="Y81" s="220">
        <v>721.71970080342885</v>
      </c>
      <c r="Z81" s="220">
        <v>153.1986688777792</v>
      </c>
      <c r="AA81" s="220">
        <v>792.41078252001489</v>
      </c>
      <c r="AB81" s="220">
        <v>164.23671119470109</v>
      </c>
      <c r="AC81" s="220">
        <v>663.81504578930219</v>
      </c>
      <c r="AD81" s="220">
        <v>266.47621093007933</v>
      </c>
    </row>
    <row r="82" spans="2:33" x14ac:dyDescent="0.2">
      <c r="B82" s="315"/>
      <c r="C82" s="315"/>
      <c r="D82" s="315"/>
      <c r="E82" s="315"/>
      <c r="F82" s="315"/>
      <c r="G82" s="315"/>
      <c r="H82" s="315"/>
      <c r="I82" s="315"/>
      <c r="J82" s="315"/>
      <c r="K82" s="315"/>
      <c r="L82" s="315"/>
      <c r="M82" s="315"/>
      <c r="N82" s="315"/>
      <c r="O82" s="315"/>
      <c r="P82" s="315"/>
      <c r="Q82" s="315"/>
      <c r="V82" s="220">
        <v>2014</v>
      </c>
      <c r="W82" s="220">
        <v>425</v>
      </c>
      <c r="X82" s="220">
        <v>80</v>
      </c>
      <c r="Y82" s="220">
        <v>660</v>
      </c>
      <c r="Z82" s="220">
        <v>226.17132483651807</v>
      </c>
      <c r="AA82" s="220">
        <v>1500</v>
      </c>
      <c r="AB82" s="220">
        <v>242.46708434383856</v>
      </c>
      <c r="AC82" s="220">
        <v>850</v>
      </c>
      <c r="AD82" s="220">
        <v>400</v>
      </c>
    </row>
    <row r="83" spans="2:33" x14ac:dyDescent="0.2">
      <c r="B83" s="315"/>
      <c r="C83" s="315"/>
      <c r="D83" s="315"/>
      <c r="E83" s="315"/>
      <c r="F83" s="315"/>
      <c r="G83" s="315"/>
      <c r="H83" s="315"/>
      <c r="I83" s="315"/>
      <c r="J83" s="315"/>
      <c r="K83" s="315"/>
      <c r="L83" s="315"/>
      <c r="M83" s="315"/>
      <c r="N83" s="315"/>
      <c r="O83" s="315"/>
      <c r="P83" s="315"/>
      <c r="Q83" s="315"/>
      <c r="V83" s="220">
        <v>2015</v>
      </c>
      <c r="W83" s="220">
        <v>20</v>
      </c>
      <c r="X83" s="220">
        <v>200</v>
      </c>
      <c r="Y83" s="220">
        <v>550</v>
      </c>
      <c r="Z83" s="220">
        <v>136.13977605018297</v>
      </c>
      <c r="AA83" s="220">
        <v>1200</v>
      </c>
      <c r="AB83" s="220">
        <v>241.99352233644294</v>
      </c>
      <c r="AC83" s="220">
        <v>550</v>
      </c>
      <c r="AD83" s="220">
        <v>200</v>
      </c>
    </row>
    <row r="84" spans="2:33" x14ac:dyDescent="0.2">
      <c r="B84" s="315"/>
      <c r="C84" s="315"/>
      <c r="D84" s="315"/>
      <c r="E84" s="315"/>
      <c r="F84" s="315"/>
      <c r="G84" s="315"/>
      <c r="H84" s="315"/>
      <c r="I84" s="315"/>
      <c r="J84" s="315"/>
      <c r="K84" s="315"/>
      <c r="L84" s="315"/>
      <c r="M84" s="315"/>
      <c r="N84" s="315"/>
      <c r="O84" s="315"/>
      <c r="P84" s="315"/>
      <c r="Q84" s="315"/>
      <c r="V84" s="220">
        <v>2016</v>
      </c>
      <c r="W84" s="220">
        <v>160</v>
      </c>
      <c r="X84" s="220">
        <v>25</v>
      </c>
      <c r="Y84" s="220">
        <v>810</v>
      </c>
      <c r="Z84" s="220">
        <v>450</v>
      </c>
      <c r="AA84" s="220">
        <v>370</v>
      </c>
      <c r="AB84" s="220">
        <v>90</v>
      </c>
      <c r="AC84" s="220">
        <v>540</v>
      </c>
      <c r="AD84" s="220">
        <v>314.97573993803303</v>
      </c>
    </row>
    <row r="85" spans="2:33" x14ac:dyDescent="0.2">
      <c r="B85" s="315"/>
      <c r="C85" s="315"/>
      <c r="D85" s="315"/>
      <c r="E85" s="315"/>
      <c r="F85" s="315"/>
      <c r="G85" s="315"/>
      <c r="H85" s="315"/>
      <c r="I85" s="315"/>
      <c r="J85" s="315"/>
      <c r="K85" s="315"/>
      <c r="L85" s="315"/>
      <c r="M85" s="315"/>
      <c r="N85" s="315"/>
      <c r="O85" s="315"/>
      <c r="P85" s="315"/>
      <c r="Q85" s="315"/>
      <c r="V85" s="220" t="s">
        <v>32</v>
      </c>
      <c r="W85" s="220">
        <f t="shared" ref="W85:AD85" si="4">AVERAGE(W55:W84)</f>
        <v>148.54311740316501</v>
      </c>
      <c r="X85" s="220">
        <f t="shared" si="4"/>
        <v>132.42487140746172</v>
      </c>
      <c r="Y85" s="220">
        <f t="shared" si="4"/>
        <v>545.88387521767243</v>
      </c>
      <c r="Z85" s="220">
        <f t="shared" si="4"/>
        <v>128.65844832307334</v>
      </c>
      <c r="AA85" s="220">
        <f t="shared" si="4"/>
        <v>627.75699702479403</v>
      </c>
      <c r="AB85" s="220">
        <f t="shared" si="4"/>
        <v>128.0490910887199</v>
      </c>
      <c r="AC85" s="220">
        <f t="shared" si="4"/>
        <v>504.82238016933326</v>
      </c>
      <c r="AD85" s="220">
        <f t="shared" si="4"/>
        <v>207.19152076381388</v>
      </c>
    </row>
    <row r="86" spans="2:33" x14ac:dyDescent="0.2">
      <c r="B86" s="315"/>
      <c r="C86" s="315"/>
      <c r="D86" s="315"/>
      <c r="E86" s="315"/>
      <c r="F86" s="315"/>
      <c r="G86" s="315"/>
      <c r="H86" s="315"/>
      <c r="I86" s="315"/>
      <c r="J86" s="315"/>
      <c r="K86" s="315"/>
      <c r="L86" s="315"/>
      <c r="M86" s="315"/>
      <c r="N86" s="315"/>
      <c r="O86" s="315"/>
      <c r="P86" s="315"/>
      <c r="Q86" s="315"/>
      <c r="W86" s="220" t="s">
        <v>64</v>
      </c>
    </row>
    <row r="87" spans="2:33" x14ac:dyDescent="0.2">
      <c r="B87" s="315"/>
      <c r="C87" s="315"/>
      <c r="D87" s="315"/>
      <c r="E87" s="315"/>
      <c r="F87" s="315"/>
      <c r="G87" s="315"/>
      <c r="H87" s="315"/>
      <c r="I87" s="315"/>
      <c r="J87" s="315"/>
      <c r="K87" s="315"/>
      <c r="L87" s="315"/>
      <c r="M87" s="315"/>
      <c r="N87" s="315"/>
      <c r="O87" s="315"/>
      <c r="P87" s="315"/>
      <c r="Q87" s="315"/>
    </row>
    <row r="88" spans="2:33" x14ac:dyDescent="0.2">
      <c r="B88" s="315"/>
      <c r="C88" s="315"/>
      <c r="D88" s="315"/>
      <c r="E88" s="315"/>
      <c r="F88" s="315"/>
      <c r="G88" s="315"/>
      <c r="H88" s="315"/>
      <c r="I88" s="315"/>
      <c r="J88" s="315"/>
      <c r="K88" s="315"/>
      <c r="L88" s="315"/>
      <c r="M88" s="315"/>
      <c r="N88" s="315"/>
      <c r="O88" s="315"/>
      <c r="P88" s="315"/>
      <c r="Q88" s="315"/>
    </row>
    <row r="90" spans="2:33" x14ac:dyDescent="0.2">
      <c r="W90" s="220" t="s">
        <v>96</v>
      </c>
    </row>
    <row r="91" spans="2:33" x14ac:dyDescent="0.2">
      <c r="V91" s="220" t="s">
        <v>3</v>
      </c>
      <c r="W91" s="220" t="s">
        <v>95</v>
      </c>
      <c r="X91" s="220" t="s">
        <v>94</v>
      </c>
      <c r="Y91" s="220" t="s">
        <v>7</v>
      </c>
      <c r="Z91" s="220" t="s">
        <v>6</v>
      </c>
      <c r="AB91" s="220" t="s">
        <v>152</v>
      </c>
      <c r="AC91" s="220" t="s">
        <v>94</v>
      </c>
      <c r="AD91" s="220" t="s">
        <v>7</v>
      </c>
      <c r="AE91" s="220" t="s">
        <v>6</v>
      </c>
    </row>
    <row r="92" spans="2:33" x14ac:dyDescent="0.2">
      <c r="V92" s="220">
        <v>1982</v>
      </c>
      <c r="AA92" s="220">
        <v>1982</v>
      </c>
      <c r="AB92" s="225">
        <f>'Table 2 SEAKCohoEsc'!J11</f>
        <v>2144</v>
      </c>
      <c r="AC92" s="220">
        <v>1894.034899745569</v>
      </c>
      <c r="AD92" s="220">
        <f>Q41</f>
        <v>500</v>
      </c>
      <c r="AE92" s="220">
        <f>Q42</f>
        <v>1600</v>
      </c>
      <c r="AG92" s="220">
        <f>COUNT(AB92:AB127)</f>
        <v>36</v>
      </c>
    </row>
    <row r="93" spans="2:33" x14ac:dyDescent="0.2">
      <c r="V93" s="220">
        <v>1983</v>
      </c>
      <c r="AA93" s="220">
        <v>1983</v>
      </c>
      <c r="AB93" s="225">
        <f>'Table 2 SEAKCohoEsc'!J12</f>
        <v>1487</v>
      </c>
      <c r="AC93" s="220">
        <v>1678.4421652109747</v>
      </c>
      <c r="AD93" s="220">
        <f t="shared" ref="AD93:AD126" si="5">AD92</f>
        <v>500</v>
      </c>
      <c r="AE93" s="220">
        <f t="shared" ref="AE93:AE126" si="6">AE92</f>
        <v>1600</v>
      </c>
    </row>
    <row r="94" spans="2:33" x14ac:dyDescent="0.2">
      <c r="V94" s="220">
        <v>1984</v>
      </c>
      <c r="AA94" s="220">
        <v>1984</v>
      </c>
      <c r="AB94" s="225">
        <f>'Table 2 SEAKCohoEsc'!J13</f>
        <v>1407</v>
      </c>
      <c r="AC94" s="220">
        <v>1489.2935454015078</v>
      </c>
      <c r="AD94" s="220">
        <f t="shared" si="5"/>
        <v>500</v>
      </c>
      <c r="AE94" s="220">
        <f t="shared" si="6"/>
        <v>1600</v>
      </c>
    </row>
    <row r="95" spans="2:33" x14ac:dyDescent="0.2">
      <c r="V95" s="220">
        <v>1985</v>
      </c>
      <c r="AA95" s="220">
        <v>1985</v>
      </c>
      <c r="AB95" s="225">
        <f>'Table 2 SEAKCohoEsc'!J14</f>
        <v>903</v>
      </c>
      <c r="AC95" s="220">
        <v>1337.4243142718749</v>
      </c>
      <c r="AD95" s="220">
        <f t="shared" si="5"/>
        <v>500</v>
      </c>
      <c r="AE95" s="220">
        <f t="shared" si="6"/>
        <v>1600</v>
      </c>
    </row>
    <row r="96" spans="2:33" x14ac:dyDescent="0.2">
      <c r="V96" s="220">
        <v>1986</v>
      </c>
      <c r="AA96" s="220">
        <v>1986</v>
      </c>
      <c r="AB96" s="225">
        <f>'Table 2 SEAKCohoEsc'!J15</f>
        <v>1782</v>
      </c>
      <c r="AC96" s="220">
        <v>1221.6519479658427</v>
      </c>
      <c r="AD96" s="220">
        <f t="shared" si="5"/>
        <v>500</v>
      </c>
      <c r="AE96" s="220">
        <f t="shared" si="6"/>
        <v>1600</v>
      </c>
    </row>
    <row r="97" spans="22:31" x14ac:dyDescent="0.2">
      <c r="V97" s="220">
        <v>1987</v>
      </c>
      <c r="W97" s="315">
        <f t="shared" ref="W97:W125" si="7">P6</f>
        <v>4791.7310554409642</v>
      </c>
      <c r="X97" s="220">
        <v>5052.0384013657895</v>
      </c>
      <c r="Y97" s="220">
        <f>P41</f>
        <v>4250</v>
      </c>
      <c r="Z97" s="220">
        <f>P42</f>
        <v>8500</v>
      </c>
      <c r="AA97" s="220">
        <v>1987</v>
      </c>
      <c r="AB97" s="225">
        <v>1117</v>
      </c>
      <c r="AC97" s="220">
        <v>1042.7910521931535</v>
      </c>
      <c r="AD97" s="220">
        <f t="shared" si="5"/>
        <v>500</v>
      </c>
      <c r="AE97" s="220">
        <f t="shared" si="6"/>
        <v>1600</v>
      </c>
    </row>
    <row r="98" spans="22:31" x14ac:dyDescent="0.2">
      <c r="V98" s="220">
        <v>1988</v>
      </c>
      <c r="W98" s="315">
        <f t="shared" si="7"/>
        <v>5007</v>
      </c>
      <c r="X98" s="220">
        <v>5125.1723649739552</v>
      </c>
      <c r="Y98" s="220">
        <f t="shared" ref="Y98:Y126" si="8">Y97</f>
        <v>4250</v>
      </c>
      <c r="Z98" s="220">
        <f t="shared" ref="Z98:Z126" si="9">Z97</f>
        <v>8500</v>
      </c>
      <c r="AA98" s="220">
        <v>1988</v>
      </c>
      <c r="AB98" s="225">
        <v>513</v>
      </c>
      <c r="AC98" s="220">
        <v>810.03379864316321</v>
      </c>
      <c r="AD98" s="220">
        <f t="shared" si="5"/>
        <v>500</v>
      </c>
      <c r="AE98" s="220">
        <f t="shared" si="6"/>
        <v>1600</v>
      </c>
    </row>
    <row r="99" spans="22:31" x14ac:dyDescent="0.2">
      <c r="V99" s="220">
        <v>1989</v>
      </c>
      <c r="W99" s="315">
        <f t="shared" si="7"/>
        <v>6761</v>
      </c>
      <c r="X99" s="220">
        <v>5217.3077622707387</v>
      </c>
      <c r="Y99" s="220">
        <f t="shared" si="8"/>
        <v>4250</v>
      </c>
      <c r="Z99" s="220">
        <f t="shared" si="9"/>
        <v>8500</v>
      </c>
      <c r="AA99" s="220">
        <v>1989</v>
      </c>
      <c r="AB99" s="225">
        <v>433</v>
      </c>
      <c r="AC99" s="220">
        <v>774.3639812261315</v>
      </c>
      <c r="AD99" s="220">
        <f t="shared" si="5"/>
        <v>500</v>
      </c>
      <c r="AE99" s="220">
        <f t="shared" si="6"/>
        <v>1600</v>
      </c>
    </row>
    <row r="100" spans="22:31" x14ac:dyDescent="0.2">
      <c r="V100" s="220">
        <v>1990</v>
      </c>
      <c r="W100" s="315">
        <f t="shared" si="7"/>
        <v>3443.5916335040188</v>
      </c>
      <c r="X100" s="220">
        <v>5391.9808352433483</v>
      </c>
      <c r="Y100" s="220">
        <f t="shared" si="8"/>
        <v>4250</v>
      </c>
      <c r="Z100" s="220">
        <f t="shared" si="9"/>
        <v>8500</v>
      </c>
      <c r="AA100" s="220">
        <v>1990</v>
      </c>
      <c r="AB100" s="225">
        <v>870</v>
      </c>
      <c r="AC100" s="220">
        <v>1025.5387074891314</v>
      </c>
      <c r="AD100" s="220">
        <f t="shared" si="5"/>
        <v>500</v>
      </c>
      <c r="AE100" s="220">
        <f t="shared" si="6"/>
        <v>1600</v>
      </c>
    </row>
    <row r="101" spans="22:31" x14ac:dyDescent="0.2">
      <c r="V101" s="220">
        <v>1991</v>
      </c>
      <c r="W101" s="315">
        <f t="shared" si="7"/>
        <v>5721</v>
      </c>
      <c r="X101" s="220">
        <v>5728.4207918504089</v>
      </c>
      <c r="Y101" s="220">
        <f t="shared" si="8"/>
        <v>4250</v>
      </c>
      <c r="Z101" s="220">
        <f t="shared" si="9"/>
        <v>8500</v>
      </c>
      <c r="AA101" s="220">
        <v>1991</v>
      </c>
      <c r="AB101" s="225">
        <v>1836</v>
      </c>
      <c r="AC101" s="220">
        <v>1242.3835426390731</v>
      </c>
      <c r="AD101" s="220">
        <f t="shared" si="5"/>
        <v>500</v>
      </c>
      <c r="AE101" s="220">
        <f t="shared" si="6"/>
        <v>1600</v>
      </c>
    </row>
    <row r="102" spans="22:31" x14ac:dyDescent="0.2">
      <c r="V102" s="220">
        <v>1992</v>
      </c>
      <c r="W102" s="315">
        <f t="shared" si="7"/>
        <v>7017</v>
      </c>
      <c r="X102" s="220">
        <v>6559.4464445170361</v>
      </c>
      <c r="Y102" s="220">
        <f t="shared" si="8"/>
        <v>4250</v>
      </c>
      <c r="Z102" s="220">
        <f t="shared" si="9"/>
        <v>8500</v>
      </c>
      <c r="AA102" s="220">
        <v>1992</v>
      </c>
      <c r="AB102" s="225">
        <v>1426</v>
      </c>
      <c r="AC102" s="220">
        <v>1355.9126955784377</v>
      </c>
      <c r="AD102" s="220">
        <f t="shared" si="5"/>
        <v>500</v>
      </c>
      <c r="AE102" s="220">
        <f t="shared" si="6"/>
        <v>1600</v>
      </c>
    </row>
    <row r="103" spans="22:31" x14ac:dyDescent="0.2">
      <c r="V103" s="220">
        <v>1993</v>
      </c>
      <c r="W103" s="315">
        <f t="shared" si="7"/>
        <v>7270</v>
      </c>
      <c r="X103" s="220">
        <v>7549.9915964218389</v>
      </c>
      <c r="Y103" s="220">
        <f t="shared" si="8"/>
        <v>4250</v>
      </c>
      <c r="Z103" s="220">
        <f t="shared" si="9"/>
        <v>8500</v>
      </c>
      <c r="AA103" s="220">
        <v>1993</v>
      </c>
      <c r="AB103" s="225">
        <v>832</v>
      </c>
      <c r="AC103" s="220">
        <v>1415.8295476931939</v>
      </c>
      <c r="AD103" s="220">
        <f t="shared" si="5"/>
        <v>500</v>
      </c>
      <c r="AE103" s="220">
        <f t="shared" si="6"/>
        <v>1600</v>
      </c>
    </row>
    <row r="104" spans="22:31" x14ac:dyDescent="0.2">
      <c r="V104" s="220">
        <v>1994</v>
      </c>
      <c r="W104" s="315">
        <f t="shared" si="7"/>
        <v>8690</v>
      </c>
      <c r="X104" s="220">
        <v>8156.4975131510655</v>
      </c>
      <c r="Y104" s="220">
        <f t="shared" si="8"/>
        <v>4250</v>
      </c>
      <c r="Z104" s="220">
        <f t="shared" si="9"/>
        <v>8500</v>
      </c>
      <c r="AA104" s="220">
        <v>1994</v>
      </c>
      <c r="AB104" s="225">
        <v>1753</v>
      </c>
      <c r="AC104" s="220">
        <v>1410.9866964733496</v>
      </c>
      <c r="AD104" s="220">
        <f t="shared" si="5"/>
        <v>500</v>
      </c>
      <c r="AE104" s="220">
        <f t="shared" si="6"/>
        <v>1600</v>
      </c>
    </row>
    <row r="105" spans="22:31" x14ac:dyDescent="0.2">
      <c r="V105" s="220">
        <v>1995</v>
      </c>
      <c r="W105" s="315">
        <f t="shared" si="7"/>
        <v>8627</v>
      </c>
      <c r="X105" s="220">
        <v>8199.2828802760123</v>
      </c>
      <c r="Y105" s="220">
        <f t="shared" si="8"/>
        <v>4250</v>
      </c>
      <c r="Z105" s="220">
        <f t="shared" si="9"/>
        <v>8500</v>
      </c>
      <c r="AA105" s="220">
        <v>1995</v>
      </c>
      <c r="AB105" s="225">
        <v>1781</v>
      </c>
      <c r="AC105" s="220">
        <v>1360.8569577050375</v>
      </c>
      <c r="AD105" s="220">
        <f t="shared" si="5"/>
        <v>500</v>
      </c>
      <c r="AE105" s="220">
        <f t="shared" si="6"/>
        <v>1600</v>
      </c>
    </row>
    <row r="106" spans="22:31" x14ac:dyDescent="0.2">
      <c r="V106" s="220">
        <v>1996</v>
      </c>
      <c r="W106" s="315">
        <f t="shared" si="7"/>
        <v>8831</v>
      </c>
      <c r="X106" s="220">
        <v>7615.034963778684</v>
      </c>
      <c r="Y106" s="220">
        <f t="shared" si="8"/>
        <v>4250</v>
      </c>
      <c r="Z106" s="220">
        <f t="shared" si="9"/>
        <v>8500</v>
      </c>
      <c r="AA106" s="220">
        <v>1996</v>
      </c>
      <c r="AB106" s="225">
        <v>950</v>
      </c>
      <c r="AC106" s="220">
        <v>1190.8094756495398</v>
      </c>
      <c r="AD106" s="220">
        <f t="shared" si="5"/>
        <v>500</v>
      </c>
      <c r="AE106" s="220">
        <f t="shared" si="6"/>
        <v>1600</v>
      </c>
    </row>
    <row r="107" spans="22:31" x14ac:dyDescent="0.2">
      <c r="V107" s="220">
        <v>1997</v>
      </c>
      <c r="W107" s="315">
        <f t="shared" si="7"/>
        <v>5024.9558480428277</v>
      </c>
      <c r="X107" s="220">
        <v>7193.2473962083604</v>
      </c>
      <c r="Y107" s="220">
        <f t="shared" si="8"/>
        <v>4250</v>
      </c>
      <c r="Z107" s="220">
        <f t="shared" si="9"/>
        <v>8500</v>
      </c>
      <c r="AA107" s="220">
        <v>1997</v>
      </c>
      <c r="AB107" s="225">
        <v>732</v>
      </c>
      <c r="AC107" s="220">
        <v>1008.6291919919056</v>
      </c>
      <c r="AD107" s="220">
        <f t="shared" si="5"/>
        <v>500</v>
      </c>
      <c r="AE107" s="220">
        <f t="shared" si="6"/>
        <v>1600</v>
      </c>
    </row>
    <row r="108" spans="22:31" x14ac:dyDescent="0.2">
      <c r="V108" s="220">
        <v>1998</v>
      </c>
      <c r="W108" s="315">
        <f t="shared" si="7"/>
        <v>7094.5375401263209</v>
      </c>
      <c r="X108" s="220">
        <v>7133.5861215064033</v>
      </c>
      <c r="Y108" s="220">
        <f t="shared" si="8"/>
        <v>4250</v>
      </c>
      <c r="Z108" s="220">
        <f t="shared" si="9"/>
        <v>8500</v>
      </c>
      <c r="AA108" s="220">
        <v>1998</v>
      </c>
      <c r="AB108" s="225">
        <v>983</v>
      </c>
      <c r="AC108" s="220">
        <v>944.4541741429008</v>
      </c>
      <c r="AD108" s="220">
        <f t="shared" si="5"/>
        <v>500</v>
      </c>
      <c r="AE108" s="220">
        <f t="shared" si="6"/>
        <v>1600</v>
      </c>
    </row>
    <row r="109" spans="22:31" x14ac:dyDescent="0.2">
      <c r="V109" s="220">
        <v>1999</v>
      </c>
      <c r="W109" s="315">
        <f t="shared" si="7"/>
        <v>8038</v>
      </c>
      <c r="X109" s="220">
        <v>7970.5345788424474</v>
      </c>
      <c r="Y109" s="220">
        <f t="shared" si="8"/>
        <v>4250</v>
      </c>
      <c r="Z109" s="220">
        <f t="shared" si="9"/>
        <v>8500</v>
      </c>
      <c r="AA109" s="220">
        <v>1999</v>
      </c>
      <c r="AB109" s="225">
        <v>1246</v>
      </c>
      <c r="AC109" s="220">
        <v>994.93580132024306</v>
      </c>
      <c r="AD109" s="220">
        <f t="shared" si="5"/>
        <v>500</v>
      </c>
      <c r="AE109" s="220">
        <f t="shared" si="6"/>
        <v>1600</v>
      </c>
    </row>
    <row r="110" spans="22:31" x14ac:dyDescent="0.2">
      <c r="V110" s="220">
        <v>2000</v>
      </c>
      <c r="W110" s="315">
        <f t="shared" si="7"/>
        <v>8634</v>
      </c>
      <c r="X110" s="220">
        <v>9361.3517609097908</v>
      </c>
      <c r="Y110" s="220">
        <f t="shared" si="8"/>
        <v>4250</v>
      </c>
      <c r="Z110" s="220">
        <f t="shared" si="9"/>
        <v>8500</v>
      </c>
      <c r="AA110" s="220">
        <v>2000</v>
      </c>
      <c r="AB110" s="225">
        <v>600</v>
      </c>
      <c r="AC110" s="220">
        <v>1324.4488495570067</v>
      </c>
      <c r="AD110" s="220">
        <f t="shared" si="5"/>
        <v>500</v>
      </c>
      <c r="AE110" s="220">
        <f t="shared" si="6"/>
        <v>1600</v>
      </c>
    </row>
    <row r="111" spans="22:31" x14ac:dyDescent="0.2">
      <c r="V111" s="220">
        <v>2001</v>
      </c>
      <c r="W111" s="315">
        <f t="shared" si="7"/>
        <v>11267.116943179739</v>
      </c>
      <c r="X111" s="220">
        <v>10577.243977278287</v>
      </c>
      <c r="Y111" s="220">
        <f t="shared" si="8"/>
        <v>4250</v>
      </c>
      <c r="Z111" s="220">
        <f t="shared" si="9"/>
        <v>8500</v>
      </c>
      <c r="AA111" s="220">
        <v>2001</v>
      </c>
      <c r="AB111" s="225">
        <v>1580</v>
      </c>
      <c r="AC111" s="220">
        <v>1726.9960467607948</v>
      </c>
      <c r="AD111" s="220">
        <f t="shared" si="5"/>
        <v>500</v>
      </c>
      <c r="AE111" s="220">
        <f t="shared" si="6"/>
        <v>1600</v>
      </c>
    </row>
    <row r="112" spans="22:31" x14ac:dyDescent="0.2">
      <c r="V112" s="220">
        <v>2002</v>
      </c>
      <c r="W112" s="315">
        <f t="shared" si="7"/>
        <v>12223</v>
      </c>
      <c r="X112" s="220">
        <v>11303.761079221107</v>
      </c>
      <c r="Y112" s="220">
        <f t="shared" si="8"/>
        <v>4250</v>
      </c>
      <c r="Z112" s="220">
        <f t="shared" si="9"/>
        <v>8500</v>
      </c>
      <c r="AA112" s="220">
        <v>2002</v>
      </c>
      <c r="AB112" s="225">
        <v>3291</v>
      </c>
      <c r="AC112" s="220">
        <v>1881.2240603282924</v>
      </c>
      <c r="AD112" s="220">
        <f t="shared" si="5"/>
        <v>500</v>
      </c>
      <c r="AE112" s="220">
        <f t="shared" si="6"/>
        <v>1600</v>
      </c>
    </row>
    <row r="113" spans="22:31" x14ac:dyDescent="0.2">
      <c r="V113" s="220">
        <v>2003</v>
      </c>
      <c r="W113" s="315">
        <f t="shared" si="7"/>
        <v>11899.091649078884</v>
      </c>
      <c r="X113" s="220">
        <v>11701.642352216544</v>
      </c>
      <c r="Y113" s="220">
        <f t="shared" si="8"/>
        <v>4250</v>
      </c>
      <c r="Z113" s="220">
        <f t="shared" si="9"/>
        <v>8500</v>
      </c>
      <c r="AA113" s="220">
        <v>2003</v>
      </c>
      <c r="AB113" s="225">
        <v>1510</v>
      </c>
      <c r="AC113" s="220">
        <v>1824.0601289537512</v>
      </c>
      <c r="AD113" s="220">
        <f t="shared" si="5"/>
        <v>500</v>
      </c>
      <c r="AE113" s="220">
        <f t="shared" si="6"/>
        <v>1600</v>
      </c>
    </row>
    <row r="114" spans="22:31" x14ac:dyDescent="0.2">
      <c r="V114" s="220">
        <v>2004</v>
      </c>
      <c r="W114" s="315">
        <f t="shared" si="7"/>
        <v>9904</v>
      </c>
      <c r="X114" s="220">
        <v>11612.549066639189</v>
      </c>
      <c r="Y114" s="220">
        <f t="shared" si="8"/>
        <v>4250</v>
      </c>
      <c r="Z114" s="220">
        <f t="shared" si="9"/>
        <v>8500</v>
      </c>
      <c r="AA114" s="220">
        <v>2004</v>
      </c>
      <c r="AB114" s="225">
        <v>840</v>
      </c>
      <c r="AC114" s="220">
        <v>1490.8093010013451</v>
      </c>
      <c r="AD114" s="220">
        <f t="shared" si="5"/>
        <v>500</v>
      </c>
      <c r="AE114" s="220">
        <f t="shared" si="6"/>
        <v>1600</v>
      </c>
    </row>
    <row r="115" spans="22:31" x14ac:dyDescent="0.2">
      <c r="V115" s="220">
        <v>2005</v>
      </c>
      <c r="W115" s="315">
        <f t="shared" si="7"/>
        <v>14840</v>
      </c>
      <c r="X115" s="220">
        <v>10191.719727164564</v>
      </c>
      <c r="Y115" s="220">
        <f t="shared" si="8"/>
        <v>4250</v>
      </c>
      <c r="Z115" s="220">
        <f t="shared" si="9"/>
        <v>8500</v>
      </c>
      <c r="AA115" s="220">
        <v>2005</v>
      </c>
      <c r="AB115" s="225">
        <v>1732</v>
      </c>
      <c r="AC115" s="220">
        <v>1216.6454860388917</v>
      </c>
      <c r="AD115" s="220">
        <f t="shared" si="5"/>
        <v>500</v>
      </c>
      <c r="AE115" s="220">
        <f t="shared" si="6"/>
        <v>1600</v>
      </c>
    </row>
    <row r="116" spans="22:31" x14ac:dyDescent="0.2">
      <c r="V116" s="220">
        <v>2006</v>
      </c>
      <c r="W116" s="315">
        <f t="shared" si="7"/>
        <v>6900.5412233682428</v>
      </c>
      <c r="X116" s="220">
        <v>9559.7162697745025</v>
      </c>
      <c r="Y116" s="220">
        <f t="shared" si="8"/>
        <v>4250</v>
      </c>
      <c r="Z116" s="220">
        <f t="shared" si="9"/>
        <v>8500</v>
      </c>
      <c r="AA116" s="220">
        <v>2006</v>
      </c>
      <c r="AB116" s="225">
        <v>891</v>
      </c>
      <c r="AC116" s="220">
        <v>1277.0674949538793</v>
      </c>
      <c r="AD116" s="220">
        <f t="shared" si="5"/>
        <v>500</v>
      </c>
      <c r="AE116" s="220">
        <f t="shared" si="6"/>
        <v>1600</v>
      </c>
    </row>
    <row r="117" spans="22:31" x14ac:dyDescent="0.2">
      <c r="V117" s="220">
        <v>2007</v>
      </c>
      <c r="W117" s="315">
        <f t="shared" si="7"/>
        <v>4316.19131889442</v>
      </c>
      <c r="X117" s="220">
        <v>9659.7517197041198</v>
      </c>
      <c r="Y117" s="220">
        <f t="shared" si="8"/>
        <v>4250</v>
      </c>
      <c r="Z117" s="220">
        <f t="shared" si="9"/>
        <v>8500</v>
      </c>
      <c r="AA117" s="220">
        <v>2007</v>
      </c>
      <c r="AB117" s="225">
        <v>1244</v>
      </c>
      <c r="AC117" s="220">
        <v>1433.5018309508541</v>
      </c>
      <c r="AD117" s="220">
        <f t="shared" si="5"/>
        <v>500</v>
      </c>
      <c r="AE117" s="220">
        <f t="shared" si="6"/>
        <v>1600</v>
      </c>
    </row>
    <row r="118" spans="22:31" x14ac:dyDescent="0.2">
      <c r="V118" s="220">
        <v>2008</v>
      </c>
      <c r="W118" s="315">
        <f t="shared" si="7"/>
        <v>16752.168254747987</v>
      </c>
      <c r="X118" s="220">
        <v>9296.544562598463</v>
      </c>
      <c r="Y118" s="220">
        <f t="shared" si="8"/>
        <v>4250</v>
      </c>
      <c r="Z118" s="220">
        <f t="shared" si="9"/>
        <v>8500</v>
      </c>
      <c r="AA118" s="220">
        <v>2008</v>
      </c>
      <c r="AB118" s="225">
        <v>1741</v>
      </c>
      <c r="AC118" s="220">
        <v>1780.740069870154</v>
      </c>
      <c r="AD118" s="220">
        <f t="shared" si="5"/>
        <v>500</v>
      </c>
      <c r="AE118" s="220">
        <f t="shared" si="6"/>
        <v>1600</v>
      </c>
    </row>
    <row r="119" spans="22:31" x14ac:dyDescent="0.2">
      <c r="V119" s="220">
        <v>2009</v>
      </c>
      <c r="W119" s="315">
        <f t="shared" si="7"/>
        <v>8709.9845470338514</v>
      </c>
      <c r="X119" s="220">
        <v>8907.4992608898501</v>
      </c>
      <c r="Y119" s="220">
        <f t="shared" si="8"/>
        <v>4250</v>
      </c>
      <c r="Z119" s="220">
        <f t="shared" si="9"/>
        <v>8500</v>
      </c>
      <c r="AA119" s="220">
        <v>2009</v>
      </c>
      <c r="AB119" s="225">
        <v>2281</v>
      </c>
      <c r="AC119" s="220">
        <v>2177.4502358264867</v>
      </c>
      <c r="AD119" s="220">
        <f t="shared" si="5"/>
        <v>500</v>
      </c>
      <c r="AE119" s="220">
        <f t="shared" si="6"/>
        <v>1600</v>
      </c>
    </row>
    <row r="120" spans="22:31" x14ac:dyDescent="0.2">
      <c r="V120" s="220">
        <v>2010</v>
      </c>
      <c r="W120" s="315">
        <f t="shared" si="7"/>
        <v>4562.5036185839253</v>
      </c>
      <c r="X120" s="220">
        <v>7722.8846228636539</v>
      </c>
      <c r="Y120" s="220">
        <f t="shared" si="8"/>
        <v>4250</v>
      </c>
      <c r="Z120" s="220">
        <f t="shared" si="9"/>
        <v>8500</v>
      </c>
      <c r="AA120" s="220">
        <v>2010</v>
      </c>
      <c r="AB120" s="225">
        <v>2878</v>
      </c>
      <c r="AC120" s="220">
        <v>2324.1423864859844</v>
      </c>
      <c r="AD120" s="220">
        <f t="shared" si="5"/>
        <v>500</v>
      </c>
      <c r="AE120" s="220">
        <f t="shared" si="6"/>
        <v>1600</v>
      </c>
    </row>
    <row r="121" spans="22:31" x14ac:dyDescent="0.2">
      <c r="V121" s="220">
        <v>2011</v>
      </c>
      <c r="W121" s="315">
        <f t="shared" si="7"/>
        <v>5097.790030993855</v>
      </c>
      <c r="X121" s="220">
        <v>7701.4119028046407</v>
      </c>
      <c r="Y121" s="220">
        <f t="shared" si="8"/>
        <v>4250</v>
      </c>
      <c r="Z121" s="220">
        <f t="shared" si="9"/>
        <v>8500</v>
      </c>
      <c r="AA121" s="220">
        <v>2011</v>
      </c>
      <c r="AB121" s="225">
        <v>2137</v>
      </c>
      <c r="AC121" s="220">
        <v>2373.8263533371792</v>
      </c>
      <c r="AD121" s="220">
        <f t="shared" si="5"/>
        <v>500</v>
      </c>
      <c r="AE121" s="220">
        <f t="shared" si="6"/>
        <v>1600</v>
      </c>
    </row>
    <row r="122" spans="22:31" x14ac:dyDescent="0.2">
      <c r="V122" s="220">
        <v>2012</v>
      </c>
      <c r="W122" s="315">
        <f t="shared" si="7"/>
        <v>11960.137442047555</v>
      </c>
      <c r="X122" s="220">
        <v>9761.727098724039</v>
      </c>
      <c r="Y122" s="220">
        <f t="shared" si="8"/>
        <v>4250</v>
      </c>
      <c r="Z122" s="220">
        <f t="shared" si="9"/>
        <v>8500</v>
      </c>
      <c r="AA122" s="220">
        <v>2012</v>
      </c>
      <c r="AB122" s="225">
        <v>1908</v>
      </c>
      <c r="AC122" s="220">
        <v>2576.363047562003</v>
      </c>
      <c r="AD122" s="220">
        <f t="shared" si="5"/>
        <v>500</v>
      </c>
      <c r="AE122" s="220">
        <f t="shared" si="6"/>
        <v>1600</v>
      </c>
    </row>
    <row r="123" spans="22:31" x14ac:dyDescent="0.2">
      <c r="V123" s="220">
        <v>2013</v>
      </c>
      <c r="W123" s="315">
        <f t="shared" si="7"/>
        <v>11294.848476759547</v>
      </c>
      <c r="X123" s="220">
        <v>12108.008999044197</v>
      </c>
      <c r="Y123" s="220">
        <f t="shared" si="8"/>
        <v>4250</v>
      </c>
      <c r="Z123" s="220">
        <f t="shared" si="9"/>
        <v>8500</v>
      </c>
      <c r="AA123" s="220">
        <v>2013</v>
      </c>
      <c r="AB123" s="225">
        <v>3048</v>
      </c>
      <c r="AC123" s="220">
        <v>2727.539845031291</v>
      </c>
      <c r="AD123" s="220">
        <f t="shared" si="5"/>
        <v>500</v>
      </c>
      <c r="AE123" s="220">
        <f t="shared" si="6"/>
        <v>1600</v>
      </c>
    </row>
    <row r="124" spans="22:31" x14ac:dyDescent="0.2">
      <c r="V124" s="220">
        <v>2014</v>
      </c>
      <c r="W124" s="315">
        <f t="shared" si="7"/>
        <v>16674.889312790467</v>
      </c>
      <c r="X124" s="220">
        <v>12481.317681462211</v>
      </c>
      <c r="Y124" s="220">
        <f t="shared" si="8"/>
        <v>4250</v>
      </c>
      <c r="Z124" s="220">
        <f t="shared" si="9"/>
        <v>8500</v>
      </c>
      <c r="AA124" s="220">
        <v>2014</v>
      </c>
      <c r="AB124" s="225">
        <v>4110</v>
      </c>
      <c r="AC124" s="220">
        <v>2492.3889249031981</v>
      </c>
      <c r="AD124" s="220">
        <f t="shared" si="5"/>
        <v>500</v>
      </c>
      <c r="AE124" s="220">
        <f t="shared" si="6"/>
        <v>1600</v>
      </c>
    </row>
    <row r="125" spans="22:31" x14ac:dyDescent="0.2">
      <c r="V125" s="220">
        <v>2015</v>
      </c>
      <c r="W125" s="315">
        <f t="shared" si="7"/>
        <v>10128.133298386627</v>
      </c>
      <c r="X125" s="220">
        <v>12938.082051099378</v>
      </c>
      <c r="Y125" s="220">
        <f t="shared" si="8"/>
        <v>4250</v>
      </c>
      <c r="Z125" s="220">
        <f t="shared" si="9"/>
        <v>8500</v>
      </c>
      <c r="AA125" s="220">
        <v>2015</v>
      </c>
      <c r="AB125" s="225">
        <v>956</v>
      </c>
      <c r="AC125" s="220">
        <v>1957.6199108344117</v>
      </c>
      <c r="AD125" s="220">
        <f t="shared" si="5"/>
        <v>500</v>
      </c>
      <c r="AE125" s="220">
        <f t="shared" si="6"/>
        <v>1600</v>
      </c>
    </row>
    <row r="126" spans="22:31" x14ac:dyDescent="0.2">
      <c r="V126" s="220">
        <v>2016</v>
      </c>
      <c r="W126" s="315">
        <f t="shared" ref="W126" si="10">P37</f>
        <v>14059.849604949886</v>
      </c>
      <c r="X126" s="220">
        <v>13165.024371321091</v>
      </c>
      <c r="Y126" s="220">
        <f t="shared" si="8"/>
        <v>4250</v>
      </c>
      <c r="Z126" s="220">
        <f t="shared" si="9"/>
        <v>8500</v>
      </c>
      <c r="AA126" s="220">
        <v>2016</v>
      </c>
      <c r="AB126" s="225">
        <v>948</v>
      </c>
      <c r="AC126" s="220">
        <v>1387.4383330896489</v>
      </c>
      <c r="AD126" s="220">
        <f t="shared" si="5"/>
        <v>500</v>
      </c>
      <c r="AE126" s="220">
        <f t="shared" si="6"/>
        <v>1600</v>
      </c>
    </row>
    <row r="127" spans="22:31" x14ac:dyDescent="0.2">
      <c r="AA127" s="220">
        <v>2017</v>
      </c>
      <c r="AB127" s="224">
        <v>1266</v>
      </c>
      <c r="AC127" s="220">
        <v>784.86100829529096</v>
      </c>
    </row>
  </sheetData>
  <sortState ref="A43:B72">
    <sortCondition descending="1" ref="B43:B72"/>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CT229"/>
  <sheetViews>
    <sheetView showGridLines="0" topLeftCell="N127" workbookViewId="0">
      <selection activeCell="AI220" sqref="AI220"/>
    </sheetView>
  </sheetViews>
  <sheetFormatPr defaultRowHeight="12.75" x14ac:dyDescent="0.2"/>
  <cols>
    <col min="1" max="1" width="4.85546875" style="178" customWidth="1"/>
    <col min="2" max="2" width="6.28515625" style="178" customWidth="1"/>
    <col min="3" max="3" width="6.7109375" style="178" customWidth="1"/>
    <col min="4" max="4" width="5.85546875" style="178" customWidth="1"/>
    <col min="5" max="5" width="7.140625" style="178" customWidth="1"/>
    <col min="6" max="6" width="6" style="178" customWidth="1"/>
    <col min="7" max="7" width="5.140625" style="178" customWidth="1"/>
    <col min="8" max="8" width="7.5703125" style="178" customWidth="1"/>
    <col min="9" max="9" width="7.42578125" style="178" customWidth="1"/>
    <col min="10" max="10" width="10.140625" style="178" customWidth="1"/>
    <col min="11" max="11" width="6.28515625" style="178" customWidth="1"/>
    <col min="12" max="16384" width="9.140625" style="178"/>
  </cols>
  <sheetData>
    <row r="1" spans="1:26" ht="12" customHeight="1" x14ac:dyDescent="0.25">
      <c r="A1" s="107" t="s">
        <v>93</v>
      </c>
      <c r="B1" s="192"/>
      <c r="P1" s="178">
        <v>0.15390171634046729</v>
      </c>
      <c r="W1" s="470" t="s">
        <v>21</v>
      </c>
      <c r="Y1" s="470">
        <v>4</v>
      </c>
      <c r="Z1" s="178">
        <v>0.2</v>
      </c>
    </row>
    <row r="2" spans="1:26" x14ac:dyDescent="0.2">
      <c r="A2" s="176"/>
      <c r="B2" s="176"/>
      <c r="C2" s="176"/>
      <c r="D2" s="176"/>
      <c r="E2" s="176"/>
      <c r="F2" s="176"/>
      <c r="G2" s="176"/>
      <c r="H2" s="176"/>
      <c r="I2" s="176"/>
      <c r="J2" s="176"/>
      <c r="K2" s="176"/>
      <c r="M2" s="470" t="s">
        <v>378</v>
      </c>
      <c r="O2" s="178">
        <v>0.15365000000000001</v>
      </c>
      <c r="P2" s="470" t="s">
        <v>430</v>
      </c>
      <c r="W2" s="470" t="s">
        <v>433</v>
      </c>
      <c r="X2" s="470" t="s">
        <v>434</v>
      </c>
      <c r="Y2" s="470" t="s">
        <v>433</v>
      </c>
      <c r="Z2" s="470" t="s">
        <v>435</v>
      </c>
    </row>
    <row r="3" spans="1:26" ht="15.75" x14ac:dyDescent="0.25">
      <c r="A3" s="176"/>
      <c r="B3" s="176"/>
      <c r="C3" s="176"/>
      <c r="M3" s="107" t="s">
        <v>379</v>
      </c>
      <c r="N3" s="470" t="s">
        <v>152</v>
      </c>
      <c r="R3" s="178">
        <v>0.173012</v>
      </c>
      <c r="T3" s="199">
        <v>1974</v>
      </c>
      <c r="U3" s="218">
        <f>L7</f>
        <v>18.271999999999998</v>
      </c>
    </row>
    <row r="4" spans="1:26" x14ac:dyDescent="0.2">
      <c r="A4" s="206"/>
      <c r="B4" s="205" t="s">
        <v>33</v>
      </c>
      <c r="C4" s="203"/>
      <c r="D4" s="203"/>
      <c r="E4" s="203"/>
      <c r="F4" s="203" t="s">
        <v>67</v>
      </c>
      <c r="G4" s="204"/>
      <c r="H4" s="204"/>
      <c r="I4" s="203"/>
      <c r="J4" s="203"/>
      <c r="K4" s="203"/>
      <c r="M4" s="470" t="s">
        <v>377</v>
      </c>
      <c r="N4" s="470" t="s">
        <v>380</v>
      </c>
      <c r="O4" s="178" t="s">
        <v>92</v>
      </c>
      <c r="T4" s="199">
        <f>T3+1</f>
        <v>1975</v>
      </c>
    </row>
    <row r="5" spans="1:26" x14ac:dyDescent="0.2">
      <c r="A5" s="192"/>
      <c r="B5" s="202" t="s">
        <v>63</v>
      </c>
      <c r="C5" s="177"/>
      <c r="D5" s="177"/>
      <c r="E5" s="177" t="s">
        <v>82</v>
      </c>
      <c r="F5" s="177"/>
      <c r="G5" s="177" t="s">
        <v>75</v>
      </c>
      <c r="H5" s="177" t="s">
        <v>87</v>
      </c>
      <c r="I5" s="177" t="s">
        <v>29</v>
      </c>
      <c r="J5" s="177"/>
      <c r="K5" s="177" t="s">
        <v>26</v>
      </c>
      <c r="T5" s="199">
        <f t="shared" ref="T5:T6" si="0">T4+1</f>
        <v>1976</v>
      </c>
    </row>
    <row r="6" spans="1:26" x14ac:dyDescent="0.2">
      <c r="A6" s="201" t="s">
        <v>3</v>
      </c>
      <c r="B6" s="200" t="s">
        <v>80</v>
      </c>
      <c r="C6" s="200" t="s">
        <v>4</v>
      </c>
      <c r="D6" s="200" t="s">
        <v>79</v>
      </c>
      <c r="E6" s="200" t="s">
        <v>16</v>
      </c>
      <c r="F6" s="200" t="s">
        <v>17</v>
      </c>
      <c r="G6" s="200" t="s">
        <v>71</v>
      </c>
      <c r="H6" s="200" t="s">
        <v>86</v>
      </c>
      <c r="I6" s="200" t="s">
        <v>23</v>
      </c>
      <c r="J6" s="200" t="s">
        <v>40</v>
      </c>
      <c r="K6" s="200" t="s">
        <v>78</v>
      </c>
      <c r="T6" s="199">
        <f t="shared" si="0"/>
        <v>1977</v>
      </c>
    </row>
    <row r="7" spans="1:26" x14ac:dyDescent="0.2">
      <c r="A7" s="199">
        <v>1974</v>
      </c>
      <c r="B7" s="198">
        <v>157</v>
      </c>
      <c r="C7" s="217">
        <v>9161.4098360655735</v>
      </c>
      <c r="D7" s="217">
        <v>405.88524590163934</v>
      </c>
      <c r="E7" s="217">
        <v>4580.7049180327867</v>
      </c>
      <c r="F7" s="217">
        <v>0</v>
      </c>
      <c r="G7" s="217">
        <v>0</v>
      </c>
      <c r="H7" s="217">
        <v>0</v>
      </c>
      <c r="I7" s="217">
        <f>SUM(C7:H7)</f>
        <v>14148</v>
      </c>
      <c r="J7" s="198">
        <v>4124</v>
      </c>
      <c r="K7" s="217">
        <f>I7+J7</f>
        <v>18272</v>
      </c>
      <c r="L7" s="218">
        <f t="shared" ref="L7:L9" si="1">K7/1000</f>
        <v>18.271999999999998</v>
      </c>
      <c r="T7" s="199">
        <v>1978</v>
      </c>
      <c r="U7" s="218">
        <f>L8</f>
        <v>14.470897244444451</v>
      </c>
    </row>
    <row r="8" spans="1:26" x14ac:dyDescent="0.2">
      <c r="A8" s="199">
        <v>1978</v>
      </c>
      <c r="B8" s="198">
        <v>124</v>
      </c>
      <c r="C8" s="217">
        <v>7208.2104200000003</v>
      </c>
      <c r="D8" s="217">
        <v>0</v>
      </c>
      <c r="E8" s="217">
        <v>4143.6868244444504</v>
      </c>
      <c r="F8" s="217">
        <v>0</v>
      </c>
      <c r="G8" s="217">
        <v>0</v>
      </c>
      <c r="H8" s="217">
        <v>0</v>
      </c>
      <c r="I8" s="217">
        <f>SUM(C8:H8)</f>
        <v>11351.897244444452</v>
      </c>
      <c r="J8" s="198">
        <v>3119</v>
      </c>
      <c r="K8" s="217">
        <f>I8+J8</f>
        <v>14470.897244444452</v>
      </c>
      <c r="L8" s="218">
        <f t="shared" si="1"/>
        <v>14.470897244444451</v>
      </c>
      <c r="T8" s="199">
        <v>1979</v>
      </c>
      <c r="U8" s="218">
        <f>L9</f>
        <v>10.632127556363637</v>
      </c>
    </row>
    <row r="9" spans="1:26" x14ac:dyDescent="0.2">
      <c r="A9" s="199">
        <v>1979</v>
      </c>
      <c r="B9" s="198">
        <v>84</v>
      </c>
      <c r="C9" s="217">
        <v>4892.1190690909107</v>
      </c>
      <c r="D9" s="217">
        <v>410.76068727272724</v>
      </c>
      <c r="E9" s="217">
        <v>1774.3214618181821</v>
      </c>
      <c r="F9" s="217">
        <v>94.926338181818181</v>
      </c>
      <c r="G9" s="217">
        <v>0</v>
      </c>
      <c r="H9" s="217">
        <v>0</v>
      </c>
      <c r="I9" s="217">
        <f>SUM(C9:H9)</f>
        <v>7172.1275563636382</v>
      </c>
      <c r="J9" s="198">
        <v>3460</v>
      </c>
      <c r="K9" s="217">
        <f>I9+J9</f>
        <v>10632.127556363637</v>
      </c>
      <c r="L9" s="218">
        <f t="shared" si="1"/>
        <v>10.632127556363637</v>
      </c>
      <c r="T9" s="199">
        <v>1980</v>
      </c>
    </row>
    <row r="10" spans="1:26" x14ac:dyDescent="0.2">
      <c r="A10" s="281" t="s">
        <v>267</v>
      </c>
      <c r="B10" s="198"/>
      <c r="C10" s="217"/>
      <c r="D10" s="217"/>
      <c r="E10" s="217"/>
      <c r="F10" s="217"/>
      <c r="G10" s="217"/>
      <c r="H10" s="217"/>
      <c r="I10" s="217"/>
      <c r="J10" s="198"/>
      <c r="K10" s="217"/>
      <c r="T10" s="199">
        <v>1981</v>
      </c>
    </row>
    <row r="11" spans="1:26" x14ac:dyDescent="0.2">
      <c r="A11" s="199">
        <v>1982</v>
      </c>
      <c r="B11" s="198">
        <v>52</v>
      </c>
      <c r="C11" s="217">
        <v>14139.742350000006</v>
      </c>
      <c r="D11" s="217">
        <v>0</v>
      </c>
      <c r="E11" s="217">
        <v>10964.724093749999</v>
      </c>
      <c r="F11" s="217">
        <v>0</v>
      </c>
      <c r="G11" s="217">
        <v>0</v>
      </c>
      <c r="H11" s="217">
        <v>0</v>
      </c>
      <c r="I11" s="217">
        <f>SUM(C11:H11)</f>
        <v>25104.466443750003</v>
      </c>
      <c r="J11" s="198">
        <f>'Master escapements'!E15</f>
        <v>7505</v>
      </c>
      <c r="K11" s="217">
        <f>I11+J11</f>
        <v>32609.466443750003</v>
      </c>
      <c r="L11" s="218">
        <f>K11/1000</f>
        <v>32.609466443750001</v>
      </c>
      <c r="M11">
        <v>3.7520835163986841</v>
      </c>
      <c r="N11" s="218">
        <f>HughSmith!M6*7.5/1000</f>
        <v>45.992985754411762</v>
      </c>
      <c r="T11" s="199">
        <v>1982</v>
      </c>
      <c r="U11" s="218">
        <f>L11</f>
        <v>32.609466443750001</v>
      </c>
    </row>
    <row r="12" spans="1:26" x14ac:dyDescent="0.2">
      <c r="A12" s="199">
        <v>1983</v>
      </c>
      <c r="B12" s="198">
        <v>125</v>
      </c>
      <c r="C12" s="217">
        <v>17176.461926666681</v>
      </c>
      <c r="D12" s="217">
        <v>0</v>
      </c>
      <c r="E12" s="217">
        <v>6977.0772200000056</v>
      </c>
      <c r="F12" s="217">
        <v>420.95696761904759</v>
      </c>
      <c r="G12" s="217">
        <v>0</v>
      </c>
      <c r="H12" s="217">
        <v>0</v>
      </c>
      <c r="I12" s="217">
        <f>SUM(C12:H12)</f>
        <v>24574.496114285736</v>
      </c>
      <c r="J12" s="198">
        <f>'Master escapements'!E16</f>
        <v>9840</v>
      </c>
      <c r="K12" s="217">
        <f>I12+J12</f>
        <v>34414.496114285736</v>
      </c>
      <c r="L12" s="218">
        <f t="shared" ref="L12:L46" si="2">K12/1000</f>
        <v>34.414496114285733</v>
      </c>
      <c r="M12">
        <v>3.2797699836658984</v>
      </c>
      <c r="N12" s="218">
        <f>HughSmith!M7*7.5/1000</f>
        <v>29.059782041934586</v>
      </c>
      <c r="T12" s="199">
        <v>1983</v>
      </c>
      <c r="U12" s="218">
        <f>L12</f>
        <v>34.414496114285733</v>
      </c>
    </row>
    <row r="13" spans="1:26" x14ac:dyDescent="0.2">
      <c r="A13" s="199">
        <v>1984</v>
      </c>
      <c r="B13" s="198"/>
      <c r="C13" s="198"/>
      <c r="D13" s="198"/>
      <c r="E13" s="198"/>
      <c r="F13" s="198"/>
      <c r="G13" s="198"/>
      <c r="H13" s="198"/>
      <c r="I13" s="198"/>
      <c r="J13" s="198">
        <f>'Master escapements'!E17</f>
        <v>2825</v>
      </c>
      <c r="K13" s="217"/>
      <c r="L13" s="218"/>
      <c r="M13">
        <v>2.8739339138215305</v>
      </c>
      <c r="N13" s="218">
        <f>HughSmith!M8*7.5/1000</f>
        <v>30.177463524451206</v>
      </c>
      <c r="T13" s="199">
        <v>1984</v>
      </c>
    </row>
    <row r="14" spans="1:26" x14ac:dyDescent="0.2">
      <c r="A14" s="199">
        <v>1985</v>
      </c>
      <c r="B14" s="198">
        <v>93</v>
      </c>
      <c r="C14" s="217">
        <v>10861.480585714284</v>
      </c>
      <c r="D14" s="217">
        <v>289.95233857142853</v>
      </c>
      <c r="E14" s="217">
        <v>7015.9740099999972</v>
      </c>
      <c r="F14" s="217">
        <v>0</v>
      </c>
      <c r="G14" s="217">
        <v>0</v>
      </c>
      <c r="H14" s="217">
        <v>0</v>
      </c>
      <c r="I14" s="217">
        <f t="shared" ref="I14:I44" si="3">SUM(C14:H14)</f>
        <v>18167.406934285711</v>
      </c>
      <c r="J14" s="198">
        <f>'Master escapements'!E18</f>
        <v>6169</v>
      </c>
      <c r="K14" s="217">
        <f t="shared" ref="K14:K44" si="4">I14+J14</f>
        <v>24336.406934285711</v>
      </c>
      <c r="L14" s="218">
        <f t="shared" si="2"/>
        <v>24.336406934285712</v>
      </c>
      <c r="M14">
        <v>3.8775989640080808</v>
      </c>
      <c r="N14" s="218">
        <f>HughSmith!M9*7.5/1000</f>
        <v>18.300475516646774</v>
      </c>
      <c r="T14" s="199">
        <v>1985</v>
      </c>
      <c r="U14" s="218">
        <f t="shared" ref="U14:U47" si="5">L14</f>
        <v>24.336406934285712</v>
      </c>
    </row>
    <row r="15" spans="1:26" x14ac:dyDescent="0.2">
      <c r="A15" s="199">
        <v>1986</v>
      </c>
      <c r="B15" s="198">
        <v>159</v>
      </c>
      <c r="C15" s="217">
        <v>13565.22991599998</v>
      </c>
      <c r="D15" s="217">
        <v>0</v>
      </c>
      <c r="E15" s="217">
        <v>8804.3294706666602</v>
      </c>
      <c r="F15" s="217">
        <v>565.68440399999997</v>
      </c>
      <c r="G15" s="217">
        <v>0</v>
      </c>
      <c r="H15" s="217">
        <v>0</v>
      </c>
      <c r="I15" s="217">
        <f t="shared" si="3"/>
        <v>22935.243790666638</v>
      </c>
      <c r="J15" s="198">
        <f>'Master escapements'!E19</f>
        <v>1752</v>
      </c>
      <c r="K15" s="217">
        <f t="shared" si="4"/>
        <v>24687.243790666638</v>
      </c>
      <c r="L15" s="218">
        <f t="shared" si="2"/>
        <v>24.687243790666638</v>
      </c>
      <c r="M15">
        <v>4.1999609384774761</v>
      </c>
      <c r="N15" s="218">
        <f>HughSmith!M10*7.5/1000</f>
        <v>32.739320963760633</v>
      </c>
      <c r="T15" s="199">
        <v>1986</v>
      </c>
      <c r="U15" s="218">
        <f t="shared" si="5"/>
        <v>24.687243790666638</v>
      </c>
    </row>
    <row r="16" spans="1:26" x14ac:dyDescent="0.2">
      <c r="A16" s="199">
        <v>1987</v>
      </c>
      <c r="B16" s="198">
        <v>52</v>
      </c>
      <c r="C16" s="217">
        <v>7210.7570332258092</v>
      </c>
      <c r="D16" s="217">
        <v>0</v>
      </c>
      <c r="E16" s="217">
        <v>3317.1572229032263</v>
      </c>
      <c r="F16" s="217">
        <v>166.22509774193551</v>
      </c>
      <c r="G16" s="217">
        <v>0</v>
      </c>
      <c r="H16" s="217">
        <v>0</v>
      </c>
      <c r="I16" s="217">
        <f t="shared" si="3"/>
        <v>10694.139353870971</v>
      </c>
      <c r="J16" s="198">
        <f>'Master escapements'!E20</f>
        <v>3260</v>
      </c>
      <c r="K16" s="217">
        <f t="shared" si="4"/>
        <v>13954.139353870971</v>
      </c>
      <c r="L16" s="218">
        <f t="shared" si="2"/>
        <v>13.954139353870971</v>
      </c>
      <c r="M16">
        <v>2.6708093694380484</v>
      </c>
      <c r="N16" s="218">
        <f>HughSmith!M11*7.5/1000</f>
        <v>16.827999938076925</v>
      </c>
      <c r="T16" s="199">
        <v>1987</v>
      </c>
      <c r="U16" s="218">
        <f t="shared" si="5"/>
        <v>13.954139353870971</v>
      </c>
      <c r="X16" s="219">
        <v>6896.6224596936672</v>
      </c>
      <c r="Z16" s="219">
        <f>X16*Z$1</f>
        <v>1379.3244919387334</v>
      </c>
    </row>
    <row r="17" spans="1:26" x14ac:dyDescent="0.2">
      <c r="A17" s="199">
        <v>1988</v>
      </c>
      <c r="B17" s="198">
        <v>102</v>
      </c>
      <c r="C17" s="217">
        <v>6060.4003293750011</v>
      </c>
      <c r="D17" s="217">
        <v>167.4528225</v>
      </c>
      <c r="E17" s="217">
        <v>6196.4867875000018</v>
      </c>
      <c r="F17" s="217">
        <v>0</v>
      </c>
      <c r="G17" s="217">
        <v>0</v>
      </c>
      <c r="H17" s="217">
        <v>0</v>
      </c>
      <c r="I17" s="217">
        <f t="shared" si="3"/>
        <v>12424.339939375004</v>
      </c>
      <c r="J17" s="198">
        <f>'Master escapements'!E21</f>
        <v>2724</v>
      </c>
      <c r="K17" s="217">
        <f t="shared" si="4"/>
        <v>15148.339939375004</v>
      </c>
      <c r="L17" s="218">
        <f t="shared" si="2"/>
        <v>15.148339939375004</v>
      </c>
      <c r="M17">
        <v>1.5444060197490821</v>
      </c>
      <c r="N17" s="218">
        <f>HughSmith!M12*7.5/1000</f>
        <v>11.046310704545455</v>
      </c>
      <c r="T17" s="199">
        <v>1988</v>
      </c>
      <c r="U17" s="218">
        <f t="shared" si="5"/>
        <v>15.148339939375004</v>
      </c>
      <c r="W17" s="219">
        <v>2356.7347254346482</v>
      </c>
      <c r="X17" s="219">
        <v>8111.2433991343269</v>
      </c>
      <c r="Y17" s="532">
        <f>W17/1000*Y$1</f>
        <v>9.4269389017385929</v>
      </c>
      <c r="Z17" s="219">
        <f>X17*Z$1</f>
        <v>1622.2486798268656</v>
      </c>
    </row>
    <row r="18" spans="1:26" x14ac:dyDescent="0.2">
      <c r="A18" s="199">
        <v>1989</v>
      </c>
      <c r="B18" s="198">
        <v>58</v>
      </c>
      <c r="C18" s="217">
        <v>10582.789888648653</v>
      </c>
      <c r="D18" s="217">
        <v>0</v>
      </c>
      <c r="E18" s="217">
        <v>1664.5295875675677</v>
      </c>
      <c r="F18" s="217">
        <v>0</v>
      </c>
      <c r="G18" s="217">
        <v>0</v>
      </c>
      <c r="H18" s="217">
        <v>0</v>
      </c>
      <c r="I18" s="217">
        <f t="shared" si="3"/>
        <v>12247.31947621622</v>
      </c>
      <c r="J18" s="198">
        <f>'Master escapements'!E22</f>
        <v>7509</v>
      </c>
      <c r="K18" s="217">
        <f t="shared" si="4"/>
        <v>19756.31947621622</v>
      </c>
      <c r="L18" s="218">
        <f t="shared" si="2"/>
        <v>19.75631947621622</v>
      </c>
      <c r="M18">
        <v>2.3994648814511308</v>
      </c>
      <c r="N18" s="218">
        <f>HughSmith!M13*7.5/1000</f>
        <v>18.031111647058825</v>
      </c>
      <c r="T18" s="199">
        <v>1989</v>
      </c>
      <c r="U18" s="218">
        <f t="shared" si="5"/>
        <v>19.75631947621622</v>
      </c>
      <c r="W18" s="219">
        <v>6989.8212089027675</v>
      </c>
      <c r="X18" s="219">
        <v>21022.689205961426</v>
      </c>
      <c r="Y18" s="532">
        <f t="shared" ref="Y18:Y47" si="6">W18/1000*Y$1</f>
        <v>27.959284835611069</v>
      </c>
      <c r="Z18" s="219">
        <f t="shared" ref="Z18:Z47" si="7">X18*Z$1</f>
        <v>4204.5378411922857</v>
      </c>
    </row>
    <row r="19" spans="1:26" x14ac:dyDescent="0.2">
      <c r="A19" s="199">
        <v>1990</v>
      </c>
      <c r="B19" s="198">
        <v>471</v>
      </c>
      <c r="C19" s="217">
        <v>15006.906562552591</v>
      </c>
      <c r="D19" s="217">
        <v>183.86082167279412</v>
      </c>
      <c r="E19" s="217">
        <v>7350.5906572373988</v>
      </c>
      <c r="F19" s="217">
        <v>369.27221353203782</v>
      </c>
      <c r="G19" s="217">
        <v>0</v>
      </c>
      <c r="H19" s="217">
        <v>0</v>
      </c>
      <c r="I19" s="217">
        <f t="shared" si="3"/>
        <v>22910.63025499482</v>
      </c>
      <c r="J19" s="198">
        <f>'Master escapements'!E23</f>
        <v>11050</v>
      </c>
      <c r="K19" s="217">
        <f t="shared" si="4"/>
        <v>33960.630254994816</v>
      </c>
      <c r="L19" s="218">
        <f t="shared" si="2"/>
        <v>33.960630254994818</v>
      </c>
      <c r="M19">
        <v>3.6168321860428221</v>
      </c>
      <c r="N19" s="218">
        <f>HughSmith!M14*7.5/1000</f>
        <v>35.951998588235298</v>
      </c>
      <c r="T19" s="199">
        <v>1990</v>
      </c>
      <c r="U19" s="218">
        <f t="shared" si="5"/>
        <v>33.960630254994818</v>
      </c>
      <c r="W19" s="219">
        <v>10697.740002281036</v>
      </c>
      <c r="X19" s="219">
        <v>26834.723440251906</v>
      </c>
      <c r="Y19" s="532">
        <f t="shared" si="6"/>
        <v>42.790960009124142</v>
      </c>
      <c r="Z19" s="219">
        <f t="shared" si="7"/>
        <v>5366.944688050382</v>
      </c>
    </row>
    <row r="20" spans="1:26" x14ac:dyDescent="0.2">
      <c r="A20" s="199">
        <v>1991</v>
      </c>
      <c r="B20" s="198">
        <v>1025</v>
      </c>
      <c r="C20" s="217">
        <v>6448.5848185505256</v>
      </c>
      <c r="D20" s="217">
        <v>284.64877831370978</v>
      </c>
      <c r="E20" s="217">
        <v>16639.540220707335</v>
      </c>
      <c r="F20" s="217">
        <v>84.031036589510308</v>
      </c>
      <c r="G20" s="217">
        <v>0</v>
      </c>
      <c r="H20" s="217">
        <v>0</v>
      </c>
      <c r="I20" s="217">
        <f t="shared" si="3"/>
        <v>23456.804854161081</v>
      </c>
      <c r="J20" s="198">
        <f>'Master escapements'!E24</f>
        <v>11530</v>
      </c>
      <c r="K20" s="217">
        <f t="shared" si="4"/>
        <v>34986.804854161077</v>
      </c>
      <c r="L20" s="218">
        <f t="shared" si="2"/>
        <v>34.986804854161079</v>
      </c>
      <c r="M20">
        <v>4.1722714114334973</v>
      </c>
      <c r="N20" s="218">
        <f>HughSmith!M15*7.5/1000</f>
        <v>43.250755497807617</v>
      </c>
      <c r="T20" s="199">
        <v>1991</v>
      </c>
      <c r="U20" s="218">
        <f t="shared" si="5"/>
        <v>34.986804854161079</v>
      </c>
      <c r="W20" s="219">
        <v>10109.431319986617</v>
      </c>
      <c r="X20" s="219">
        <v>19649.439682429296</v>
      </c>
      <c r="Y20" s="532">
        <f t="shared" si="6"/>
        <v>40.43772527994647</v>
      </c>
      <c r="Z20" s="219">
        <f t="shared" si="7"/>
        <v>3929.8879364858594</v>
      </c>
    </row>
    <row r="21" spans="1:26" x14ac:dyDescent="0.2">
      <c r="A21" s="199">
        <v>1992</v>
      </c>
      <c r="B21" s="198">
        <v>701</v>
      </c>
      <c r="C21" s="217">
        <v>15318.194687812569</v>
      </c>
      <c r="D21" s="217">
        <v>508.33855610719081</v>
      </c>
      <c r="E21" s="217">
        <v>14678.98207072916</v>
      </c>
      <c r="F21" s="217">
        <v>189.25980612399195</v>
      </c>
      <c r="G21" s="217">
        <v>0</v>
      </c>
      <c r="H21" s="217">
        <v>0</v>
      </c>
      <c r="I21" s="217">
        <f t="shared" si="3"/>
        <v>30694.775120772909</v>
      </c>
      <c r="J21" s="198">
        <f>'Master escapements'!E25</f>
        <v>15300</v>
      </c>
      <c r="K21" s="217">
        <f t="shared" si="4"/>
        <v>45994.775120772909</v>
      </c>
      <c r="L21" s="218">
        <f t="shared" si="2"/>
        <v>45.994775120772907</v>
      </c>
      <c r="M21">
        <v>3.8709355582596414</v>
      </c>
      <c r="N21" s="218">
        <f>HughSmith!M16*7.5/1000</f>
        <v>36.710112273569983</v>
      </c>
      <c r="T21" s="199">
        <v>1992</v>
      </c>
      <c r="U21" s="218">
        <f t="shared" si="5"/>
        <v>45.994775120772907</v>
      </c>
      <c r="W21" s="219">
        <v>6564.6003966929893</v>
      </c>
      <c r="X21" s="219">
        <v>7435.690252720874</v>
      </c>
      <c r="Y21" s="532">
        <f t="shared" si="6"/>
        <v>26.258401586771956</v>
      </c>
      <c r="Z21" s="219">
        <f t="shared" si="7"/>
        <v>1487.1380505441748</v>
      </c>
    </row>
    <row r="22" spans="1:26" x14ac:dyDescent="0.2">
      <c r="A22" s="199">
        <v>1993</v>
      </c>
      <c r="B22" s="198">
        <v>1498</v>
      </c>
      <c r="C22" s="217">
        <v>19308.334788727647</v>
      </c>
      <c r="D22" s="217">
        <v>165.88592051612906</v>
      </c>
      <c r="E22" s="217">
        <v>14281.672702149681</v>
      </c>
      <c r="F22" s="217">
        <v>179.72823855483873</v>
      </c>
      <c r="G22" s="217">
        <v>0</v>
      </c>
      <c r="H22" s="217">
        <v>0</v>
      </c>
      <c r="I22" s="217">
        <f t="shared" si="3"/>
        <v>33935.621649948291</v>
      </c>
      <c r="J22" s="198">
        <f>'Master escapements'!E26</f>
        <v>15670</v>
      </c>
      <c r="K22" s="217">
        <f t="shared" si="4"/>
        <v>49605.621649948291</v>
      </c>
      <c r="L22" s="218">
        <f t="shared" si="2"/>
        <v>49.60562164994829</v>
      </c>
      <c r="M22">
        <v>4.1726997823101817</v>
      </c>
      <c r="N22" s="218">
        <f>HughSmith!M17*7.5/1000</f>
        <v>31.813517021511618</v>
      </c>
      <c r="T22" s="199">
        <v>1993</v>
      </c>
      <c r="U22" s="218">
        <f t="shared" si="5"/>
        <v>49.60562164994829</v>
      </c>
      <c r="W22" s="219">
        <v>4692.807899605531</v>
      </c>
      <c r="X22" s="219">
        <v>9034.5577193028257</v>
      </c>
      <c r="Y22" s="532">
        <f t="shared" si="6"/>
        <v>18.771231598422123</v>
      </c>
      <c r="Z22" s="219">
        <f t="shared" si="7"/>
        <v>1806.9115438605652</v>
      </c>
    </row>
    <row r="23" spans="1:26" x14ac:dyDescent="0.2">
      <c r="A23" s="199">
        <v>1994</v>
      </c>
      <c r="B23" s="198">
        <v>2644</v>
      </c>
      <c r="C23" s="217">
        <v>27339.017989400378</v>
      </c>
      <c r="D23" s="217">
        <v>1380.9011576025232</v>
      </c>
      <c r="E23" s="217">
        <v>27909.146827760283</v>
      </c>
      <c r="F23" s="217">
        <v>810.28299406940016</v>
      </c>
      <c r="G23" s="217">
        <v>9.5394321766561525</v>
      </c>
      <c r="H23" s="217">
        <v>0</v>
      </c>
      <c r="I23" s="217">
        <f t="shared" si="3"/>
        <v>57448.888401009244</v>
      </c>
      <c r="J23" s="198">
        <f>'Master escapements'!E27</f>
        <v>15920</v>
      </c>
      <c r="K23" s="217">
        <f t="shared" si="4"/>
        <v>73368.888401009244</v>
      </c>
      <c r="L23" s="218">
        <f t="shared" si="2"/>
        <v>73.368888401009244</v>
      </c>
      <c r="M23">
        <v>6.6518893716874876</v>
      </c>
      <c r="N23" s="218">
        <f>HughSmith!M18*7.5/1000</f>
        <v>70.978189990283795</v>
      </c>
      <c r="T23" s="199">
        <v>1994</v>
      </c>
      <c r="U23" s="218">
        <f t="shared" si="5"/>
        <v>73.368888401009244</v>
      </c>
      <c r="W23" s="219">
        <v>7990.8028156498449</v>
      </c>
      <c r="X23" s="219">
        <v>15244.652713683012</v>
      </c>
      <c r="Y23" s="532">
        <f t="shared" si="6"/>
        <v>31.96321126259938</v>
      </c>
      <c r="Z23" s="219">
        <f t="shared" si="7"/>
        <v>3048.9305427366025</v>
      </c>
    </row>
    <row r="24" spans="1:26" x14ac:dyDescent="0.2">
      <c r="A24" s="199">
        <v>1995</v>
      </c>
      <c r="B24" s="198">
        <v>1383</v>
      </c>
      <c r="C24" s="217">
        <v>8765.6907583897864</v>
      </c>
      <c r="D24" s="217">
        <v>24.903444745762712</v>
      </c>
      <c r="E24" s="217">
        <v>14869.171831694868</v>
      </c>
      <c r="F24" s="217">
        <v>210.38465211864408</v>
      </c>
      <c r="G24" s="217">
        <v>0</v>
      </c>
      <c r="H24" s="217">
        <v>0</v>
      </c>
      <c r="I24" s="217">
        <f t="shared" si="3"/>
        <v>23870.150686949062</v>
      </c>
      <c r="J24" s="198">
        <f>'Master escapements'!E28</f>
        <v>4945</v>
      </c>
      <c r="K24" s="217">
        <f t="shared" si="4"/>
        <v>28815.150686949062</v>
      </c>
      <c r="L24" s="218">
        <f t="shared" si="2"/>
        <v>28.815150686949064</v>
      </c>
      <c r="M24">
        <v>4.0549686086040255</v>
      </c>
      <c r="N24" s="218">
        <f>HughSmith!M19*7.5/1000</f>
        <v>50.311431592780743</v>
      </c>
      <c r="T24" s="199">
        <v>1995</v>
      </c>
      <c r="U24" s="218">
        <f t="shared" si="5"/>
        <v>28.815150686949064</v>
      </c>
      <c r="W24" s="219">
        <v>3388.7134987247478</v>
      </c>
      <c r="X24" s="219">
        <v>5313.1663873511216</v>
      </c>
      <c r="Y24" s="532">
        <f t="shared" si="6"/>
        <v>13.554853994898991</v>
      </c>
      <c r="Z24" s="219">
        <f t="shared" si="7"/>
        <v>1062.6332774702244</v>
      </c>
    </row>
    <row r="25" spans="1:26" x14ac:dyDescent="0.2">
      <c r="A25" s="199">
        <v>1996</v>
      </c>
      <c r="B25" s="198">
        <v>601</v>
      </c>
      <c r="C25" s="217">
        <v>10528.730040144168</v>
      </c>
      <c r="D25" s="217">
        <v>234.44866225961536</v>
      </c>
      <c r="E25" s="217">
        <v>6434.0711127403847</v>
      </c>
      <c r="F25" s="217">
        <v>406.44885865384606</v>
      </c>
      <c r="G25" s="217">
        <v>0</v>
      </c>
      <c r="H25" s="217">
        <v>0</v>
      </c>
      <c r="I25" s="217">
        <f t="shared" si="3"/>
        <v>17603.698673798015</v>
      </c>
      <c r="J25" s="198">
        <f>'Master escapements'!E29</f>
        <v>6050</v>
      </c>
      <c r="K25" s="217">
        <f t="shared" si="4"/>
        <v>23653.698673798015</v>
      </c>
      <c r="L25" s="218">
        <f t="shared" si="2"/>
        <v>23.653698673798015</v>
      </c>
      <c r="M25">
        <v>3.4076793457873791</v>
      </c>
      <c r="N25" s="218">
        <f>HughSmith!M20*7.5/1000</f>
        <v>29.610149238692749</v>
      </c>
      <c r="T25" s="199">
        <v>1996</v>
      </c>
      <c r="U25" s="218">
        <f t="shared" si="5"/>
        <v>23.653698673798015</v>
      </c>
      <c r="W25" s="219">
        <v>4614.1446658028281</v>
      </c>
      <c r="X25" s="219">
        <v>12324.340228583214</v>
      </c>
      <c r="Y25" s="532">
        <f t="shared" si="6"/>
        <v>18.456578663211314</v>
      </c>
      <c r="Z25" s="219">
        <f t="shared" si="7"/>
        <v>2464.8680457166429</v>
      </c>
    </row>
    <row r="26" spans="1:26" x14ac:dyDescent="0.2">
      <c r="A26" s="199">
        <v>1997</v>
      </c>
      <c r="B26" s="198">
        <v>312</v>
      </c>
      <c r="C26" s="217">
        <v>2452.8423084848455</v>
      </c>
      <c r="D26" s="217">
        <v>231.3978932121212</v>
      </c>
      <c r="E26" s="217">
        <v>2253.7694232209337</v>
      </c>
      <c r="F26" s="217">
        <v>278.00029557575749</v>
      </c>
      <c r="G26" s="217">
        <v>0</v>
      </c>
      <c r="H26" s="217">
        <v>18.183373393939394</v>
      </c>
      <c r="I26" s="217">
        <f t="shared" si="3"/>
        <v>5234.1932938875971</v>
      </c>
      <c r="J26" s="198">
        <f>'Master escapements'!E30</f>
        <v>10050</v>
      </c>
      <c r="K26" s="217">
        <f t="shared" si="4"/>
        <v>15284.193293887598</v>
      </c>
      <c r="L26" s="218">
        <f t="shared" si="2"/>
        <v>15.284193293887599</v>
      </c>
      <c r="M26">
        <v>2.6918613044967539</v>
      </c>
      <c r="N26" s="218">
        <f>HughSmith!M21*7.5/1000</f>
        <v>20.217030070040074</v>
      </c>
      <c r="T26" s="199">
        <v>1997</v>
      </c>
      <c r="U26" s="218">
        <f t="shared" si="5"/>
        <v>15.284193293887599</v>
      </c>
      <c r="W26" s="219">
        <v>869.41801829481255</v>
      </c>
      <c r="X26" s="219">
        <v>1318.20223064171</v>
      </c>
      <c r="Y26" s="532">
        <f t="shared" si="6"/>
        <v>3.4776720731792503</v>
      </c>
      <c r="Z26" s="219">
        <f t="shared" si="7"/>
        <v>263.64044612834203</v>
      </c>
    </row>
    <row r="27" spans="1:26" x14ac:dyDescent="0.2">
      <c r="A27" s="199">
        <v>1998</v>
      </c>
      <c r="B27" s="198">
        <v>613</v>
      </c>
      <c r="C27" s="217">
        <v>10424.447558787861</v>
      </c>
      <c r="D27" s="217">
        <v>394.50253575757569</v>
      </c>
      <c r="E27" s="217">
        <v>5222.9351380024236</v>
      </c>
      <c r="F27" s="217">
        <v>293.25358545454537</v>
      </c>
      <c r="G27" s="217">
        <v>0</v>
      </c>
      <c r="H27" s="217">
        <v>0</v>
      </c>
      <c r="I27" s="217">
        <f t="shared" si="3"/>
        <v>16335.138818002406</v>
      </c>
      <c r="J27" s="198">
        <f>'Master escapements'!E31</f>
        <v>6802</v>
      </c>
      <c r="K27" s="217">
        <f t="shared" si="4"/>
        <v>23137.138818002408</v>
      </c>
      <c r="L27" s="218">
        <f t="shared" si="2"/>
        <v>23.137138818002409</v>
      </c>
      <c r="M27">
        <v>3.2249503256252758</v>
      </c>
      <c r="N27" s="218">
        <f>HughSmith!M22*7.5/1000</f>
        <v>32.784504630517581</v>
      </c>
      <c r="S27" s="178">
        <f t="shared" ref="S27:S45" si="8">C27/E27</f>
        <v>1.9958983374958816</v>
      </c>
      <c r="T27" s="199">
        <v>1998</v>
      </c>
      <c r="U27" s="218">
        <f t="shared" si="5"/>
        <v>23.137138818002409</v>
      </c>
      <c r="W27" s="219">
        <v>3439.6502042741504</v>
      </c>
      <c r="X27" s="219">
        <v>6573.1951108439453</v>
      </c>
      <c r="Y27" s="532">
        <f t="shared" si="6"/>
        <v>13.758600817096601</v>
      </c>
      <c r="Z27" s="219">
        <f t="shared" si="7"/>
        <v>1314.6390221687891</v>
      </c>
    </row>
    <row r="28" spans="1:26" x14ac:dyDescent="0.2">
      <c r="A28" s="199">
        <v>1999</v>
      </c>
      <c r="B28" s="198">
        <v>948</v>
      </c>
      <c r="C28" s="217">
        <v>12876.411924788617</v>
      </c>
      <c r="D28" s="217">
        <v>199.60919943661969</v>
      </c>
      <c r="E28" s="217">
        <v>9571.5874766197103</v>
      </c>
      <c r="F28" s="217">
        <v>577.55248478873227</v>
      </c>
      <c r="G28" s="217">
        <v>0</v>
      </c>
      <c r="H28" s="217">
        <v>0</v>
      </c>
      <c r="I28" s="217">
        <f t="shared" si="3"/>
        <v>23225.161085633681</v>
      </c>
      <c r="J28" s="198">
        <f>'Master escapements'!E32</f>
        <v>9920</v>
      </c>
      <c r="K28" s="217">
        <f t="shared" si="4"/>
        <v>33145.161085633677</v>
      </c>
      <c r="L28" s="218">
        <f t="shared" si="2"/>
        <v>33.145161085633674</v>
      </c>
      <c r="M28">
        <v>4.1652872370535938</v>
      </c>
      <c r="N28" s="218">
        <f>HughSmith!M23*7.5/1000</f>
        <v>31.658867132025556</v>
      </c>
      <c r="S28" s="178">
        <f t="shared" si="8"/>
        <v>1.3452744339684011</v>
      </c>
      <c r="T28" s="199">
        <v>1999</v>
      </c>
      <c r="U28" s="218">
        <f t="shared" si="5"/>
        <v>33.145161085633674</v>
      </c>
      <c r="W28" s="219">
        <v>11408.540790044937</v>
      </c>
      <c r="X28" s="219">
        <v>19519.062643033056</v>
      </c>
      <c r="Y28" s="532">
        <f t="shared" si="6"/>
        <v>45.634163160179746</v>
      </c>
      <c r="Z28" s="219">
        <f t="shared" si="7"/>
        <v>3903.8125286066115</v>
      </c>
    </row>
    <row r="29" spans="1:26" x14ac:dyDescent="0.2">
      <c r="A29" s="199">
        <v>2000</v>
      </c>
      <c r="B29" s="198">
        <v>692</v>
      </c>
      <c r="C29" s="217">
        <v>4810.7035637946483</v>
      </c>
      <c r="D29" s="217">
        <v>171.10668446428571</v>
      </c>
      <c r="E29" s="217">
        <v>5330.0812681696407</v>
      </c>
      <c r="F29" s="217">
        <v>497.07138125000012</v>
      </c>
      <c r="G29" s="217">
        <v>0</v>
      </c>
      <c r="H29" s="217">
        <v>5.7494658035714288</v>
      </c>
      <c r="I29" s="217">
        <f t="shared" si="3"/>
        <v>10814.712363482147</v>
      </c>
      <c r="J29" s="198">
        <f>'Master escapements'!E33</f>
        <v>10650</v>
      </c>
      <c r="K29" s="217">
        <f t="shared" si="4"/>
        <v>21464.712363482147</v>
      </c>
      <c r="L29" s="218">
        <f t="shared" si="2"/>
        <v>21.464712363482146</v>
      </c>
      <c r="M29">
        <v>2.5264586311745054</v>
      </c>
      <c r="N29" s="218">
        <f>HughSmith!M24*7.5/1000</f>
        <v>10.098217566410609</v>
      </c>
      <c r="O29" s="219">
        <f>ChilkatTable!K19</f>
        <v>125178</v>
      </c>
      <c r="P29" s="219">
        <f t="shared" ref="P29:P46" si="9">O29*P$1/1000</f>
        <v>19.265109048067014</v>
      </c>
      <c r="R29" s="178">
        <f>O29*R$3</f>
        <v>21657.296136000001</v>
      </c>
      <c r="S29" s="178">
        <f t="shared" si="8"/>
        <v>0.90255726353055254</v>
      </c>
      <c r="T29" s="199">
        <v>2000</v>
      </c>
      <c r="U29" s="218">
        <f t="shared" si="5"/>
        <v>21.464712363482146</v>
      </c>
      <c r="V29" s="178">
        <f>O29/K29</f>
        <v>5.8318042133639292</v>
      </c>
      <c r="W29" s="219">
        <v>6013.3174161498373</v>
      </c>
      <c r="X29" s="219">
        <v>3461.5755526984358</v>
      </c>
      <c r="Y29" s="532">
        <f t="shared" si="6"/>
        <v>24.053269664599348</v>
      </c>
      <c r="Z29" s="219">
        <f t="shared" si="7"/>
        <v>692.31511053968723</v>
      </c>
    </row>
    <row r="30" spans="1:26" x14ac:dyDescent="0.2">
      <c r="A30" s="199">
        <v>2001</v>
      </c>
      <c r="B30" s="198">
        <v>747</v>
      </c>
      <c r="C30" s="217">
        <v>8814.3456853610987</v>
      </c>
      <c r="D30" s="217">
        <v>178.23020669403255</v>
      </c>
      <c r="E30" s="217">
        <v>3522.9479674073568</v>
      </c>
      <c r="F30" s="217">
        <v>347.22726736209063</v>
      </c>
      <c r="G30" s="217">
        <v>0</v>
      </c>
      <c r="H30" s="217">
        <v>0</v>
      </c>
      <c r="I30" s="217">
        <f t="shared" si="3"/>
        <v>12862.751126824578</v>
      </c>
      <c r="J30" s="198">
        <f>'Master escapements'!E34</f>
        <v>19290</v>
      </c>
      <c r="K30" s="217">
        <f t="shared" si="4"/>
        <v>32152.75112682458</v>
      </c>
      <c r="L30" s="218">
        <f t="shared" si="2"/>
        <v>32.152751126824583</v>
      </c>
      <c r="M30">
        <v>4.4321211948027184</v>
      </c>
      <c r="N30" s="218">
        <f>HughSmith!M25*7.5/1000</f>
        <v>23.395573779690586</v>
      </c>
      <c r="O30" s="219">
        <f>ChilkatTable!K20</f>
        <v>155865</v>
      </c>
      <c r="P30" s="219">
        <f t="shared" si="9"/>
        <v>23.987891017406934</v>
      </c>
      <c r="R30" s="178">
        <f t="shared" ref="R30:R46" si="10">O30*R$3</f>
        <v>26966.515380000001</v>
      </c>
      <c r="S30" s="178">
        <f t="shared" si="8"/>
        <v>2.5019800936338665</v>
      </c>
      <c r="T30" s="199">
        <v>2001</v>
      </c>
      <c r="U30" s="218">
        <f t="shared" si="5"/>
        <v>32.152751126824583</v>
      </c>
      <c r="V30" s="178">
        <f t="shared" ref="V30:V47" si="11">O30/K30</f>
        <v>4.8476411671648236</v>
      </c>
      <c r="W30" s="219">
        <v>10445.051597051595</v>
      </c>
      <c r="X30" s="219">
        <v>29306.275562593961</v>
      </c>
      <c r="Y30" s="532">
        <f t="shared" si="6"/>
        <v>41.780206388206381</v>
      </c>
      <c r="Z30" s="219">
        <f t="shared" si="7"/>
        <v>5861.2551125187929</v>
      </c>
    </row>
    <row r="31" spans="1:26" x14ac:dyDescent="0.2">
      <c r="A31" s="199">
        <v>2002</v>
      </c>
      <c r="B31" s="198">
        <v>787</v>
      </c>
      <c r="C31" s="217">
        <v>8649.799148571401</v>
      </c>
      <c r="D31" s="217">
        <v>311.94612000000006</v>
      </c>
      <c r="E31" s="217">
        <v>12076.713492237724</v>
      </c>
      <c r="F31" s="217">
        <v>1079.9622771428571</v>
      </c>
      <c r="G31" s="217">
        <v>0</v>
      </c>
      <c r="H31" s="217">
        <v>0</v>
      </c>
      <c r="I31" s="217">
        <f t="shared" si="3"/>
        <v>22118.421037951983</v>
      </c>
      <c r="J31" s="198">
        <f>'Master escapements'!E35</f>
        <v>27700</v>
      </c>
      <c r="K31" s="217">
        <f t="shared" si="4"/>
        <v>49818.421037951979</v>
      </c>
      <c r="L31" s="218">
        <f t="shared" si="2"/>
        <v>49.818421037951978</v>
      </c>
      <c r="M31">
        <v>4.696055820465828</v>
      </c>
      <c r="N31" s="218">
        <f>HughSmith!M26*7.5/1000</f>
        <v>40.54460962322235</v>
      </c>
      <c r="O31" s="219">
        <f>ChilkatTable!K21</f>
        <v>339984</v>
      </c>
      <c r="P31" s="219">
        <f>O31*P$1/1000</f>
        <v>52.324121128297435</v>
      </c>
      <c r="R31" s="178">
        <f t="shared" si="10"/>
        <v>58821.311807999999</v>
      </c>
      <c r="S31" s="178">
        <f t="shared" si="8"/>
        <v>0.71623783690248477</v>
      </c>
      <c r="T31" s="199">
        <v>2002</v>
      </c>
      <c r="U31" s="218">
        <f t="shared" si="5"/>
        <v>49.818421037951978</v>
      </c>
      <c r="V31" s="178">
        <f t="shared" si="11"/>
        <v>6.8244635802687945</v>
      </c>
      <c r="W31" s="219">
        <v>4795.7619425173434</v>
      </c>
      <c r="X31" s="219">
        <v>14276.18465937988</v>
      </c>
      <c r="Y31" s="532">
        <f t="shared" si="6"/>
        <v>19.183047770069372</v>
      </c>
      <c r="Z31" s="219">
        <f t="shared" si="7"/>
        <v>2855.2369318759761</v>
      </c>
    </row>
    <row r="32" spans="1:26" x14ac:dyDescent="0.2">
      <c r="A32" s="199">
        <v>2003</v>
      </c>
      <c r="B32" s="198">
        <v>1328</v>
      </c>
      <c r="C32" s="217">
        <v>6822.780148593728</v>
      </c>
      <c r="D32" s="217">
        <v>250.64962242187505</v>
      </c>
      <c r="E32" s="217">
        <v>11377.239001695218</v>
      </c>
      <c r="F32" s="217">
        <v>550.35285777343745</v>
      </c>
      <c r="G32" s="217">
        <v>0</v>
      </c>
      <c r="H32" s="217">
        <v>0</v>
      </c>
      <c r="I32" s="217">
        <f t="shared" si="3"/>
        <v>19001.021630484258</v>
      </c>
      <c r="J32" s="198">
        <f>'Master escapements'!E36</f>
        <v>10110</v>
      </c>
      <c r="K32" s="217">
        <f t="shared" si="4"/>
        <v>29111.021630484258</v>
      </c>
      <c r="L32" s="218">
        <f t="shared" si="2"/>
        <v>29.11102163048426</v>
      </c>
      <c r="M32">
        <v>3.7439226830430816</v>
      </c>
      <c r="N32" s="218">
        <f>HughSmith!M27*7.5/1000</f>
        <v>27.573017015461019</v>
      </c>
      <c r="O32" s="219">
        <f>ChilkatTable!K22</f>
        <v>219114</v>
      </c>
      <c r="P32" s="219">
        <f t="shared" si="9"/>
        <v>33.722020674225149</v>
      </c>
      <c r="R32" s="178">
        <f t="shared" si="10"/>
        <v>37909.351368000003</v>
      </c>
      <c r="S32" s="178">
        <f t="shared" si="8"/>
        <v>0.59968680868681135</v>
      </c>
      <c r="T32" s="199">
        <v>2003</v>
      </c>
      <c r="U32" s="218">
        <f t="shared" si="5"/>
        <v>29.11102163048426</v>
      </c>
      <c r="V32" s="178">
        <f t="shared" si="11"/>
        <v>7.5268399296076192</v>
      </c>
      <c r="W32" s="219">
        <v>6828.2770367534458</v>
      </c>
      <c r="X32" s="219">
        <v>10229.048401474518</v>
      </c>
      <c r="Y32" s="532">
        <f t="shared" si="6"/>
        <v>27.313108147013782</v>
      </c>
      <c r="Z32" s="219">
        <f t="shared" si="7"/>
        <v>2045.8096802949037</v>
      </c>
    </row>
    <row r="33" spans="1:47" x14ac:dyDescent="0.2">
      <c r="A33" s="199">
        <v>2004</v>
      </c>
      <c r="B33" s="198">
        <v>756</v>
      </c>
      <c r="C33" s="217">
        <v>10791.879529411573</v>
      </c>
      <c r="D33" s="217">
        <v>83.343922537893278</v>
      </c>
      <c r="E33" s="217">
        <v>7351.7411185928522</v>
      </c>
      <c r="F33" s="217">
        <v>497.03936026973167</v>
      </c>
      <c r="G33" s="217">
        <v>0</v>
      </c>
      <c r="H33" s="217">
        <v>0</v>
      </c>
      <c r="I33" s="217">
        <f t="shared" si="3"/>
        <v>18724.00393081205</v>
      </c>
      <c r="J33" s="198">
        <f>'Master escapements'!E37</f>
        <v>14450</v>
      </c>
      <c r="K33" s="217">
        <f t="shared" si="4"/>
        <v>33174.003930812047</v>
      </c>
      <c r="L33" s="218">
        <f t="shared" si="2"/>
        <v>33.174003930812049</v>
      </c>
      <c r="M33">
        <v>3.9830147394059674</v>
      </c>
      <c r="N33" s="218">
        <f>HughSmith!M28*7.5/1000</f>
        <v>18.686687641571343</v>
      </c>
      <c r="O33" s="219">
        <f>ChilkatTable!K23</f>
        <v>195249</v>
      </c>
      <c r="P33" s="219">
        <f t="shared" si="9"/>
        <v>30.049156213759897</v>
      </c>
      <c r="R33" s="178">
        <f t="shared" si="10"/>
        <v>33780.419988000001</v>
      </c>
      <c r="S33" s="178">
        <f t="shared" si="8"/>
        <v>1.4679351945783934</v>
      </c>
      <c r="T33" s="199">
        <v>2004</v>
      </c>
      <c r="U33" s="218">
        <f t="shared" si="5"/>
        <v>33.174003930812049</v>
      </c>
      <c r="V33" s="178">
        <f t="shared" si="11"/>
        <v>5.8856024858263352</v>
      </c>
      <c r="W33" s="219">
        <v>4007.1904761904761</v>
      </c>
      <c r="X33" s="219">
        <v>13431.287439694583</v>
      </c>
      <c r="Y33" s="532">
        <f t="shared" si="6"/>
        <v>16.028761904761904</v>
      </c>
      <c r="Z33" s="219">
        <f t="shared" si="7"/>
        <v>2686.2574879389167</v>
      </c>
    </row>
    <row r="34" spans="1:47" x14ac:dyDescent="0.2">
      <c r="A34" s="199">
        <v>2005</v>
      </c>
      <c r="B34" s="198">
        <v>392</v>
      </c>
      <c r="C34" s="217">
        <v>4638.6855929203448</v>
      </c>
      <c r="D34" s="217">
        <v>121.22160619469027</v>
      </c>
      <c r="E34" s="217">
        <v>2546.1066283185842</v>
      </c>
      <c r="F34" s="217">
        <v>231.86111504424778</v>
      </c>
      <c r="G34" s="217">
        <v>0</v>
      </c>
      <c r="H34" s="217">
        <v>0</v>
      </c>
      <c r="I34" s="217">
        <f t="shared" si="3"/>
        <v>7537.8749424778662</v>
      </c>
      <c r="J34" s="198">
        <f>'Master escapements'!E38</f>
        <v>5220</v>
      </c>
      <c r="K34" s="217">
        <f t="shared" si="4"/>
        <v>12757.874942477865</v>
      </c>
      <c r="L34" s="218">
        <f t="shared" si="2"/>
        <v>12.757874942477866</v>
      </c>
      <c r="M34">
        <v>4.7227029524352995</v>
      </c>
      <c r="N34" s="218">
        <f>HughSmith!M29*7.5/1000</f>
        <v>27.391618703231995</v>
      </c>
      <c r="O34" s="219">
        <f>ChilkatTable!K24</f>
        <v>65200</v>
      </c>
      <c r="P34" s="219">
        <f t="shared" si="9"/>
        <v>10.034391905398467</v>
      </c>
      <c r="R34" s="178">
        <f t="shared" si="10"/>
        <v>11280.3824</v>
      </c>
      <c r="S34" s="178">
        <f t="shared" si="8"/>
        <v>1.8218740493141377</v>
      </c>
      <c r="T34" s="199">
        <v>2005</v>
      </c>
      <c r="U34" s="218">
        <f t="shared" si="5"/>
        <v>12.757874942477866</v>
      </c>
      <c r="V34" s="178">
        <f t="shared" si="11"/>
        <v>5.1105689853498983</v>
      </c>
      <c r="W34" s="219">
        <v>6459.4281984334193</v>
      </c>
      <c r="X34" s="219">
        <v>30745.173998869617</v>
      </c>
      <c r="Y34" s="532">
        <f t="shared" si="6"/>
        <v>25.837712793733676</v>
      </c>
      <c r="Z34" s="219">
        <f t="shared" si="7"/>
        <v>6149.0347997739236</v>
      </c>
    </row>
    <row r="35" spans="1:47" x14ac:dyDescent="0.2">
      <c r="A35" s="199">
        <v>2006</v>
      </c>
      <c r="B35" s="198">
        <v>701</v>
      </c>
      <c r="C35" s="217">
        <v>4081.5165299999962</v>
      </c>
      <c r="D35" s="217">
        <v>0</v>
      </c>
      <c r="E35" s="217">
        <v>6160.7477426886226</v>
      </c>
      <c r="F35" s="217">
        <v>109.93983000000001</v>
      </c>
      <c r="G35" s="217">
        <v>0</v>
      </c>
      <c r="H35" s="217">
        <v>0</v>
      </c>
      <c r="I35" s="217">
        <f t="shared" si="3"/>
        <v>10352.204102688618</v>
      </c>
      <c r="J35" s="198">
        <f>'Master escapements'!E39</f>
        <v>5470</v>
      </c>
      <c r="K35" s="217">
        <f t="shared" si="4"/>
        <v>15822.204102688618</v>
      </c>
      <c r="L35" s="218">
        <f t="shared" si="2"/>
        <v>15.822204102688618</v>
      </c>
      <c r="M35">
        <v>3.617441621196245</v>
      </c>
      <c r="N35" s="218">
        <f>HughSmith!M30*7.5/1000</f>
        <v>14.44410928838542</v>
      </c>
      <c r="O35" s="219">
        <f>ChilkatTable!K25</f>
        <v>145284</v>
      </c>
      <c r="P35" s="219">
        <f t="shared" si="9"/>
        <v>22.359456956808447</v>
      </c>
      <c r="Q35" s="178">
        <f>1/6.2765</f>
        <v>0.15932446427148889</v>
      </c>
      <c r="R35" s="178">
        <f t="shared" si="10"/>
        <v>25135.875408</v>
      </c>
      <c r="S35" s="178">
        <f t="shared" si="8"/>
        <v>0.66250343310092652</v>
      </c>
      <c r="T35" s="199">
        <v>2006</v>
      </c>
      <c r="U35" s="218">
        <f t="shared" si="5"/>
        <v>15.822204102688618</v>
      </c>
      <c r="V35" s="178">
        <f t="shared" si="11"/>
        <v>9.1822857964088804</v>
      </c>
      <c r="W35" s="219">
        <v>3882.7935222672063</v>
      </c>
      <c r="X35" s="219">
        <v>18937.493299056216</v>
      </c>
      <c r="Y35" s="532">
        <f t="shared" si="6"/>
        <v>15.531174089068825</v>
      </c>
      <c r="Z35" s="219">
        <f t="shared" si="7"/>
        <v>3787.4986598112432</v>
      </c>
    </row>
    <row r="36" spans="1:47" x14ac:dyDescent="0.2">
      <c r="A36" s="199">
        <v>2007</v>
      </c>
      <c r="B36" s="198">
        <v>293</v>
      </c>
      <c r="C36" s="217">
        <v>2937.46540720339</v>
      </c>
      <c r="D36" s="217">
        <v>39.766150338983046</v>
      </c>
      <c r="E36" s="217">
        <v>1668.2414631182066</v>
      </c>
      <c r="F36" s="217">
        <v>161.07739627118644</v>
      </c>
      <c r="G36" s="217">
        <v>0</v>
      </c>
      <c r="H36" s="217">
        <v>0</v>
      </c>
      <c r="I36" s="217">
        <f t="shared" si="3"/>
        <v>4806.5504169317664</v>
      </c>
      <c r="J36" s="198">
        <f>'Master escapements'!E40</f>
        <v>3915</v>
      </c>
      <c r="K36" s="217">
        <f t="shared" si="4"/>
        <v>8721.5504169317664</v>
      </c>
      <c r="L36" s="218">
        <f t="shared" si="2"/>
        <v>8.7215504169317661</v>
      </c>
      <c r="M36">
        <v>2.7118869599033641</v>
      </c>
      <c r="N36" s="218">
        <f>HughSmith!M31*7.5/1000</f>
        <v>24.817920721130417</v>
      </c>
      <c r="O36" s="219">
        <f>ChilkatTable!K26</f>
        <v>38270</v>
      </c>
      <c r="P36" s="219">
        <f t="shared" si="9"/>
        <v>5.8898186843496836</v>
      </c>
      <c r="R36" s="178">
        <f t="shared" si="10"/>
        <v>6621.1692400000002</v>
      </c>
      <c r="S36" s="178">
        <f t="shared" si="8"/>
        <v>1.7608154887319509</v>
      </c>
      <c r="T36" s="199">
        <v>2007</v>
      </c>
      <c r="U36" s="218">
        <f t="shared" si="5"/>
        <v>8.7215504169317661</v>
      </c>
      <c r="V36" s="178">
        <f t="shared" si="11"/>
        <v>4.3879812843486778</v>
      </c>
      <c r="W36" s="219">
        <v>4451.8650641025633</v>
      </c>
      <c r="X36" s="219">
        <v>11274.05893628115</v>
      </c>
      <c r="Y36" s="532">
        <f t="shared" si="6"/>
        <v>17.807460256410252</v>
      </c>
      <c r="Z36" s="219">
        <f t="shared" si="7"/>
        <v>2254.8117872562302</v>
      </c>
    </row>
    <row r="37" spans="1:47" x14ac:dyDescent="0.2">
      <c r="A37" s="199">
        <v>2008</v>
      </c>
      <c r="B37" s="198">
        <v>423</v>
      </c>
      <c r="C37" s="217">
        <v>3878.1945390909154</v>
      </c>
      <c r="D37" s="217">
        <v>0</v>
      </c>
      <c r="E37" s="217">
        <v>3469.3583642523213</v>
      </c>
      <c r="F37" s="217">
        <v>149.20630886363637</v>
      </c>
      <c r="G37" s="217">
        <v>0</v>
      </c>
      <c r="H37" s="217">
        <v>0</v>
      </c>
      <c r="I37" s="217">
        <f t="shared" si="3"/>
        <v>7496.7592122068727</v>
      </c>
      <c r="J37" s="198">
        <f>'Master escapements'!E41</f>
        <v>6870</v>
      </c>
      <c r="K37" s="217">
        <f t="shared" si="4"/>
        <v>14366.759212206873</v>
      </c>
      <c r="L37" s="218">
        <f t="shared" si="2"/>
        <v>14.366759212206873</v>
      </c>
      <c r="M37">
        <v>3.8245198363132995</v>
      </c>
      <c r="N37" s="218">
        <f>HughSmith!M32*7.5/1000</f>
        <v>28.32</v>
      </c>
      <c r="O37" s="219">
        <f>ChilkatTable!K27</f>
        <v>108141</v>
      </c>
      <c r="P37" s="219">
        <f t="shared" si="9"/>
        <v>16.643085506774476</v>
      </c>
      <c r="R37" s="178">
        <f t="shared" si="10"/>
        <v>18709.690692</v>
      </c>
      <c r="S37" s="178">
        <f t="shared" si="8"/>
        <v>1.1178420133968208</v>
      </c>
      <c r="T37" s="199">
        <v>2008</v>
      </c>
      <c r="U37" s="218">
        <f t="shared" si="5"/>
        <v>14.366759212206873</v>
      </c>
      <c r="V37" s="178">
        <f t="shared" si="11"/>
        <v>7.5271672896220618</v>
      </c>
      <c r="W37" s="219">
        <v>3530.5949008498587</v>
      </c>
      <c r="X37" s="219">
        <v>21115.576579558565</v>
      </c>
      <c r="Y37" s="532">
        <f t="shared" si="6"/>
        <v>14.122379603399436</v>
      </c>
      <c r="Z37" s="219">
        <f t="shared" si="7"/>
        <v>4223.115315911713</v>
      </c>
    </row>
    <row r="38" spans="1:47" x14ac:dyDescent="0.2">
      <c r="A38" s="199">
        <v>2009</v>
      </c>
      <c r="B38" s="198">
        <v>201</v>
      </c>
      <c r="C38" s="217">
        <v>2806.6890000000003</v>
      </c>
      <c r="D38" s="217">
        <v>63.469780253164558</v>
      </c>
      <c r="E38" s="217">
        <v>2037.1891625316459</v>
      </c>
      <c r="F38" s="217">
        <v>180.09817215189872</v>
      </c>
      <c r="G38" s="217">
        <v>0</v>
      </c>
      <c r="H38" s="217">
        <v>0</v>
      </c>
      <c r="I38" s="217">
        <f t="shared" si="3"/>
        <v>5087.4461149367089</v>
      </c>
      <c r="J38" s="198">
        <f>'Master escapements'!E42</f>
        <v>4230</v>
      </c>
      <c r="K38" s="217">
        <f t="shared" si="4"/>
        <v>9317.4461149367089</v>
      </c>
      <c r="L38" s="218">
        <f t="shared" si="2"/>
        <v>9.3174461149367094</v>
      </c>
      <c r="M38">
        <v>3.9579049170809988</v>
      </c>
      <c r="N38" s="218">
        <f>HughSmith!M33*7.5/1000</f>
        <v>32.872500000000002</v>
      </c>
      <c r="O38" s="219">
        <f>ChilkatTable!K28</f>
        <v>78096</v>
      </c>
      <c r="P38" s="219">
        <f>O38*P$1/1000</f>
        <v>12.019108439325134</v>
      </c>
      <c r="R38" s="178">
        <f t="shared" si="10"/>
        <v>13511.545152000001</v>
      </c>
      <c r="S38" s="178">
        <f t="shared" si="8"/>
        <v>1.377726257149378</v>
      </c>
      <c r="T38" s="199">
        <v>2009</v>
      </c>
      <c r="U38" s="218">
        <f t="shared" si="5"/>
        <v>9.3174461149367094</v>
      </c>
      <c r="V38" s="178">
        <f t="shared" si="11"/>
        <v>8.3816959107286966</v>
      </c>
      <c r="W38" s="219">
        <v>9589.3037135278519</v>
      </c>
      <c r="X38" s="219">
        <v>26349.248905771045</v>
      </c>
      <c r="Y38" s="532">
        <f t="shared" si="6"/>
        <v>38.357214854111405</v>
      </c>
      <c r="Z38" s="219">
        <f t="shared" si="7"/>
        <v>5269.8497811542093</v>
      </c>
    </row>
    <row r="39" spans="1:47" x14ac:dyDescent="0.2">
      <c r="A39" s="197">
        <v>2010</v>
      </c>
      <c r="B39" s="196">
        <v>324</v>
      </c>
      <c r="C39" s="193">
        <v>6451.0321920064944</v>
      </c>
      <c r="D39" s="193">
        <v>110.42222836275106</v>
      </c>
      <c r="E39" s="193">
        <v>7257.8094840332706</v>
      </c>
      <c r="F39" s="193">
        <v>477.26748744167173</v>
      </c>
      <c r="G39" s="193">
        <v>0</v>
      </c>
      <c r="H39" s="193">
        <v>0</v>
      </c>
      <c r="I39" s="193">
        <f t="shared" si="3"/>
        <v>14296.531391844188</v>
      </c>
      <c r="J39" s="198">
        <f>'Master escapements'!E43</f>
        <v>7520</v>
      </c>
      <c r="K39" s="193">
        <f t="shared" si="4"/>
        <v>21816.53139184419</v>
      </c>
      <c r="L39" s="218">
        <f t="shared" si="2"/>
        <v>21.81653139184419</v>
      </c>
      <c r="M39">
        <v>3.6439518331485585</v>
      </c>
      <c r="N39" s="218">
        <f>HughSmith!M34*7.5/1000</f>
        <v>40.627499999999998</v>
      </c>
      <c r="O39" s="219">
        <f>ChilkatTable!K29</f>
        <v>154342</v>
      </c>
      <c r="P39" s="219">
        <f t="shared" si="9"/>
        <v>23.753498703420401</v>
      </c>
      <c r="R39" s="178">
        <f t="shared" si="10"/>
        <v>26703.018103999999</v>
      </c>
      <c r="S39" s="178">
        <f t="shared" si="8"/>
        <v>0.888840111634008</v>
      </c>
      <c r="T39" s="197">
        <v>2010</v>
      </c>
      <c r="U39" s="218">
        <f t="shared" si="5"/>
        <v>21.81653139184419</v>
      </c>
      <c r="V39" s="178">
        <f t="shared" si="11"/>
        <v>7.0745434839242423</v>
      </c>
      <c r="W39" s="219">
        <v>5880</v>
      </c>
      <c r="X39" s="219">
        <v>12326.063255825364</v>
      </c>
      <c r="Y39" s="532">
        <f t="shared" si="6"/>
        <v>23.52</v>
      </c>
      <c r="Z39" s="219">
        <f t="shared" si="7"/>
        <v>2465.2126511650731</v>
      </c>
    </row>
    <row r="40" spans="1:47" x14ac:dyDescent="0.2">
      <c r="A40" s="197">
        <v>2011</v>
      </c>
      <c r="B40" s="196">
        <v>174</v>
      </c>
      <c r="C40" s="193">
        <v>3721.6134204545397</v>
      </c>
      <c r="D40" s="193">
        <v>251.49773409090906</v>
      </c>
      <c r="E40" s="193">
        <v>1900.0913647727275</v>
      </c>
      <c r="F40" s="193">
        <v>105.85753977272728</v>
      </c>
      <c r="G40" s="193">
        <v>0</v>
      </c>
      <c r="H40" s="193">
        <v>0</v>
      </c>
      <c r="I40" s="193">
        <f t="shared" si="3"/>
        <v>5979.0600590909035</v>
      </c>
      <c r="J40" s="198">
        <f>'Master escapements'!E44</f>
        <v>6050</v>
      </c>
      <c r="K40" s="193">
        <f t="shared" si="4"/>
        <v>12029.060059090903</v>
      </c>
      <c r="L40" s="218">
        <f t="shared" si="2"/>
        <v>12.029060059090904</v>
      </c>
      <c r="M40">
        <v>4.471506823573387</v>
      </c>
      <c r="N40" s="218">
        <f>HughSmith!M35*7.5/1000</f>
        <v>29.5275</v>
      </c>
      <c r="O40" s="219">
        <f>ChilkatTable!K30</f>
        <v>97720</v>
      </c>
      <c r="P40" s="219">
        <f t="shared" si="9"/>
        <v>15.039275720790464</v>
      </c>
      <c r="R40" s="178">
        <f t="shared" si="10"/>
        <v>16906.732639999998</v>
      </c>
      <c r="S40" s="178">
        <f t="shared" si="8"/>
        <v>1.9586497204568303</v>
      </c>
      <c r="T40" s="197">
        <v>2011</v>
      </c>
      <c r="U40" s="218">
        <f t="shared" si="5"/>
        <v>12.029060059090904</v>
      </c>
      <c r="V40" s="178">
        <f t="shared" si="11"/>
        <v>8.1236604954972016</v>
      </c>
      <c r="W40" s="219">
        <v>3585.7142857142853</v>
      </c>
      <c r="X40" s="219">
        <v>20244.187480607565</v>
      </c>
      <c r="Y40" s="532">
        <f t="shared" si="6"/>
        <v>14.342857142857142</v>
      </c>
      <c r="Z40" s="219">
        <f t="shared" si="7"/>
        <v>4048.8374961215131</v>
      </c>
    </row>
    <row r="41" spans="1:47" x14ac:dyDescent="0.2">
      <c r="A41" s="197">
        <v>2012</v>
      </c>
      <c r="B41" s="196">
        <v>159</v>
      </c>
      <c r="C41" s="193">
        <v>2070.8644198484849</v>
      </c>
      <c r="D41" s="193">
        <v>0</v>
      </c>
      <c r="E41" s="193">
        <v>928.73907227713028</v>
      </c>
      <c r="F41" s="193">
        <v>50.903130606060614</v>
      </c>
      <c r="G41" s="193">
        <v>0</v>
      </c>
      <c r="H41" s="193">
        <v>0</v>
      </c>
      <c r="I41" s="193">
        <f t="shared" si="3"/>
        <v>3050.5066227316756</v>
      </c>
      <c r="J41" s="198">
        <f>'Master escapements'!E45</f>
        <v>5480</v>
      </c>
      <c r="K41" s="193">
        <f t="shared" si="4"/>
        <v>8530.5066227316747</v>
      </c>
      <c r="L41" s="218">
        <f t="shared" si="2"/>
        <v>8.530506622731675</v>
      </c>
      <c r="M41">
        <v>3.5228806749102057</v>
      </c>
      <c r="N41" s="218">
        <f>HughSmith!M36*7.5/1000</f>
        <v>31.2225</v>
      </c>
      <c r="O41" s="219">
        <f>ChilkatTable!K31</f>
        <v>65097</v>
      </c>
      <c r="P41" s="219">
        <f t="shared" si="9"/>
        <v>10.018540028615398</v>
      </c>
      <c r="R41" s="178">
        <f t="shared" si="10"/>
        <v>11262.562164000001</v>
      </c>
      <c r="S41" s="178">
        <f t="shared" si="8"/>
        <v>2.2297591235943512</v>
      </c>
      <c r="T41" s="197">
        <v>2012</v>
      </c>
      <c r="U41" s="218">
        <f t="shared" si="5"/>
        <v>8.530506622731675</v>
      </c>
      <c r="V41" s="178">
        <f t="shared" si="11"/>
        <v>7.6310825228753369</v>
      </c>
      <c r="W41" s="219">
        <v>4593.2478632478633</v>
      </c>
      <c r="X41" s="219">
        <v>15583.872409918873</v>
      </c>
      <c r="Y41" s="532">
        <f t="shared" si="6"/>
        <v>18.372991452991453</v>
      </c>
      <c r="Z41" s="219">
        <f t="shared" si="7"/>
        <v>3116.7744819837749</v>
      </c>
    </row>
    <row r="42" spans="1:47" x14ac:dyDescent="0.2">
      <c r="A42" s="197">
        <v>2013</v>
      </c>
      <c r="B42" s="196">
        <v>374</v>
      </c>
      <c r="C42" s="193">
        <v>7520.6314891346174</v>
      </c>
      <c r="D42" s="193">
        <v>369.31291519230768</v>
      </c>
      <c r="E42" s="193">
        <v>6289.0026513461544</v>
      </c>
      <c r="F42" s="193">
        <v>608.63396596153848</v>
      </c>
      <c r="G42" s="193">
        <v>0</v>
      </c>
      <c r="H42" s="193">
        <v>0</v>
      </c>
      <c r="I42" s="193">
        <f t="shared" si="3"/>
        <v>14787.581021634618</v>
      </c>
      <c r="J42" s="198">
        <f>'Master escapements'!E46</f>
        <v>6280</v>
      </c>
      <c r="K42" s="193">
        <f t="shared" si="4"/>
        <v>21067.581021634618</v>
      </c>
      <c r="L42" s="218">
        <f t="shared" si="2"/>
        <v>21.067581021634616</v>
      </c>
      <c r="M42">
        <v>5.0653238681982691</v>
      </c>
      <c r="N42" s="218">
        <f>HughSmith!M37*7.5/1000</f>
        <v>51.795000000000002</v>
      </c>
      <c r="O42" s="219">
        <f>ChilkatTable!K32</f>
        <v>121537</v>
      </c>
      <c r="P42" s="219">
        <f t="shared" si="9"/>
        <v>18.704752898871369</v>
      </c>
      <c r="R42" s="178">
        <f t="shared" si="10"/>
        <v>21027.359444000002</v>
      </c>
      <c r="S42" s="178">
        <f t="shared" si="8"/>
        <v>1.1958384987363353</v>
      </c>
      <c r="T42" s="197">
        <v>2013</v>
      </c>
      <c r="U42" s="218">
        <f t="shared" si="5"/>
        <v>21.067581021634616</v>
      </c>
      <c r="V42" s="178">
        <f t="shared" si="11"/>
        <v>5.7689110047893877</v>
      </c>
      <c r="W42" s="219">
        <v>8306.4368733918909</v>
      </c>
      <c r="X42" s="219">
        <v>35658.187297618926</v>
      </c>
      <c r="Y42" s="532">
        <f t="shared" si="6"/>
        <v>33.22574749356756</v>
      </c>
      <c r="Z42" s="219">
        <f t="shared" si="7"/>
        <v>7131.6374595237858</v>
      </c>
    </row>
    <row r="43" spans="1:47" x14ac:dyDescent="0.2">
      <c r="A43" s="197">
        <v>2014</v>
      </c>
      <c r="B43" s="196">
        <v>287</v>
      </c>
      <c r="C43" s="193">
        <v>4301.1241040387176</v>
      </c>
      <c r="D43" s="193">
        <v>0</v>
      </c>
      <c r="E43" s="193">
        <v>6241.2289092835672</v>
      </c>
      <c r="F43" s="193">
        <v>625.94153588117479</v>
      </c>
      <c r="G43" s="193">
        <v>0</v>
      </c>
      <c r="H43" s="193">
        <v>0</v>
      </c>
      <c r="I43" s="193">
        <f t="shared" si="3"/>
        <v>11168.29454920346</v>
      </c>
      <c r="J43" s="198">
        <f>'Master escapements'!E47</f>
        <v>15480</v>
      </c>
      <c r="K43" s="193">
        <f t="shared" si="4"/>
        <v>26648.29454920346</v>
      </c>
      <c r="L43" s="218">
        <f t="shared" si="2"/>
        <v>26.64829454920346</v>
      </c>
      <c r="M43">
        <v>6.6261472069908107</v>
      </c>
      <c r="N43" s="218">
        <f>HughSmith!M38*7.5/1000</f>
        <v>57.802500000000002</v>
      </c>
      <c r="O43" s="219">
        <f>ChilkatTable!K33</f>
        <v>156445</v>
      </c>
      <c r="P43" s="219">
        <f t="shared" si="9"/>
        <v>24.077154012884407</v>
      </c>
      <c r="R43" s="178">
        <f t="shared" si="10"/>
        <v>27066.86234</v>
      </c>
      <c r="S43" s="178">
        <f t="shared" si="8"/>
        <v>0.68914698796593976</v>
      </c>
      <c r="T43" s="197">
        <v>2014</v>
      </c>
      <c r="U43" s="218">
        <f t="shared" si="5"/>
        <v>26.64829454920346</v>
      </c>
      <c r="V43" s="178">
        <f t="shared" si="11"/>
        <v>5.8707321667861212</v>
      </c>
      <c r="W43" s="219">
        <v>9309.4739629990272</v>
      </c>
      <c r="X43" s="219">
        <v>27010.004151512567</v>
      </c>
      <c r="Y43" s="532">
        <f t="shared" si="6"/>
        <v>37.237895851996107</v>
      </c>
      <c r="Z43" s="219">
        <f t="shared" si="7"/>
        <v>5402.0008303025134</v>
      </c>
    </row>
    <row r="44" spans="1:47" x14ac:dyDescent="0.2">
      <c r="A44" s="197">
        <v>2015</v>
      </c>
      <c r="B44" s="196">
        <v>306</v>
      </c>
      <c r="C44" s="193">
        <v>3543</v>
      </c>
      <c r="D44" s="193">
        <v>120</v>
      </c>
      <c r="E44" s="193">
        <v>1869</v>
      </c>
      <c r="F44" s="193">
        <v>177</v>
      </c>
      <c r="G44" s="193">
        <v>0</v>
      </c>
      <c r="H44" s="193">
        <v>0</v>
      </c>
      <c r="I44" s="193">
        <f t="shared" si="3"/>
        <v>5709</v>
      </c>
      <c r="J44" s="198">
        <f>'Master escapements'!E48</f>
        <v>9940</v>
      </c>
      <c r="K44" s="193">
        <f t="shared" si="4"/>
        <v>15649</v>
      </c>
      <c r="L44" s="218">
        <f t="shared" si="2"/>
        <v>15.648999999999999</v>
      </c>
      <c r="M44">
        <v>3.2240158473155649</v>
      </c>
      <c r="N44" s="218">
        <f>HughSmith!M39*7.5/1000</f>
        <v>14.654999999999999</v>
      </c>
      <c r="O44" s="219">
        <f>ChilkatTable!K34</f>
        <v>71816</v>
      </c>
      <c r="P44" s="219">
        <f t="shared" si="9"/>
        <v>11.052605660706998</v>
      </c>
      <c r="R44" s="178">
        <f t="shared" si="10"/>
        <v>12425.029791999999</v>
      </c>
      <c r="S44" s="178">
        <f t="shared" si="8"/>
        <v>1.8956661316211878</v>
      </c>
      <c r="T44" s="197">
        <v>2015</v>
      </c>
      <c r="U44" s="218">
        <f t="shared" si="5"/>
        <v>15.648999999999999</v>
      </c>
      <c r="V44" s="178">
        <f t="shared" si="11"/>
        <v>4.5891750271582845</v>
      </c>
      <c r="W44" s="219">
        <v>4509.4373716632444</v>
      </c>
      <c r="X44" s="219">
        <v>12394.329782286932</v>
      </c>
      <c r="Y44" s="532">
        <f t="shared" si="6"/>
        <v>18.037749486652977</v>
      </c>
      <c r="Z44" s="219">
        <f t="shared" si="7"/>
        <v>2478.8659564573863</v>
      </c>
    </row>
    <row r="45" spans="1:47" x14ac:dyDescent="0.2">
      <c r="A45" s="197">
        <v>2016</v>
      </c>
      <c r="B45" s="196">
        <v>173</v>
      </c>
      <c r="C45" s="193">
        <v>919.40433610062894</v>
      </c>
      <c r="D45" s="193">
        <v>11.276941383647799</v>
      </c>
      <c r="E45" s="193">
        <v>2197.7022701886781</v>
      </c>
      <c r="F45" s="193">
        <v>86.833457106918246</v>
      </c>
      <c r="G45" s="193">
        <v>0</v>
      </c>
      <c r="H45" s="193">
        <v>0</v>
      </c>
      <c r="I45" s="193">
        <f>SUM(C45:H45)</f>
        <v>3215.2170047798727</v>
      </c>
      <c r="J45" s="198">
        <f>'Master escapements'!E49</f>
        <v>6733</v>
      </c>
      <c r="K45" s="193">
        <f>I45+J45</f>
        <v>9948.2170047798718</v>
      </c>
      <c r="L45" s="218">
        <f t="shared" si="2"/>
        <v>9.9482170047798721</v>
      </c>
      <c r="M45">
        <v>4.6528674353316211</v>
      </c>
      <c r="N45" s="218">
        <f>HughSmith!M40*7.5/1000</f>
        <v>18.495000000000001</v>
      </c>
      <c r="O45" s="219">
        <f>ChilkatTable!K35</f>
        <v>40522</v>
      </c>
      <c r="P45" s="219">
        <f t="shared" si="9"/>
        <v>6.2364053495484146</v>
      </c>
      <c r="R45" s="178">
        <f t="shared" si="10"/>
        <v>7010.7922639999997</v>
      </c>
      <c r="S45" s="178">
        <f t="shared" si="8"/>
        <v>0.41834799398086614</v>
      </c>
      <c r="T45" s="197">
        <v>2016</v>
      </c>
      <c r="U45" s="218">
        <f t="shared" si="5"/>
        <v>9.9482170047798721</v>
      </c>
      <c r="V45" s="178">
        <f t="shared" si="11"/>
        <v>4.0732927297957193</v>
      </c>
      <c r="W45" s="219">
        <v>11507.499628687408</v>
      </c>
      <c r="X45" s="219">
        <v>10978.370869008892</v>
      </c>
      <c r="Y45" s="532">
        <f t="shared" si="6"/>
        <v>46.029998514749636</v>
      </c>
      <c r="Z45" s="219">
        <f t="shared" si="7"/>
        <v>2195.6741738017786</v>
      </c>
    </row>
    <row r="46" spans="1:47" x14ac:dyDescent="0.2">
      <c r="A46" s="197">
        <v>2017</v>
      </c>
      <c r="B46" s="196">
        <v>153</v>
      </c>
      <c r="C46" s="193">
        <v>4455</v>
      </c>
      <c r="D46" s="193">
        <v>863</v>
      </c>
      <c r="E46" s="193">
        <v>1706</v>
      </c>
      <c r="F46" s="193">
        <v>234</v>
      </c>
      <c r="G46" s="193">
        <v>0</v>
      </c>
      <c r="H46" s="193">
        <v>0</v>
      </c>
      <c r="I46" s="193">
        <f>SUM(C46:H46)</f>
        <v>7258</v>
      </c>
      <c r="J46" s="198">
        <f>'Master escapements'!E50</f>
        <v>7040</v>
      </c>
      <c r="K46" s="193">
        <f>I46+J46</f>
        <v>14298</v>
      </c>
      <c r="L46" s="218">
        <f t="shared" si="2"/>
        <v>14.298</v>
      </c>
      <c r="M46">
        <v>5.1578733018510396</v>
      </c>
      <c r="N46" s="218">
        <f>HughSmith!M41*7.5/1000</f>
        <v>18.1875</v>
      </c>
      <c r="O46" s="219">
        <f>ChilkatTable!K36</f>
        <v>52547</v>
      </c>
      <c r="P46" s="219">
        <f t="shared" si="9"/>
        <v>8.0870734885425346</v>
      </c>
      <c r="R46" s="178">
        <f t="shared" si="10"/>
        <v>9091.2615640000004</v>
      </c>
      <c r="S46" s="178">
        <f>C46/E46</f>
        <v>2.61137162954279</v>
      </c>
      <c r="T46" s="197">
        <v>2017</v>
      </c>
      <c r="U46" s="218">
        <f t="shared" si="5"/>
        <v>14.298</v>
      </c>
      <c r="V46" s="178">
        <f t="shared" si="11"/>
        <v>3.6751293887256957</v>
      </c>
      <c r="W46" s="219">
        <v>7912.1686830173921</v>
      </c>
      <c r="X46" s="219">
        <v>37721.894117274169</v>
      </c>
      <c r="Y46" s="532">
        <f t="shared" si="6"/>
        <v>31.648674732069569</v>
      </c>
      <c r="Z46" s="219">
        <f t="shared" si="7"/>
        <v>7544.3788234548338</v>
      </c>
      <c r="AT46">
        <v>5.6444000000000001</v>
      </c>
      <c r="AU46" s="178">
        <f>1/AT46</f>
        <v>0.17716674934448304</v>
      </c>
    </row>
    <row r="47" spans="1:47" x14ac:dyDescent="0.2">
      <c r="A47" s="197">
        <v>2018</v>
      </c>
      <c r="B47" s="196">
        <v>267</v>
      </c>
      <c r="C47" s="193">
        <v>1087</v>
      </c>
      <c r="D47" s="193">
        <v>0</v>
      </c>
      <c r="E47" s="193">
        <v>3019</v>
      </c>
      <c r="F47" s="193">
        <v>124</v>
      </c>
      <c r="G47" s="193">
        <v>0</v>
      </c>
      <c r="H47" s="193">
        <v>0</v>
      </c>
      <c r="I47" s="193">
        <f>SUM(C47:H47)</f>
        <v>4230</v>
      </c>
      <c r="J47" s="198">
        <f>'Master escapements'!E51</f>
        <v>3550</v>
      </c>
      <c r="K47" s="193">
        <f>I47+J47</f>
        <v>7780</v>
      </c>
      <c r="L47" s="218">
        <f t="shared" ref="L47" si="12">K47/1000</f>
        <v>7.78</v>
      </c>
      <c r="M47">
        <v>5.1578733018510396</v>
      </c>
      <c r="N47" s="218">
        <f>HughSmith!M43*7.5/1000</f>
        <v>30.442187790707081</v>
      </c>
      <c r="O47" s="529">
        <f>ChilkatTable!K37</f>
        <v>86691.262899059191</v>
      </c>
      <c r="P47" s="219"/>
      <c r="R47" s="178">
        <f>O47*R$3</f>
        <v>14998.628776692029</v>
      </c>
      <c r="S47" s="178">
        <f>C47/E47</f>
        <v>0.36005299768135146</v>
      </c>
      <c r="T47" s="197">
        <v>2018</v>
      </c>
      <c r="U47" s="218">
        <f t="shared" si="5"/>
        <v>7.78</v>
      </c>
      <c r="V47" s="178">
        <f t="shared" si="11"/>
        <v>11.142835848208122</v>
      </c>
      <c r="W47" s="529">
        <f>700/(1-0.431506715816352)</f>
        <v>1231.3250120539149</v>
      </c>
      <c r="X47" s="529">
        <v>10862.212342181479</v>
      </c>
      <c r="Y47" s="532">
        <f t="shared" si="6"/>
        <v>4.925300048215659</v>
      </c>
      <c r="Z47" s="219">
        <f t="shared" si="7"/>
        <v>2172.4424684362962</v>
      </c>
    </row>
    <row r="48" spans="1:47" x14ac:dyDescent="0.2">
      <c r="A48" s="195" t="s">
        <v>32</v>
      </c>
      <c r="B48" s="194"/>
      <c r="C48" s="194">
        <f t="shared" ref="C48:K48" si="13">AVERAGEA(C7:C46)</f>
        <v>8435.3287341830655</v>
      </c>
      <c r="D48" s="194">
        <f t="shared" si="13"/>
        <v>205.99452567906255</v>
      </c>
      <c r="E48" s="194">
        <f t="shared" si="13"/>
        <v>6804.7473425910184</v>
      </c>
      <c r="F48" s="194">
        <f t="shared" si="13"/>
        <v>284.6389488395601</v>
      </c>
      <c r="G48" s="194">
        <f t="shared" si="13"/>
        <v>0.25103768885937244</v>
      </c>
      <c r="H48" s="194">
        <f t="shared" si="13"/>
        <v>0.62981155782923215</v>
      </c>
      <c r="I48" s="194">
        <f t="shared" si="13"/>
        <v>15731.590400539397</v>
      </c>
      <c r="J48" s="194">
        <f t="shared" si="13"/>
        <v>8511.5897435897441</v>
      </c>
      <c r="K48" s="194">
        <f t="shared" si="13"/>
        <v>24392.827242644653</v>
      </c>
      <c r="U48" s="178">
        <f>1/V48</f>
        <v>0.15390171634046729</v>
      </c>
      <c r="V48" s="178">
        <f>AVERAGE(V29:V47)</f>
        <v>6.4976533321289391</v>
      </c>
    </row>
    <row r="49" spans="1:98" ht="15.75" x14ac:dyDescent="0.25">
      <c r="A49" s="107" t="s">
        <v>91</v>
      </c>
      <c r="B49" s="192"/>
    </row>
    <row r="50" spans="1:98" x14ac:dyDescent="0.2">
      <c r="A50" s="176"/>
      <c r="B50" s="176"/>
      <c r="C50" s="176"/>
      <c r="D50" s="176"/>
      <c r="E50" s="176"/>
      <c r="F50" s="176"/>
      <c r="G50" s="176"/>
      <c r="H50" s="176"/>
      <c r="I50" s="176"/>
      <c r="J50" s="176"/>
      <c r="K50" s="176"/>
    </row>
    <row r="51" spans="1:98" x14ac:dyDescent="0.2">
      <c r="A51" s="176"/>
      <c r="B51" s="176"/>
      <c r="C51" s="176"/>
    </row>
    <row r="52" spans="1:98" x14ac:dyDescent="0.2">
      <c r="A52" s="206"/>
      <c r="B52" s="205" t="s">
        <v>33</v>
      </c>
      <c r="C52" s="203"/>
      <c r="D52" s="203"/>
      <c r="E52" s="203"/>
      <c r="F52" s="203" t="s">
        <v>88</v>
      </c>
      <c r="G52" s="204"/>
      <c r="H52" s="204"/>
      <c r="I52" s="203"/>
      <c r="J52" s="203"/>
      <c r="K52" s="203"/>
      <c r="R52" s="18"/>
    </row>
    <row r="53" spans="1:98" x14ac:dyDescent="0.2">
      <c r="A53" s="192"/>
      <c r="B53" s="202" t="s">
        <v>63</v>
      </c>
      <c r="C53" s="177"/>
      <c r="D53" s="177"/>
      <c r="E53" s="177" t="s">
        <v>82</v>
      </c>
      <c r="F53" s="177"/>
      <c r="G53" s="177" t="s">
        <v>75</v>
      </c>
      <c r="H53" s="177" t="s">
        <v>87</v>
      </c>
      <c r="I53" s="177" t="s">
        <v>29</v>
      </c>
      <c r="J53" s="177"/>
      <c r="K53" s="177" t="s">
        <v>26</v>
      </c>
      <c r="L53" s="211"/>
      <c r="R53"/>
    </row>
    <row r="54" spans="1:98" x14ac:dyDescent="0.2">
      <c r="A54" s="201" t="s">
        <v>3</v>
      </c>
      <c r="B54" s="200" t="s">
        <v>80</v>
      </c>
      <c r="C54" s="200" t="s">
        <v>4</v>
      </c>
      <c r="D54" s="200" t="s">
        <v>79</v>
      </c>
      <c r="E54" s="200" t="s">
        <v>16</v>
      </c>
      <c r="F54" s="200" t="s">
        <v>17</v>
      </c>
      <c r="G54" s="200" t="s">
        <v>71</v>
      </c>
      <c r="H54" s="200" t="s">
        <v>86</v>
      </c>
      <c r="I54" s="200" t="s">
        <v>23</v>
      </c>
      <c r="J54" s="200" t="s">
        <v>40</v>
      </c>
      <c r="K54" s="200" t="s">
        <v>78</v>
      </c>
      <c r="L54" s="211"/>
      <c r="R54"/>
    </row>
    <row r="55" spans="1:98" ht="15" x14ac:dyDescent="0.25">
      <c r="A55" s="199">
        <v>1974</v>
      </c>
      <c r="B55" s="198">
        <v>157</v>
      </c>
      <c r="C55" s="207">
        <f t="shared" ref="C55:K55" si="14">C7/$K7*100</f>
        <v>50.13906433923804</v>
      </c>
      <c r="D55" s="215">
        <f t="shared" si="14"/>
        <v>2.221350951738394</v>
      </c>
      <c r="E55" s="207">
        <f t="shared" si="14"/>
        <v>25.06953216961902</v>
      </c>
      <c r="F55" s="215">
        <f t="shared" si="14"/>
        <v>0</v>
      </c>
      <c r="G55" s="215">
        <f t="shared" si="14"/>
        <v>0</v>
      </c>
      <c r="H55" s="215">
        <f t="shared" si="14"/>
        <v>0</v>
      </c>
      <c r="I55" s="215">
        <f t="shared" si="14"/>
        <v>77.429947460595443</v>
      </c>
      <c r="J55" s="216">
        <f t="shared" si="14"/>
        <v>22.570052539404553</v>
      </c>
      <c r="K55" s="215">
        <f t="shared" si="14"/>
        <v>100</v>
      </c>
      <c r="L55" s="211">
        <f t="shared" ref="L55:L92" si="15">E55/C55</f>
        <v>0.5</v>
      </c>
      <c r="O55" s="199">
        <v>1982</v>
      </c>
      <c r="P55" s="217">
        <v>32609.466443750003</v>
      </c>
      <c r="Q55" s="141">
        <v>6132.3981005882351</v>
      </c>
      <c r="R55"/>
    </row>
    <row r="56" spans="1:98" ht="15" x14ac:dyDescent="0.25">
      <c r="A56" s="199">
        <v>1978</v>
      </c>
      <c r="B56" s="198">
        <v>124</v>
      </c>
      <c r="C56" s="207">
        <f t="shared" ref="C56:K56" si="16">C8/$K8*100</f>
        <v>49.811772540692438</v>
      </c>
      <c r="D56" s="215">
        <f t="shared" si="16"/>
        <v>0</v>
      </c>
      <c r="E56" s="207">
        <f t="shared" si="16"/>
        <v>28.634622680603034</v>
      </c>
      <c r="F56" s="215">
        <f t="shared" si="16"/>
        <v>0</v>
      </c>
      <c r="G56" s="215">
        <f t="shared" si="16"/>
        <v>0</v>
      </c>
      <c r="H56" s="215">
        <f t="shared" si="16"/>
        <v>0</v>
      </c>
      <c r="I56" s="215">
        <f t="shared" si="16"/>
        <v>78.446395221295489</v>
      </c>
      <c r="J56" s="216">
        <f t="shared" si="16"/>
        <v>21.553604778704518</v>
      </c>
      <c r="K56" s="215">
        <f t="shared" si="16"/>
        <v>100</v>
      </c>
      <c r="L56" s="211">
        <f t="shared" si="15"/>
        <v>0.57485652929155895</v>
      </c>
      <c r="O56" s="199">
        <v>1983</v>
      </c>
      <c r="P56" s="217">
        <v>34414.496114285736</v>
      </c>
      <c r="Q56" s="141">
        <v>3874.6376055912779</v>
      </c>
      <c r="R56"/>
      <c r="CS56" s="178">
        <f>10000</f>
        <v>10000</v>
      </c>
      <c r="CT56" s="178">
        <v>12000</v>
      </c>
    </row>
    <row r="57" spans="1:98" ht="15" x14ac:dyDescent="0.25">
      <c r="A57" s="199">
        <v>1979</v>
      </c>
      <c r="B57" s="198">
        <v>84</v>
      </c>
      <c r="C57" s="207">
        <f t="shared" ref="C57:K57" si="17">C9/$K9*100</f>
        <v>46.012607007925098</v>
      </c>
      <c r="D57" s="215">
        <f t="shared" si="17"/>
        <v>3.8633912647791271</v>
      </c>
      <c r="E57" s="207">
        <f t="shared" si="17"/>
        <v>16.688301117646009</v>
      </c>
      <c r="F57" s="215">
        <f t="shared" si="17"/>
        <v>0.89282542631838546</v>
      </c>
      <c r="G57" s="215">
        <f t="shared" si="17"/>
        <v>0</v>
      </c>
      <c r="H57" s="215">
        <f t="shared" si="17"/>
        <v>0</v>
      </c>
      <c r="I57" s="215">
        <f t="shared" si="17"/>
        <v>67.457124816668625</v>
      </c>
      <c r="J57" s="216">
        <f t="shared" si="17"/>
        <v>32.54287518333139</v>
      </c>
      <c r="K57" s="215">
        <f t="shared" si="17"/>
        <v>100</v>
      </c>
      <c r="L57" s="211">
        <f t="shared" si="15"/>
        <v>0.36268975402266723</v>
      </c>
      <c r="O57" s="199">
        <v>1985</v>
      </c>
      <c r="P57" s="217">
        <v>24336.406934285711</v>
      </c>
      <c r="Q57" s="141">
        <v>2440.06340221957</v>
      </c>
      <c r="R57"/>
      <c r="CS57" s="178">
        <f>78580.5</f>
        <v>78580.5</v>
      </c>
      <c r="CT57" s="178">
        <f>CT56/CS56*CS57</f>
        <v>94296.599999999991</v>
      </c>
    </row>
    <row r="58" spans="1:98" ht="15" x14ac:dyDescent="0.25">
      <c r="A58" s="199">
        <v>1982</v>
      </c>
      <c r="B58" s="198">
        <v>52</v>
      </c>
      <c r="C58" s="207">
        <f t="shared" ref="C58:K58" si="18">C11/$K11*100</f>
        <v>43.360851593173052</v>
      </c>
      <c r="D58" s="215">
        <f t="shared" si="18"/>
        <v>0</v>
      </c>
      <c r="E58" s="207">
        <f t="shared" si="18"/>
        <v>33.624359088069411</v>
      </c>
      <c r="F58" s="215">
        <f t="shared" si="18"/>
        <v>0</v>
      </c>
      <c r="G58" s="215">
        <f t="shared" si="18"/>
        <v>0</v>
      </c>
      <c r="H58" s="215">
        <f t="shared" si="18"/>
        <v>0</v>
      </c>
      <c r="I58" s="215">
        <f t="shared" si="18"/>
        <v>76.985210681242449</v>
      </c>
      <c r="J58" s="216">
        <f t="shared" si="18"/>
        <v>23.01478931875754</v>
      </c>
      <c r="K58" s="215">
        <f t="shared" si="18"/>
        <v>100</v>
      </c>
      <c r="L58" s="211">
        <f t="shared" si="15"/>
        <v>0.77545430619179534</v>
      </c>
      <c r="O58" s="199">
        <v>1986</v>
      </c>
      <c r="P58" s="217">
        <v>24687.243790666638</v>
      </c>
      <c r="Q58" s="141">
        <v>4365.2427951680847</v>
      </c>
      <c r="R58"/>
    </row>
    <row r="59" spans="1:98" ht="15" x14ac:dyDescent="0.25">
      <c r="A59" s="199">
        <v>1983</v>
      </c>
      <c r="B59" s="198">
        <v>125</v>
      </c>
      <c r="C59" s="207">
        <f t="shared" ref="C59:K59" si="19">C12/$K12*100</f>
        <v>49.910543131667687</v>
      </c>
      <c r="D59" s="215">
        <f t="shared" si="19"/>
        <v>0</v>
      </c>
      <c r="E59" s="207">
        <f t="shared" si="19"/>
        <v>20.273657928420938</v>
      </c>
      <c r="F59" s="215">
        <f t="shared" si="19"/>
        <v>1.2231966617239094</v>
      </c>
      <c r="G59" s="215">
        <f t="shared" si="19"/>
        <v>0</v>
      </c>
      <c r="H59" s="215">
        <f t="shared" si="19"/>
        <v>0</v>
      </c>
      <c r="I59" s="215">
        <f t="shared" si="19"/>
        <v>71.407397721812544</v>
      </c>
      <c r="J59" s="216">
        <f t="shared" si="19"/>
        <v>28.592602278187467</v>
      </c>
      <c r="K59" s="215">
        <f t="shared" si="19"/>
        <v>100</v>
      </c>
      <c r="L59" s="211">
        <f t="shared" si="15"/>
        <v>0.40619990599856903</v>
      </c>
      <c r="O59" s="199">
        <v>1987</v>
      </c>
      <c r="P59" s="217">
        <v>13954.139353870971</v>
      </c>
      <c r="Q59" s="141">
        <v>2243.7333250769234</v>
      </c>
    </row>
    <row r="60" spans="1:98" ht="15" x14ac:dyDescent="0.25">
      <c r="A60" s="199">
        <v>1984</v>
      </c>
      <c r="B60" s="198"/>
      <c r="C60" s="207"/>
      <c r="D60" s="215"/>
      <c r="E60" s="207"/>
      <c r="F60" s="215"/>
      <c r="G60" s="215"/>
      <c r="H60" s="215"/>
      <c r="I60" s="215"/>
      <c r="J60" s="216"/>
      <c r="K60" s="215"/>
      <c r="L60" s="211"/>
      <c r="O60" s="199">
        <v>1988</v>
      </c>
      <c r="P60" s="217">
        <v>15148.339939375004</v>
      </c>
      <c r="Q60" s="141">
        <v>1472.8414272727273</v>
      </c>
    </row>
    <row r="61" spans="1:98" ht="15" x14ac:dyDescent="0.25">
      <c r="A61" s="199">
        <v>1985</v>
      </c>
      <c r="B61" s="198">
        <v>93</v>
      </c>
      <c r="C61" s="207">
        <f t="shared" ref="C61:K61" si="20">C14/$K14*100</f>
        <v>44.630584190357084</v>
      </c>
      <c r="D61" s="215">
        <f t="shared" si="20"/>
        <v>1.1914344601254048</v>
      </c>
      <c r="E61" s="207">
        <f t="shared" si="20"/>
        <v>28.829128428633094</v>
      </c>
      <c r="F61" s="215">
        <f t="shared" si="20"/>
        <v>0</v>
      </c>
      <c r="G61" s="215">
        <f t="shared" si="20"/>
        <v>0</v>
      </c>
      <c r="H61" s="215">
        <f t="shared" si="20"/>
        <v>0</v>
      </c>
      <c r="I61" s="215">
        <f t="shared" si="20"/>
        <v>74.651147079115589</v>
      </c>
      <c r="J61" s="216">
        <f t="shared" si="20"/>
        <v>25.348852920884411</v>
      </c>
      <c r="K61" s="215">
        <f t="shared" si="20"/>
        <v>100</v>
      </c>
      <c r="L61" s="211">
        <f t="shared" si="15"/>
        <v>0.64595005760336732</v>
      </c>
      <c r="O61" s="199">
        <v>1989</v>
      </c>
      <c r="P61" s="217">
        <v>19756.31947621622</v>
      </c>
      <c r="Q61" s="141">
        <v>2404.1482196078432</v>
      </c>
    </row>
    <row r="62" spans="1:98" ht="15" x14ac:dyDescent="0.25">
      <c r="A62" s="199">
        <v>1986</v>
      </c>
      <c r="B62" s="198">
        <v>159</v>
      </c>
      <c r="C62" s="207">
        <f t="shared" ref="C62:K62" si="21">C15/$K15*100</f>
        <v>54.948337007667526</v>
      </c>
      <c r="D62" s="215">
        <f t="shared" si="21"/>
        <v>0</v>
      </c>
      <c r="E62" s="207">
        <f t="shared" si="21"/>
        <v>35.663476835738386</v>
      </c>
      <c r="F62" s="215">
        <f t="shared" si="21"/>
        <v>2.2914036447189985</v>
      </c>
      <c r="G62" s="215">
        <f t="shared" si="21"/>
        <v>0</v>
      </c>
      <c r="H62" s="215">
        <f t="shared" si="21"/>
        <v>0</v>
      </c>
      <c r="I62" s="215">
        <f t="shared" si="21"/>
        <v>92.903217488124895</v>
      </c>
      <c r="J62" s="216">
        <f t="shared" si="21"/>
        <v>7.0967825118750936</v>
      </c>
      <c r="K62" s="215">
        <f t="shared" si="21"/>
        <v>100</v>
      </c>
      <c r="L62" s="211">
        <f t="shared" si="15"/>
        <v>0.64903650916244982</v>
      </c>
      <c r="O62" s="199">
        <v>1990</v>
      </c>
      <c r="P62" s="217">
        <v>33960.630254994816</v>
      </c>
      <c r="Q62" s="141">
        <v>4793.5998117647068</v>
      </c>
    </row>
    <row r="63" spans="1:98" ht="15" x14ac:dyDescent="0.25">
      <c r="A63" s="199">
        <v>1987</v>
      </c>
      <c r="B63" s="198">
        <v>52</v>
      </c>
      <c r="C63" s="207">
        <f t="shared" ref="C63:K63" si="22">C16/$K16*100</f>
        <v>51.67468125668028</v>
      </c>
      <c r="D63" s="215">
        <f t="shared" si="22"/>
        <v>0</v>
      </c>
      <c r="E63" s="207">
        <f t="shared" si="22"/>
        <v>23.771851052806241</v>
      </c>
      <c r="F63" s="215">
        <f t="shared" si="22"/>
        <v>1.1912242921368243</v>
      </c>
      <c r="G63" s="215">
        <f t="shared" si="22"/>
        <v>0</v>
      </c>
      <c r="H63" s="215">
        <f t="shared" si="22"/>
        <v>0</v>
      </c>
      <c r="I63" s="215">
        <f t="shared" si="22"/>
        <v>76.637756601623337</v>
      </c>
      <c r="J63" s="216">
        <f t="shared" si="22"/>
        <v>23.362243398376656</v>
      </c>
      <c r="K63" s="215">
        <f t="shared" si="22"/>
        <v>100</v>
      </c>
      <c r="L63" s="211">
        <f t="shared" si="15"/>
        <v>0.46002898275706572</v>
      </c>
      <c r="O63" s="199">
        <v>1991</v>
      </c>
      <c r="P63" s="217">
        <v>34986.804854161077</v>
      </c>
      <c r="Q63" s="141">
        <v>5766.7673997076818</v>
      </c>
    </row>
    <row r="64" spans="1:98" ht="15" x14ac:dyDescent="0.25">
      <c r="A64" s="199">
        <v>1988</v>
      </c>
      <c r="B64" s="198">
        <v>102</v>
      </c>
      <c r="C64" s="207">
        <f t="shared" ref="C64:K64" si="23">C17/$K17*100</f>
        <v>40.007026206364912</v>
      </c>
      <c r="D64" s="215">
        <f t="shared" si="23"/>
        <v>1.1054202847979449</v>
      </c>
      <c r="E64" s="207">
        <f t="shared" si="23"/>
        <v>40.905385093672905</v>
      </c>
      <c r="F64" s="215">
        <f t="shared" si="23"/>
        <v>0</v>
      </c>
      <c r="G64" s="215">
        <f t="shared" si="23"/>
        <v>0</v>
      </c>
      <c r="H64" s="215">
        <f t="shared" si="23"/>
        <v>0</v>
      </c>
      <c r="I64" s="215">
        <f t="shared" si="23"/>
        <v>82.017831584835776</v>
      </c>
      <c r="J64" s="216">
        <f t="shared" si="23"/>
        <v>17.982168415164228</v>
      </c>
      <c r="K64" s="215">
        <f t="shared" si="23"/>
        <v>100</v>
      </c>
      <c r="L64" s="211">
        <f t="shared" si="15"/>
        <v>1.0224550278412112</v>
      </c>
      <c r="O64" s="199">
        <v>1992</v>
      </c>
      <c r="P64" s="217">
        <v>45994.775120772909</v>
      </c>
      <c r="Q64" s="141">
        <v>4894.6816364759979</v>
      </c>
    </row>
    <row r="65" spans="1:19" ht="15" x14ac:dyDescent="0.25">
      <c r="A65" s="199">
        <v>1989</v>
      </c>
      <c r="B65" s="198">
        <v>58</v>
      </c>
      <c r="C65" s="207">
        <f t="shared" ref="C65:K65" si="24">C18/$K18*100</f>
        <v>53.566606378221493</v>
      </c>
      <c r="D65" s="215">
        <f t="shared" si="24"/>
        <v>0</v>
      </c>
      <c r="E65" s="207">
        <f t="shared" si="24"/>
        <v>8.4253020385270805</v>
      </c>
      <c r="F65" s="215">
        <f t="shared" si="24"/>
        <v>0</v>
      </c>
      <c r="G65" s="215">
        <f t="shared" si="24"/>
        <v>0</v>
      </c>
      <c r="H65" s="215">
        <f t="shared" si="24"/>
        <v>0</v>
      </c>
      <c r="I65" s="215">
        <f t="shared" si="24"/>
        <v>61.991908416748572</v>
      </c>
      <c r="J65" s="216">
        <f t="shared" si="24"/>
        <v>38.008091583251428</v>
      </c>
      <c r="K65" s="215">
        <f t="shared" si="24"/>
        <v>100</v>
      </c>
      <c r="L65" s="211">
        <f t="shared" si="15"/>
        <v>0.15728646274580024</v>
      </c>
      <c r="O65" s="199">
        <v>1993</v>
      </c>
      <c r="P65" s="217">
        <v>49605.621649948291</v>
      </c>
      <c r="Q65" s="141">
        <v>4241.8022695348827</v>
      </c>
    </row>
    <row r="66" spans="1:19" ht="15" x14ac:dyDescent="0.25">
      <c r="A66" s="199">
        <v>1990</v>
      </c>
      <c r="B66" s="198">
        <v>471</v>
      </c>
      <c r="C66" s="207">
        <f t="shared" ref="C66:K66" si="25">C19/$K19*100</f>
        <v>44.189128558194014</v>
      </c>
      <c r="D66" s="215">
        <f t="shared" si="25"/>
        <v>0.54139402093620592</v>
      </c>
      <c r="E66" s="207">
        <f t="shared" si="25"/>
        <v>21.644447120224743</v>
      </c>
      <c r="F66" s="215">
        <f t="shared" si="25"/>
        <v>1.0873538292998155</v>
      </c>
      <c r="G66" s="215">
        <f t="shared" si="25"/>
        <v>0</v>
      </c>
      <c r="H66" s="215">
        <f t="shared" si="25"/>
        <v>0</v>
      </c>
      <c r="I66" s="215">
        <f t="shared" si="25"/>
        <v>67.462323528654778</v>
      </c>
      <c r="J66" s="216">
        <f t="shared" si="25"/>
        <v>32.537676471345236</v>
      </c>
      <c r="K66" s="215">
        <f t="shared" si="25"/>
        <v>100</v>
      </c>
      <c r="L66" s="211">
        <f t="shared" si="15"/>
        <v>0.48981384848358145</v>
      </c>
      <c r="O66" s="199">
        <v>1994</v>
      </c>
      <c r="P66" s="217">
        <v>73368.888401009244</v>
      </c>
      <c r="Q66" s="141">
        <v>9463.7586653711714</v>
      </c>
    </row>
    <row r="67" spans="1:19" ht="15" x14ac:dyDescent="0.25">
      <c r="A67" s="199">
        <v>1991</v>
      </c>
      <c r="B67" s="198">
        <v>1025</v>
      </c>
      <c r="C67" s="207">
        <f t="shared" ref="C67:K67" si="26">C20/$K20*100</f>
        <v>18.431476796554566</v>
      </c>
      <c r="D67" s="215">
        <f t="shared" si="26"/>
        <v>0.81358895017775745</v>
      </c>
      <c r="E67" s="207">
        <f t="shared" si="26"/>
        <v>47.559473607457321</v>
      </c>
      <c r="F67" s="215">
        <f t="shared" si="26"/>
        <v>0.2401792245384656</v>
      </c>
      <c r="G67" s="215">
        <f t="shared" si="26"/>
        <v>0</v>
      </c>
      <c r="H67" s="215">
        <f t="shared" si="26"/>
        <v>0</v>
      </c>
      <c r="I67" s="215">
        <f t="shared" si="26"/>
        <v>67.044718578728109</v>
      </c>
      <c r="J67" s="216">
        <f t="shared" si="26"/>
        <v>32.955281421271899</v>
      </c>
      <c r="K67" s="215">
        <f t="shared" si="26"/>
        <v>100</v>
      </c>
      <c r="L67" s="211">
        <f t="shared" si="15"/>
        <v>2.5803398247690987</v>
      </c>
      <c r="O67" s="199">
        <v>1995</v>
      </c>
      <c r="P67" s="217">
        <v>28815.150686949062</v>
      </c>
      <c r="Q67" s="141">
        <v>6708.1908790374318</v>
      </c>
    </row>
    <row r="68" spans="1:19" ht="15" x14ac:dyDescent="0.25">
      <c r="A68" s="199">
        <v>1992</v>
      </c>
      <c r="B68" s="198">
        <v>701</v>
      </c>
      <c r="C68" s="207">
        <f t="shared" ref="C68:K68" si="27">C21/$K21*100</f>
        <v>33.304206070341927</v>
      </c>
      <c r="D68" s="215">
        <f t="shared" si="27"/>
        <v>1.1052093520892261</v>
      </c>
      <c r="E68" s="207">
        <f t="shared" si="27"/>
        <v>31.914455570627631</v>
      </c>
      <c r="F68" s="215">
        <f t="shared" si="27"/>
        <v>0.4114810989444655</v>
      </c>
      <c r="G68" s="215">
        <f t="shared" si="27"/>
        <v>0</v>
      </c>
      <c r="H68" s="215">
        <f t="shared" si="27"/>
        <v>0</v>
      </c>
      <c r="I68" s="215">
        <f t="shared" si="27"/>
        <v>66.735352092003239</v>
      </c>
      <c r="J68" s="216">
        <f t="shared" si="27"/>
        <v>33.264647907996761</v>
      </c>
      <c r="K68" s="215">
        <f t="shared" si="27"/>
        <v>100</v>
      </c>
      <c r="L68" s="211">
        <f t="shared" si="15"/>
        <v>0.95827102148062027</v>
      </c>
      <c r="O68" s="199">
        <v>1996</v>
      </c>
      <c r="P68" s="217">
        <v>23653.698673798015</v>
      </c>
      <c r="Q68" s="141">
        <v>3948.0198984923668</v>
      </c>
      <c r="S68" s="533"/>
    </row>
    <row r="69" spans="1:19" ht="15" x14ac:dyDescent="0.25">
      <c r="A69" s="199">
        <v>1993</v>
      </c>
      <c r="B69" s="198">
        <v>1498</v>
      </c>
      <c r="C69" s="207">
        <f t="shared" ref="C69:K69" si="28">C22/$K22*100</f>
        <v>38.923682732938339</v>
      </c>
      <c r="D69" s="215">
        <f t="shared" si="28"/>
        <v>0.33440951851533135</v>
      </c>
      <c r="E69" s="207">
        <f t="shared" si="28"/>
        <v>28.790431864620263</v>
      </c>
      <c r="F69" s="215">
        <f t="shared" si="28"/>
        <v>0.36231425507198756</v>
      </c>
      <c r="G69" s="215">
        <f t="shared" si="28"/>
        <v>0</v>
      </c>
      <c r="H69" s="215">
        <f t="shared" si="28"/>
        <v>0</v>
      </c>
      <c r="I69" s="215">
        <f t="shared" si="28"/>
        <v>68.410838371145914</v>
      </c>
      <c r="J69" s="216">
        <f t="shared" si="28"/>
        <v>31.589161628854086</v>
      </c>
      <c r="K69" s="215">
        <f t="shared" si="28"/>
        <v>100</v>
      </c>
      <c r="L69" s="211">
        <f t="shared" si="15"/>
        <v>0.73966361462136199</v>
      </c>
      <c r="O69" s="199">
        <v>1997</v>
      </c>
      <c r="P69" s="217">
        <v>15284.193293887598</v>
      </c>
      <c r="Q69" s="141">
        <v>2695.6040093386764</v>
      </c>
      <c r="S69" s="95"/>
    </row>
    <row r="70" spans="1:19" ht="15" x14ac:dyDescent="0.25">
      <c r="A70" s="199">
        <v>1994</v>
      </c>
      <c r="B70" s="198">
        <v>2644</v>
      </c>
      <c r="C70" s="207">
        <f t="shared" ref="C70:K70" si="29">C23/$K23*100</f>
        <v>37.26241270001892</v>
      </c>
      <c r="D70" s="215">
        <f t="shared" si="29"/>
        <v>1.8821344955575581</v>
      </c>
      <c r="E70" s="207">
        <f t="shared" si="29"/>
        <v>38.039484359117495</v>
      </c>
      <c r="F70" s="215">
        <f t="shared" si="29"/>
        <v>1.1043958982186981</v>
      </c>
      <c r="G70" s="215">
        <f t="shared" si="29"/>
        <v>1.3002012684882016E-2</v>
      </c>
      <c r="H70" s="215">
        <f t="shared" si="29"/>
        <v>0</v>
      </c>
      <c r="I70" s="215">
        <f t="shared" si="29"/>
        <v>78.301429465597565</v>
      </c>
      <c r="J70" s="216">
        <f t="shared" si="29"/>
        <v>21.698570534402439</v>
      </c>
      <c r="K70" s="215">
        <f t="shared" si="29"/>
        <v>100</v>
      </c>
      <c r="L70" s="211">
        <f t="shared" si="15"/>
        <v>1.0208540350125579</v>
      </c>
      <c r="O70" s="199">
        <v>1998</v>
      </c>
      <c r="P70" s="217">
        <v>23137.138818002408</v>
      </c>
      <c r="Q70" s="141">
        <v>4371.2672840690102</v>
      </c>
      <c r="S70" s="533"/>
    </row>
    <row r="71" spans="1:19" ht="15" x14ac:dyDescent="0.25">
      <c r="A71" s="199">
        <v>1995</v>
      </c>
      <c r="B71" s="198">
        <v>1383</v>
      </c>
      <c r="C71" s="207">
        <f t="shared" ref="C71:K71" si="30">C24/$K24*100</f>
        <v>30.420423108736117</v>
      </c>
      <c r="D71" s="215">
        <f t="shared" si="30"/>
        <v>8.6424829133522327E-2</v>
      </c>
      <c r="E71" s="207">
        <f t="shared" si="30"/>
        <v>51.60192286771349</v>
      </c>
      <c r="F71" s="215">
        <f t="shared" si="30"/>
        <v>0.73011817430450343</v>
      </c>
      <c r="G71" s="215">
        <f t="shared" si="30"/>
        <v>0</v>
      </c>
      <c r="H71" s="215">
        <f t="shared" si="30"/>
        <v>0</v>
      </c>
      <c r="I71" s="215">
        <f t="shared" si="30"/>
        <v>82.838888979887642</v>
      </c>
      <c r="J71" s="216">
        <f t="shared" si="30"/>
        <v>17.161111020112369</v>
      </c>
      <c r="K71" s="215">
        <f t="shared" si="30"/>
        <v>100</v>
      </c>
      <c r="L71" s="211">
        <f t="shared" si="15"/>
        <v>1.6962920825678616</v>
      </c>
      <c r="O71" s="199">
        <v>1999</v>
      </c>
      <c r="P71" s="217">
        <v>33145.161085633677</v>
      </c>
      <c r="Q71" s="141">
        <v>4221.182284270074</v>
      </c>
      <c r="S71" s="95"/>
    </row>
    <row r="72" spans="1:19" ht="15" x14ac:dyDescent="0.25">
      <c r="A72" s="199">
        <v>1996</v>
      </c>
      <c r="B72" s="198">
        <v>601</v>
      </c>
      <c r="C72" s="207">
        <f t="shared" ref="C72:K72" si="31">C25/$K25*100</f>
        <v>44.511981763795745</v>
      </c>
      <c r="D72" s="215">
        <f t="shared" si="31"/>
        <v>0.99117125610178636</v>
      </c>
      <c r="E72" s="207">
        <f t="shared" si="31"/>
        <v>27.201120642783948</v>
      </c>
      <c r="F72" s="215">
        <f t="shared" si="31"/>
        <v>1.7183310917209025</v>
      </c>
      <c r="G72" s="215">
        <f t="shared" si="31"/>
        <v>0</v>
      </c>
      <c r="H72" s="215">
        <f t="shared" si="31"/>
        <v>0</v>
      </c>
      <c r="I72" s="215">
        <f t="shared" si="31"/>
        <v>74.422604754402386</v>
      </c>
      <c r="J72" s="216">
        <f t="shared" si="31"/>
        <v>25.577395245597618</v>
      </c>
      <c r="K72" s="215">
        <f t="shared" si="31"/>
        <v>100</v>
      </c>
      <c r="L72" s="211">
        <f t="shared" si="15"/>
        <v>0.61109659837496255</v>
      </c>
      <c r="O72" s="199">
        <v>2000</v>
      </c>
      <c r="P72" s="217">
        <v>21464.712363482147</v>
      </c>
      <c r="Q72" s="141">
        <v>1346.429008854748</v>
      </c>
      <c r="S72" s="533"/>
    </row>
    <row r="73" spans="1:19" ht="15" x14ac:dyDescent="0.25">
      <c r="A73" s="199">
        <v>1997</v>
      </c>
      <c r="B73" s="198">
        <v>312</v>
      </c>
      <c r="C73" s="207">
        <f t="shared" ref="C73:K73" si="32">C26/$K26*100</f>
        <v>16.048228789842494</v>
      </c>
      <c r="D73" s="215">
        <f t="shared" si="32"/>
        <v>1.5139686391211831</v>
      </c>
      <c r="E73" s="207">
        <f t="shared" si="32"/>
        <v>14.74575320977034</v>
      </c>
      <c r="F73" s="215">
        <f t="shared" si="32"/>
        <v>1.818874507998629</v>
      </c>
      <c r="G73" s="215">
        <f t="shared" si="32"/>
        <v>0</v>
      </c>
      <c r="H73" s="215">
        <f t="shared" si="32"/>
        <v>0.11896848622826059</v>
      </c>
      <c r="I73" s="215">
        <f t="shared" si="32"/>
        <v>34.245793632960911</v>
      </c>
      <c r="J73" s="216">
        <f t="shared" si="32"/>
        <v>65.754206367039075</v>
      </c>
      <c r="K73" s="215">
        <f t="shared" si="32"/>
        <v>100</v>
      </c>
      <c r="L73" s="211">
        <f t="shared" si="15"/>
        <v>0.9188399170320567</v>
      </c>
      <c r="O73" s="199">
        <v>2001</v>
      </c>
      <c r="P73" s="217">
        <v>32152.75112682458</v>
      </c>
      <c r="Q73" s="141">
        <v>3119.409837292078</v>
      </c>
      <c r="S73" s="95"/>
    </row>
    <row r="74" spans="1:19" ht="15" x14ac:dyDescent="0.25">
      <c r="A74" s="199">
        <v>1998</v>
      </c>
      <c r="B74" s="198">
        <v>613</v>
      </c>
      <c r="C74" s="207">
        <f t="shared" ref="C74:K74" si="33">C27/$K27*100</f>
        <v>45.055041769801143</v>
      </c>
      <c r="D74" s="215">
        <f t="shared" si="33"/>
        <v>1.7050618871276493</v>
      </c>
      <c r="E74" s="207">
        <f t="shared" si="33"/>
        <v>22.573815972174543</v>
      </c>
      <c r="F74" s="215">
        <f t="shared" si="33"/>
        <v>1.2674582962106462</v>
      </c>
      <c r="G74" s="215">
        <f t="shared" si="33"/>
        <v>0</v>
      </c>
      <c r="H74" s="215">
        <f t="shared" si="33"/>
        <v>0</v>
      </c>
      <c r="I74" s="215">
        <f t="shared" si="33"/>
        <v>70.601377925313997</v>
      </c>
      <c r="J74" s="216">
        <f t="shared" si="33"/>
        <v>29.398622074686003</v>
      </c>
      <c r="K74" s="215">
        <f t="shared" si="33"/>
        <v>100</v>
      </c>
      <c r="L74" s="211">
        <f t="shared" si="15"/>
        <v>0.5010275229021095</v>
      </c>
      <c r="O74" s="199">
        <v>2002</v>
      </c>
      <c r="P74" s="217">
        <v>49818.421037951979</v>
      </c>
      <c r="Q74" s="141">
        <v>5405.94794976298</v>
      </c>
      <c r="S74" s="533"/>
    </row>
    <row r="75" spans="1:19" ht="15" x14ac:dyDescent="0.25">
      <c r="A75" s="199">
        <v>1999</v>
      </c>
      <c r="B75" s="198">
        <v>948</v>
      </c>
      <c r="C75" s="207">
        <f t="shared" ref="C75:K75" si="34">C28/$K28*100</f>
        <v>38.848542300099801</v>
      </c>
      <c r="D75" s="215">
        <f t="shared" si="34"/>
        <v>0.6022272720923284</v>
      </c>
      <c r="E75" s="207">
        <f t="shared" si="34"/>
        <v>28.877782346239329</v>
      </c>
      <c r="F75" s="215">
        <f t="shared" si="34"/>
        <v>1.7424941254518889</v>
      </c>
      <c r="G75" s="215">
        <f t="shared" si="34"/>
        <v>0</v>
      </c>
      <c r="H75" s="215">
        <f t="shared" si="34"/>
        <v>0</v>
      </c>
      <c r="I75" s="215">
        <f t="shared" si="34"/>
        <v>70.071046043883356</v>
      </c>
      <c r="J75" s="216">
        <f t="shared" si="34"/>
        <v>29.928953956116661</v>
      </c>
      <c r="K75" s="215">
        <f t="shared" si="34"/>
        <v>100</v>
      </c>
      <c r="L75" s="211">
        <f t="shared" si="15"/>
        <v>0.7433427520436241</v>
      </c>
      <c r="O75" s="199">
        <v>2003</v>
      </c>
      <c r="P75" s="217">
        <v>29111.021630484258</v>
      </c>
      <c r="Q75" s="141">
        <v>3676.4022687281363</v>
      </c>
      <c r="S75" s="95"/>
    </row>
    <row r="76" spans="1:19" ht="15" x14ac:dyDescent="0.25">
      <c r="A76" s="199">
        <v>2000</v>
      </c>
      <c r="B76" s="198">
        <v>692</v>
      </c>
      <c r="C76" s="207">
        <f t="shared" ref="C76:K76" si="35">C29/$K29*100</f>
        <v>22.412150148254884</v>
      </c>
      <c r="D76" s="215">
        <f t="shared" si="35"/>
        <v>0.79715340027285442</v>
      </c>
      <c r="E76" s="207">
        <f t="shared" si="35"/>
        <v>24.831831789359043</v>
      </c>
      <c r="F76" s="215">
        <f t="shared" si="35"/>
        <v>2.3157607371234392</v>
      </c>
      <c r="G76" s="215">
        <f t="shared" si="35"/>
        <v>0</v>
      </c>
      <c r="H76" s="215">
        <f t="shared" si="35"/>
        <v>2.6785664332278584E-2</v>
      </c>
      <c r="I76" s="215">
        <f t="shared" si="35"/>
        <v>50.383681739342499</v>
      </c>
      <c r="J76" s="216">
        <f t="shared" si="35"/>
        <v>49.616318260657501</v>
      </c>
      <c r="K76" s="215">
        <f t="shared" si="35"/>
        <v>100</v>
      </c>
      <c r="L76" s="211">
        <f t="shared" si="15"/>
        <v>1.1079629408645812</v>
      </c>
      <c r="O76" s="199">
        <v>2004</v>
      </c>
      <c r="P76" s="217">
        <v>33174.003930812047</v>
      </c>
      <c r="Q76" s="141">
        <v>2491.5583522095121</v>
      </c>
      <c r="S76" s="533"/>
    </row>
    <row r="77" spans="1:19" ht="15" x14ac:dyDescent="0.25">
      <c r="A77" s="199">
        <v>2001</v>
      </c>
      <c r="B77" s="198">
        <v>747</v>
      </c>
      <c r="C77" s="207">
        <f t="shared" ref="C77:K77" si="36">C30/$K30*100</f>
        <v>27.413970426958013</v>
      </c>
      <c r="D77" s="215">
        <f t="shared" si="36"/>
        <v>0.55432334854026732</v>
      </c>
      <c r="E77" s="207">
        <f t="shared" si="36"/>
        <v>10.956909887776948</v>
      </c>
      <c r="F77" s="215">
        <f t="shared" si="36"/>
        <v>1.0799301931970726</v>
      </c>
      <c r="G77" s="215">
        <f t="shared" si="36"/>
        <v>0</v>
      </c>
      <c r="H77" s="215">
        <f t="shared" si="36"/>
        <v>0</v>
      </c>
      <c r="I77" s="215">
        <f t="shared" si="36"/>
        <v>40.005133856472298</v>
      </c>
      <c r="J77" s="216">
        <f t="shared" si="36"/>
        <v>59.994866143527695</v>
      </c>
      <c r="K77" s="215">
        <f t="shared" si="36"/>
        <v>100</v>
      </c>
      <c r="L77" s="211">
        <f t="shared" si="15"/>
        <v>0.39968343574932425</v>
      </c>
      <c r="O77" s="199">
        <v>2005</v>
      </c>
      <c r="P77" s="217">
        <v>12757.874942477865</v>
      </c>
      <c r="Q77" s="141">
        <v>3652.2158270975992</v>
      </c>
      <c r="S77" s="95"/>
    </row>
    <row r="78" spans="1:19" ht="15" x14ac:dyDescent="0.25">
      <c r="A78" s="199">
        <v>2002</v>
      </c>
      <c r="B78" s="198">
        <v>787</v>
      </c>
      <c r="C78" s="207">
        <f t="shared" ref="C78:K78" si="37">C31/$K31*100</f>
        <v>17.362652144237835</v>
      </c>
      <c r="D78" s="215">
        <f t="shared" si="37"/>
        <v>0.62616621221768076</v>
      </c>
      <c r="E78" s="207">
        <f t="shared" si="37"/>
        <v>24.241461773823801</v>
      </c>
      <c r="F78" s="215">
        <f t="shared" si="37"/>
        <v>2.1677970811642853</v>
      </c>
      <c r="G78" s="215">
        <f t="shared" si="37"/>
        <v>0</v>
      </c>
      <c r="H78" s="215">
        <f t="shared" si="37"/>
        <v>0</v>
      </c>
      <c r="I78" s="215">
        <f t="shared" si="37"/>
        <v>44.398077211443606</v>
      </c>
      <c r="J78" s="216">
        <f t="shared" si="37"/>
        <v>55.601922788556401</v>
      </c>
      <c r="K78" s="215">
        <f t="shared" si="37"/>
        <v>100</v>
      </c>
      <c r="L78" s="211">
        <f t="shared" si="15"/>
        <v>1.3961842679586738</v>
      </c>
      <c r="O78" s="199">
        <v>2006</v>
      </c>
      <c r="P78" s="217">
        <v>15822.204102688618</v>
      </c>
      <c r="Q78" s="141">
        <v>1925.8812384513892</v>
      </c>
      <c r="S78" s="533"/>
    </row>
    <row r="79" spans="1:19" ht="15" x14ac:dyDescent="0.25">
      <c r="A79" s="199">
        <v>2003</v>
      </c>
      <c r="B79" s="198">
        <v>1328</v>
      </c>
      <c r="C79" s="207">
        <f t="shared" ref="C79:K79" si="38">C32/$K32*100</f>
        <v>23.437103084864262</v>
      </c>
      <c r="D79" s="215">
        <f t="shared" si="38"/>
        <v>0.86101279990600432</v>
      </c>
      <c r="E79" s="207">
        <f t="shared" si="38"/>
        <v>39.082238837613609</v>
      </c>
      <c r="F79" s="215">
        <f t="shared" si="38"/>
        <v>1.8905308949965645</v>
      </c>
      <c r="G79" s="215">
        <f t="shared" si="38"/>
        <v>0</v>
      </c>
      <c r="H79" s="215">
        <f t="shared" si="38"/>
        <v>0</v>
      </c>
      <c r="I79" s="215">
        <f t="shared" si="38"/>
        <v>65.270885617380429</v>
      </c>
      <c r="J79" s="216">
        <f t="shared" si="38"/>
        <v>34.729114382619564</v>
      </c>
      <c r="K79" s="215">
        <f t="shared" si="38"/>
        <v>100</v>
      </c>
      <c r="L79" s="211">
        <f t="shared" si="15"/>
        <v>1.6675370968886087</v>
      </c>
      <c r="O79" s="199">
        <v>2007</v>
      </c>
      <c r="P79" s="217">
        <v>8721.5504169317664</v>
      </c>
      <c r="Q79" s="141">
        <v>3309.0560961507222</v>
      </c>
      <c r="S79" s="95"/>
    </row>
    <row r="80" spans="1:19" ht="15" x14ac:dyDescent="0.25">
      <c r="A80" s="199">
        <v>2004</v>
      </c>
      <c r="B80" s="198">
        <v>756</v>
      </c>
      <c r="C80" s="207">
        <f t="shared" ref="C80:K80" si="39">C33/$K33*100</f>
        <v>32.5311335704885</v>
      </c>
      <c r="D80" s="215">
        <f t="shared" si="39"/>
        <v>0.25123262995843371</v>
      </c>
      <c r="E80" s="207">
        <f t="shared" si="39"/>
        <v>22.161151044431353</v>
      </c>
      <c r="F80" s="215">
        <f t="shared" si="39"/>
        <v>1.4982796810007037</v>
      </c>
      <c r="G80" s="215">
        <f t="shared" si="39"/>
        <v>0</v>
      </c>
      <c r="H80" s="215">
        <f t="shared" si="39"/>
        <v>0</v>
      </c>
      <c r="I80" s="215">
        <f t="shared" si="39"/>
        <v>56.441796925878997</v>
      </c>
      <c r="J80" s="216">
        <f t="shared" si="39"/>
        <v>43.558203074121018</v>
      </c>
      <c r="K80" s="215">
        <f t="shared" si="39"/>
        <v>100</v>
      </c>
      <c r="L80" s="211">
        <f t="shared" si="15"/>
        <v>0.68122898319582204</v>
      </c>
      <c r="O80" s="199">
        <v>2008</v>
      </c>
      <c r="P80" s="217">
        <v>14366.759212206873</v>
      </c>
      <c r="Q80" s="141">
        <v>3776</v>
      </c>
      <c r="S80" s="533"/>
    </row>
    <row r="81" spans="1:34" ht="15" x14ac:dyDescent="0.25">
      <c r="A81" s="199">
        <v>2005</v>
      </c>
      <c r="B81" s="198">
        <v>392</v>
      </c>
      <c r="C81" s="207">
        <f t="shared" ref="C81:K81" si="40">C34/$K34*100</f>
        <v>36.359390680932698</v>
      </c>
      <c r="D81" s="215">
        <f t="shared" si="40"/>
        <v>0.95017082971301114</v>
      </c>
      <c r="E81" s="207">
        <f t="shared" si="40"/>
        <v>19.957137374353923</v>
      </c>
      <c r="F81" s="215">
        <f t="shared" si="40"/>
        <v>1.81739604824199</v>
      </c>
      <c r="G81" s="215">
        <f t="shared" si="40"/>
        <v>0</v>
      </c>
      <c r="H81" s="215">
        <f t="shared" si="40"/>
        <v>0</v>
      </c>
      <c r="I81" s="215">
        <f t="shared" si="40"/>
        <v>59.084094933241616</v>
      </c>
      <c r="J81" s="216">
        <f t="shared" si="40"/>
        <v>40.915905066758391</v>
      </c>
      <c r="K81" s="215">
        <f t="shared" si="40"/>
        <v>100</v>
      </c>
      <c r="L81" s="211">
        <f t="shared" si="15"/>
        <v>0.54888536360483309</v>
      </c>
      <c r="O81" s="199">
        <v>2009</v>
      </c>
      <c r="P81" s="217">
        <v>9317.4461149367089</v>
      </c>
      <c r="Q81" s="141">
        <v>4383</v>
      </c>
      <c r="S81" s="95"/>
    </row>
    <row r="82" spans="1:34" ht="15" x14ac:dyDescent="0.25">
      <c r="A82" s="199">
        <v>2006</v>
      </c>
      <c r="B82" s="198">
        <v>701</v>
      </c>
      <c r="C82" s="207">
        <f t="shared" ref="C82:K82" si="41">C35/$K35*100</f>
        <v>25.796131205932532</v>
      </c>
      <c r="D82" s="215">
        <f t="shared" si="41"/>
        <v>0</v>
      </c>
      <c r="E82" s="207">
        <f t="shared" si="41"/>
        <v>38.937354762360485</v>
      </c>
      <c r="F82" s="215">
        <f t="shared" si="41"/>
        <v>0.69484522691322304</v>
      </c>
      <c r="G82" s="215">
        <f t="shared" si="41"/>
        <v>0</v>
      </c>
      <c r="H82" s="215">
        <f t="shared" si="41"/>
        <v>0</v>
      </c>
      <c r="I82" s="215">
        <f t="shared" si="41"/>
        <v>65.428331195206241</v>
      </c>
      <c r="J82" s="216">
        <f t="shared" si="41"/>
        <v>34.571668804793767</v>
      </c>
      <c r="K82" s="215">
        <f t="shared" si="41"/>
        <v>100</v>
      </c>
      <c r="L82" s="211">
        <f t="shared" si="15"/>
        <v>1.5094261403588212</v>
      </c>
      <c r="O82" s="197">
        <v>2010</v>
      </c>
      <c r="P82" s="193">
        <v>21816.53139184419</v>
      </c>
      <c r="Q82" s="141">
        <v>5417</v>
      </c>
      <c r="S82" s="533"/>
      <c r="U82" t="s">
        <v>329</v>
      </c>
      <c r="V82"/>
      <c r="W82"/>
      <c r="X82"/>
      <c r="Y82"/>
      <c r="Z82"/>
      <c r="AA82"/>
      <c r="AB82"/>
      <c r="AC82"/>
    </row>
    <row r="83" spans="1:34" ht="15.75" thickBot="1" x14ac:dyDescent="0.3">
      <c r="A83" s="199">
        <v>2007</v>
      </c>
      <c r="B83" s="198">
        <v>293</v>
      </c>
      <c r="C83" s="207">
        <f t="shared" ref="C83:K83" si="42">C36/$K36*100</f>
        <v>33.68054149524469</v>
      </c>
      <c r="D83" s="215">
        <f t="shared" si="42"/>
        <v>0.45595276571218557</v>
      </c>
      <c r="E83" s="207">
        <f t="shared" si="42"/>
        <v>19.127808513031479</v>
      </c>
      <c r="F83" s="215">
        <f t="shared" si="42"/>
        <v>1.8468894700015199</v>
      </c>
      <c r="G83" s="215">
        <f t="shared" si="42"/>
        <v>0</v>
      </c>
      <c r="H83" s="215">
        <f t="shared" si="42"/>
        <v>0</v>
      </c>
      <c r="I83" s="215">
        <f t="shared" si="42"/>
        <v>55.111192243989883</v>
      </c>
      <c r="J83" s="216">
        <f t="shared" si="42"/>
        <v>44.888807756010124</v>
      </c>
      <c r="K83" s="215">
        <f t="shared" si="42"/>
        <v>100</v>
      </c>
      <c r="L83" s="211">
        <f t="shared" si="15"/>
        <v>0.56791867540882945</v>
      </c>
      <c r="O83" s="197">
        <v>2011</v>
      </c>
      <c r="P83" s="193">
        <v>12029.060059090903</v>
      </c>
      <c r="Q83" s="141">
        <v>3937</v>
      </c>
      <c r="S83" s="95"/>
      <c r="U83"/>
      <c r="V83"/>
      <c r="W83"/>
      <c r="X83"/>
      <c r="Y83"/>
      <c r="Z83"/>
      <c r="AA83"/>
      <c r="AB83"/>
      <c r="AC83"/>
    </row>
    <row r="84" spans="1:34" ht="15" x14ac:dyDescent="0.25">
      <c r="A84" s="199">
        <v>2008</v>
      </c>
      <c r="B84" s="198">
        <v>423</v>
      </c>
      <c r="C84" s="207">
        <f t="shared" ref="C84:K84" si="43">C37/$K37*100</f>
        <v>26.994219655298217</v>
      </c>
      <c r="D84" s="215">
        <f t="shared" si="43"/>
        <v>0</v>
      </c>
      <c r="E84" s="207">
        <f t="shared" si="43"/>
        <v>24.148510551388259</v>
      </c>
      <c r="F84" s="215">
        <f t="shared" si="43"/>
        <v>1.0385523043837306</v>
      </c>
      <c r="G84" s="215">
        <f t="shared" si="43"/>
        <v>0</v>
      </c>
      <c r="H84" s="215">
        <f t="shared" si="43"/>
        <v>0</v>
      </c>
      <c r="I84" s="215">
        <f t="shared" si="43"/>
        <v>52.181282511070201</v>
      </c>
      <c r="J84" s="216">
        <f t="shared" si="43"/>
        <v>47.818717488929792</v>
      </c>
      <c r="K84" s="215">
        <f t="shared" si="43"/>
        <v>100</v>
      </c>
      <c r="L84" s="211">
        <f t="shared" si="15"/>
        <v>0.89458079765786358</v>
      </c>
      <c r="O84" s="197">
        <v>2012</v>
      </c>
      <c r="P84" s="193">
        <v>8530.5066227316747</v>
      </c>
      <c r="Q84" s="141">
        <v>4163</v>
      </c>
      <c r="S84" s="533"/>
      <c r="U84" s="416" t="s">
        <v>330</v>
      </c>
      <c r="V84" s="416"/>
      <c r="W84"/>
      <c r="X84"/>
      <c r="Y84"/>
      <c r="Z84"/>
      <c r="AA84"/>
      <c r="AB84"/>
      <c r="AC84"/>
      <c r="AH84" s="178">
        <v>0.15365000000000001</v>
      </c>
    </row>
    <row r="85" spans="1:34" ht="15" x14ac:dyDescent="0.25">
      <c r="A85" s="199">
        <v>2009</v>
      </c>
      <c r="B85" s="198">
        <v>201</v>
      </c>
      <c r="C85" s="207">
        <f t="shared" ref="C85:K85" si="44">C38/$K38*100</f>
        <v>30.122943190415924</v>
      </c>
      <c r="D85" s="215">
        <f t="shared" si="44"/>
        <v>0.68119288773150788</v>
      </c>
      <c r="E85" s="207">
        <f t="shared" si="44"/>
        <v>21.864244100814787</v>
      </c>
      <c r="F85" s="215">
        <f t="shared" si="44"/>
        <v>1.9329134821953524</v>
      </c>
      <c r="G85" s="215">
        <f t="shared" si="44"/>
        <v>0</v>
      </c>
      <c r="H85" s="215">
        <f t="shared" si="44"/>
        <v>0</v>
      </c>
      <c r="I85" s="215">
        <f t="shared" si="44"/>
        <v>54.60129366115757</v>
      </c>
      <c r="J85" s="216">
        <f t="shared" si="44"/>
        <v>45.398706338842437</v>
      </c>
      <c r="K85" s="215">
        <f t="shared" si="44"/>
        <v>100</v>
      </c>
      <c r="L85" s="211">
        <f t="shared" si="15"/>
        <v>0.72583359343755061</v>
      </c>
      <c r="O85" s="197">
        <v>2013</v>
      </c>
      <c r="P85" s="193">
        <v>21067.581021634618</v>
      </c>
      <c r="Q85" s="141">
        <v>6906</v>
      </c>
      <c r="S85" s="95"/>
      <c r="U85" s="383" t="s">
        <v>331</v>
      </c>
      <c r="V85" s="383">
        <v>0.76043990111732085</v>
      </c>
      <c r="W85"/>
      <c r="X85"/>
      <c r="Y85"/>
      <c r="Z85"/>
      <c r="AA85"/>
      <c r="AB85"/>
      <c r="AC85"/>
    </row>
    <row r="86" spans="1:34" ht="15" x14ac:dyDescent="0.25">
      <c r="A86" s="197">
        <v>2010</v>
      </c>
      <c r="B86" s="196">
        <v>324</v>
      </c>
      <c r="C86" s="214">
        <f t="shared" ref="C86:K86" si="45">C39/$K39*100</f>
        <v>29.56946764882214</v>
      </c>
      <c r="D86" s="212">
        <f t="shared" si="45"/>
        <v>0.50614016673627082</v>
      </c>
      <c r="E86" s="214">
        <f t="shared" si="45"/>
        <v>33.267476638135534</v>
      </c>
      <c r="F86" s="212">
        <f t="shared" si="45"/>
        <v>2.1876414672411748</v>
      </c>
      <c r="G86" s="212">
        <f t="shared" si="45"/>
        <v>0</v>
      </c>
      <c r="H86" s="212">
        <f t="shared" si="45"/>
        <v>0</v>
      </c>
      <c r="I86" s="212">
        <f t="shared" si="45"/>
        <v>65.530725920935112</v>
      </c>
      <c r="J86" s="213">
        <f t="shared" si="45"/>
        <v>34.469274079064874</v>
      </c>
      <c r="K86" s="212">
        <f t="shared" si="45"/>
        <v>100</v>
      </c>
      <c r="L86" s="211">
        <f t="shared" si="15"/>
        <v>1.1250617371009957</v>
      </c>
      <c r="O86" s="197">
        <v>2014</v>
      </c>
      <c r="P86" s="193">
        <v>26648.29454920346</v>
      </c>
      <c r="Q86" s="141">
        <v>7707</v>
      </c>
      <c r="S86" s="533"/>
      <c r="U86" s="383" t="s">
        <v>332</v>
      </c>
      <c r="V86" s="383">
        <v>0.57826884321132077</v>
      </c>
      <c r="W86"/>
      <c r="X86"/>
      <c r="Y86"/>
      <c r="Z86"/>
      <c r="AA86"/>
      <c r="AB86"/>
      <c r="AC86"/>
    </row>
    <row r="87" spans="1:34" ht="15" x14ac:dyDescent="0.25">
      <c r="A87" s="197">
        <v>2011</v>
      </c>
      <c r="B87" s="196">
        <v>174</v>
      </c>
      <c r="C87" s="214">
        <f t="shared" ref="C87:K87" si="46">C40/$K40*100</f>
        <v>30.938522230105157</v>
      </c>
      <c r="D87" s="212">
        <f t="shared" si="46"/>
        <v>2.0907513376395594</v>
      </c>
      <c r="E87" s="214">
        <f t="shared" si="46"/>
        <v>15.795842363732673</v>
      </c>
      <c r="F87" s="212">
        <f t="shared" si="46"/>
        <v>0.88001505730887064</v>
      </c>
      <c r="G87" s="212">
        <f t="shared" si="46"/>
        <v>0</v>
      </c>
      <c r="H87" s="212">
        <f t="shared" si="46"/>
        <v>0</v>
      </c>
      <c r="I87" s="212">
        <f t="shared" si="46"/>
        <v>49.705130988786259</v>
      </c>
      <c r="J87" s="213">
        <f t="shared" si="46"/>
        <v>50.294869011213741</v>
      </c>
      <c r="K87" s="212">
        <f t="shared" si="46"/>
        <v>100</v>
      </c>
      <c r="L87" s="211">
        <f t="shared" si="15"/>
        <v>0.51055581279064166</v>
      </c>
      <c r="O87" s="197">
        <v>2015</v>
      </c>
      <c r="P87" s="193">
        <v>15649</v>
      </c>
      <c r="Q87" s="141">
        <v>1954</v>
      </c>
      <c r="S87" s="95"/>
      <c r="U87" s="383" t="s">
        <v>333</v>
      </c>
      <c r="V87" s="383">
        <v>0.55909924517547172</v>
      </c>
      <c r="W87"/>
      <c r="X87"/>
      <c r="Y87"/>
      <c r="Z87"/>
      <c r="AA87"/>
      <c r="AB87"/>
      <c r="AC87"/>
    </row>
    <row r="88" spans="1:34" ht="15" x14ac:dyDescent="0.25">
      <c r="A88" s="197">
        <v>2012</v>
      </c>
      <c r="B88" s="196">
        <v>159</v>
      </c>
      <c r="C88" s="214">
        <f t="shared" ref="C88:K88" si="47">C41/$K41*100</f>
        <v>24.275983964775868</v>
      </c>
      <c r="D88" s="212">
        <f t="shared" si="47"/>
        <v>0</v>
      </c>
      <c r="E88" s="214">
        <f t="shared" si="47"/>
        <v>10.887267466650481</v>
      </c>
      <c r="F88" s="212">
        <f t="shared" si="47"/>
        <v>0.59671872794068825</v>
      </c>
      <c r="G88" s="212">
        <f t="shared" si="47"/>
        <v>0</v>
      </c>
      <c r="H88" s="212">
        <f t="shared" si="47"/>
        <v>0</v>
      </c>
      <c r="I88" s="212">
        <f t="shared" si="47"/>
        <v>35.759970159367036</v>
      </c>
      <c r="J88" s="213">
        <f t="shared" si="47"/>
        <v>64.240029840632971</v>
      </c>
      <c r="K88" s="212">
        <f t="shared" si="47"/>
        <v>100</v>
      </c>
      <c r="L88" s="211">
        <f t="shared" si="15"/>
        <v>0.44847893632026459</v>
      </c>
      <c r="O88" s="197">
        <v>2016</v>
      </c>
      <c r="P88" s="193">
        <v>9948.2170047798718</v>
      </c>
      <c r="Q88" s="141">
        <v>2466</v>
      </c>
      <c r="U88" s="383" t="s">
        <v>334</v>
      </c>
      <c r="V88" s="383">
        <v>1233.9310435936354</v>
      </c>
      <c r="W88"/>
      <c r="X88"/>
      <c r="Y88"/>
      <c r="Z88"/>
      <c r="AA88"/>
      <c r="AB88"/>
      <c r="AC88"/>
    </row>
    <row r="89" spans="1:34" ht="13.5" thickBot="1" x14ac:dyDescent="0.25">
      <c r="A89" s="197">
        <v>2013</v>
      </c>
      <c r="B89" s="196">
        <v>374</v>
      </c>
      <c r="C89" s="214">
        <f t="shared" ref="C89:K89" si="48">C42/$K42*100</f>
        <v>35.69765072416984</v>
      </c>
      <c r="D89" s="212">
        <f t="shared" si="48"/>
        <v>1.7529915504445179</v>
      </c>
      <c r="E89" s="214">
        <f t="shared" si="48"/>
        <v>29.851565041510376</v>
      </c>
      <c r="F89" s="212">
        <f t="shared" si="48"/>
        <v>2.8889598921514672</v>
      </c>
      <c r="G89" s="212">
        <f t="shared" si="48"/>
        <v>0</v>
      </c>
      <c r="H89" s="212">
        <f t="shared" si="48"/>
        <v>0</v>
      </c>
      <c r="I89" s="212">
        <f t="shared" si="48"/>
        <v>70.191167208276198</v>
      </c>
      <c r="J89" s="213">
        <f t="shared" si="48"/>
        <v>29.808832791723798</v>
      </c>
      <c r="K89" s="212">
        <f t="shared" si="48"/>
        <v>100</v>
      </c>
      <c r="L89" s="211">
        <f t="shared" si="15"/>
        <v>0.83623332168743392</v>
      </c>
      <c r="U89" s="385" t="s">
        <v>335</v>
      </c>
      <c r="V89" s="385">
        <v>24</v>
      </c>
      <c r="W89"/>
      <c r="X89"/>
      <c r="Y89"/>
      <c r="Z89"/>
      <c r="AA89"/>
      <c r="AB89"/>
      <c r="AC89"/>
    </row>
    <row r="90" spans="1:34" x14ac:dyDescent="0.2">
      <c r="A90" s="197">
        <v>2014</v>
      </c>
      <c r="B90" s="196">
        <v>287</v>
      </c>
      <c r="C90" s="214">
        <f t="shared" ref="C90:K90" si="49">C43/$K43*100</f>
        <v>16.140335345277403</v>
      </c>
      <c r="D90" s="212">
        <f t="shared" si="49"/>
        <v>0</v>
      </c>
      <c r="E90" s="214">
        <f t="shared" si="49"/>
        <v>23.420744234719226</v>
      </c>
      <c r="F90" s="212">
        <f t="shared" si="49"/>
        <v>2.3488990438972941</v>
      </c>
      <c r="G90" s="212">
        <f t="shared" si="49"/>
        <v>0</v>
      </c>
      <c r="H90" s="212">
        <f t="shared" si="49"/>
        <v>0</v>
      </c>
      <c r="I90" s="212">
        <f t="shared" si="49"/>
        <v>41.90997862389392</v>
      </c>
      <c r="J90" s="213">
        <f t="shared" si="49"/>
        <v>58.090021376106073</v>
      </c>
      <c r="K90" s="212">
        <f t="shared" si="49"/>
        <v>100</v>
      </c>
      <c r="L90" s="211">
        <f t="shared" si="15"/>
        <v>1.4510692456939589</v>
      </c>
      <c r="U90"/>
      <c r="V90"/>
      <c r="W90"/>
      <c r="X90"/>
      <c r="Y90"/>
      <c r="Z90"/>
      <c r="AA90"/>
      <c r="AB90"/>
      <c r="AC90"/>
    </row>
    <row r="91" spans="1:34" ht="13.5" thickBot="1" x14ac:dyDescent="0.25">
      <c r="A91" s="197">
        <v>2016</v>
      </c>
      <c r="B91" s="196">
        <v>306</v>
      </c>
      <c r="C91" s="214">
        <f t="shared" ref="C91:K91" si="50">C44/$K44*100</f>
        <v>22.640424308262507</v>
      </c>
      <c r="D91" s="212">
        <f t="shared" si="50"/>
        <v>0.76682216116045754</v>
      </c>
      <c r="E91" s="214">
        <f t="shared" si="50"/>
        <v>11.943255160074125</v>
      </c>
      <c r="F91" s="212">
        <f t="shared" si="50"/>
        <v>1.1310626877116747</v>
      </c>
      <c r="G91" s="212">
        <f t="shared" si="50"/>
        <v>0</v>
      </c>
      <c r="H91" s="212">
        <f t="shared" si="50"/>
        <v>0</v>
      </c>
      <c r="I91" s="212">
        <f t="shared" si="50"/>
        <v>36.481564317208772</v>
      </c>
      <c r="J91" s="213">
        <f t="shared" si="50"/>
        <v>63.518435682791228</v>
      </c>
      <c r="K91" s="212">
        <f t="shared" si="50"/>
        <v>100</v>
      </c>
      <c r="L91" s="211">
        <f t="shared" si="15"/>
        <v>0.5275190516511431</v>
      </c>
      <c r="U91" t="s">
        <v>336</v>
      </c>
      <c r="V91"/>
      <c r="W91"/>
      <c r="X91"/>
      <c r="Y91"/>
      <c r="Z91"/>
      <c r="AA91"/>
      <c r="AB91"/>
      <c r="AC91"/>
    </row>
    <row r="92" spans="1:34" x14ac:dyDescent="0.2">
      <c r="A92" s="197">
        <v>2015</v>
      </c>
      <c r="B92" s="196">
        <v>173</v>
      </c>
      <c r="C92" s="214">
        <f t="shared" ref="C92:K92" si="51">C45/$K45*100</f>
        <v>9.2419006909366566</v>
      </c>
      <c r="D92" s="212">
        <f t="shared" si="51"/>
        <v>0.11335640726604082</v>
      </c>
      <c r="E92" s="214">
        <f t="shared" si="51"/>
        <v>22.091418684702361</v>
      </c>
      <c r="F92" s="212">
        <f t="shared" si="51"/>
        <v>0.87285447296934637</v>
      </c>
      <c r="G92" s="212">
        <f t="shared" si="51"/>
        <v>0</v>
      </c>
      <c r="H92" s="212">
        <f t="shared" si="51"/>
        <v>0</v>
      </c>
      <c r="I92" s="212">
        <f t="shared" si="51"/>
        <v>32.319530255874405</v>
      </c>
      <c r="J92" s="213">
        <f t="shared" si="51"/>
        <v>67.680469744125602</v>
      </c>
      <c r="K92" s="212">
        <f t="shared" si="51"/>
        <v>100</v>
      </c>
      <c r="L92" s="211">
        <f t="shared" si="15"/>
        <v>2.3903544761487177</v>
      </c>
      <c r="U92" s="415"/>
      <c r="V92" s="415" t="s">
        <v>339</v>
      </c>
      <c r="W92" s="415" t="s">
        <v>340</v>
      </c>
      <c r="X92" s="415" t="s">
        <v>341</v>
      </c>
      <c r="Y92" s="415" t="s">
        <v>342</v>
      </c>
      <c r="Z92" s="415" t="s">
        <v>343</v>
      </c>
      <c r="AA92"/>
      <c r="AB92"/>
      <c r="AC92"/>
    </row>
    <row r="93" spans="1:34" x14ac:dyDescent="0.2">
      <c r="A93" s="197">
        <v>2017</v>
      </c>
      <c r="B93" s="196">
        <v>153</v>
      </c>
      <c r="C93" s="214">
        <f t="shared" ref="C93:K94" si="52">C46/$K46*100</f>
        <v>31.158203944607639</v>
      </c>
      <c r="D93" s="212">
        <f t="shared" si="52"/>
        <v>6.0358092040844875</v>
      </c>
      <c r="E93" s="214">
        <f t="shared" si="52"/>
        <v>11.931738704713945</v>
      </c>
      <c r="F93" s="212">
        <f t="shared" si="52"/>
        <v>1.6365925304238356</v>
      </c>
      <c r="G93" s="212">
        <f t="shared" si="52"/>
        <v>0</v>
      </c>
      <c r="H93" s="212">
        <f t="shared" si="52"/>
        <v>0</v>
      </c>
      <c r="I93" s="212">
        <f t="shared" si="52"/>
        <v>50.762344383829905</v>
      </c>
      <c r="J93" s="213">
        <f t="shared" si="52"/>
        <v>49.237655616170095</v>
      </c>
      <c r="K93" s="212">
        <f t="shared" si="52"/>
        <v>100</v>
      </c>
      <c r="L93" s="211">
        <f>E93/C93</f>
        <v>0.38294051627384956</v>
      </c>
      <c r="M93" s="178">
        <f>AVERAGE(L55:L93)</f>
        <v>0.86802508278142698</v>
      </c>
      <c r="N93" s="178">
        <f>MIN(L66:L92)</f>
        <v>0.39968343574932425</v>
      </c>
      <c r="U93" s="383" t="s">
        <v>337</v>
      </c>
      <c r="V93" s="383">
        <v>1</v>
      </c>
      <c r="W93" s="383">
        <v>45930224.482212663</v>
      </c>
      <c r="X93" s="383">
        <v>45930224.482212663</v>
      </c>
      <c r="Y93" s="383">
        <v>30.165934733211444</v>
      </c>
      <c r="Z93" s="383">
        <v>1.6133822417984378E-5</v>
      </c>
      <c r="AA93"/>
      <c r="AB93"/>
      <c r="AC93"/>
    </row>
    <row r="94" spans="1:34" x14ac:dyDescent="0.2">
      <c r="A94" s="197">
        <v>2018</v>
      </c>
      <c r="B94" s="196">
        <v>267</v>
      </c>
      <c r="C94" s="214">
        <f t="shared" si="52"/>
        <v>13.971722365038561</v>
      </c>
      <c r="D94" s="212">
        <f t="shared" si="52"/>
        <v>0</v>
      </c>
      <c r="E94" s="214">
        <f t="shared" si="52"/>
        <v>38.804627249357324</v>
      </c>
      <c r="F94" s="212">
        <f t="shared" si="52"/>
        <v>1.5938303341902313</v>
      </c>
      <c r="G94" s="212">
        <f t="shared" si="52"/>
        <v>0</v>
      </c>
      <c r="H94" s="212">
        <f t="shared" si="52"/>
        <v>0</v>
      </c>
      <c r="I94" s="212">
        <f t="shared" si="52"/>
        <v>54.37017994858612</v>
      </c>
      <c r="J94" s="213">
        <f t="shared" si="52"/>
        <v>45.62982005141388</v>
      </c>
      <c r="K94" s="212">
        <f t="shared" si="52"/>
        <v>100</v>
      </c>
      <c r="L94" s="211">
        <f>E94/C94</f>
        <v>2.7773689052437898</v>
      </c>
      <c r="U94" s="383" t="s">
        <v>338</v>
      </c>
      <c r="V94" s="383">
        <v>22</v>
      </c>
      <c r="W94" s="383">
        <v>33496888.047569718</v>
      </c>
      <c r="X94" s="383">
        <v>1522585.8203440781</v>
      </c>
      <c r="Y94" s="383"/>
      <c r="Z94" s="383"/>
      <c r="AA94"/>
      <c r="AB94"/>
      <c r="AC94"/>
    </row>
    <row r="95" spans="1:34" ht="13.5" thickBot="1" x14ac:dyDescent="0.25">
      <c r="A95" s="195" t="s">
        <v>32</v>
      </c>
      <c r="B95" s="194"/>
      <c r="C95" s="210">
        <f t="shared" ref="C95:K95" si="53">AVERAGEA(C55:C93)</f>
        <v>34.390261123734092</v>
      </c>
      <c r="D95" s="208">
        <f t="shared" si="53"/>
        <v>0.90527007588622888</v>
      </c>
      <c r="E95" s="210">
        <f t="shared" si="53"/>
        <v>25.77190160325415</v>
      </c>
      <c r="F95" s="208">
        <f t="shared" si="53"/>
        <v>1.1817707769873773</v>
      </c>
      <c r="G95" s="208">
        <f t="shared" si="53"/>
        <v>3.4215822854952676E-4</v>
      </c>
      <c r="H95" s="208">
        <f t="shared" si="53"/>
        <v>3.8356355410668203E-3</v>
      </c>
      <c r="I95" s="208">
        <f t="shared" si="53"/>
        <v>62.253381373631449</v>
      </c>
      <c r="J95" s="209">
        <f t="shared" si="53"/>
        <v>37.74661862636853</v>
      </c>
      <c r="K95" s="208">
        <f t="shared" si="53"/>
        <v>100</v>
      </c>
      <c r="L95">
        <v>2.5660609480920962</v>
      </c>
      <c r="U95" s="385" t="s">
        <v>29</v>
      </c>
      <c r="V95" s="385">
        <v>23</v>
      </c>
      <c r="W95" s="385">
        <v>79427112.529782385</v>
      </c>
      <c r="X95" s="385"/>
      <c r="Y95" s="385"/>
      <c r="Z95" s="385"/>
      <c r="AA95"/>
      <c r="AB95"/>
      <c r="AC95"/>
    </row>
    <row r="96" spans="1:34" ht="16.5" thickBot="1" x14ac:dyDescent="0.3">
      <c r="A96" s="107" t="s">
        <v>90</v>
      </c>
      <c r="B96" s="192"/>
      <c r="U96"/>
      <c r="V96"/>
      <c r="W96"/>
      <c r="X96"/>
      <c r="Y96"/>
      <c r="Z96"/>
      <c r="AA96"/>
      <c r="AB96"/>
      <c r="AC96"/>
    </row>
    <row r="97" spans="1:29" x14ac:dyDescent="0.2">
      <c r="U97" s="415"/>
      <c r="V97" s="415" t="s">
        <v>344</v>
      </c>
      <c r="W97" s="415" t="s">
        <v>334</v>
      </c>
      <c r="X97" s="415" t="s">
        <v>345</v>
      </c>
      <c r="Y97" s="415" t="s">
        <v>346</v>
      </c>
      <c r="Z97" s="415" t="s">
        <v>347</v>
      </c>
      <c r="AA97" s="415" t="s">
        <v>348</v>
      </c>
      <c r="AB97" s="415" t="s">
        <v>349</v>
      </c>
      <c r="AC97" s="415" t="s">
        <v>350</v>
      </c>
    </row>
    <row r="98" spans="1:29" x14ac:dyDescent="0.2">
      <c r="U98" s="383" t="s">
        <v>318</v>
      </c>
      <c r="V98" s="383">
        <v>958.59037639006192</v>
      </c>
      <c r="W98" s="383">
        <v>605.9693217782351</v>
      </c>
      <c r="X98" s="383">
        <v>1.5819123872097185</v>
      </c>
      <c r="Y98" s="383">
        <v>0.12794070719500883</v>
      </c>
      <c r="Z98" s="383">
        <v>-298.11308002188821</v>
      </c>
      <c r="AA98" s="383">
        <v>2215.2938328020118</v>
      </c>
      <c r="AB98" s="383">
        <v>-298.11308002188821</v>
      </c>
      <c r="AC98" s="383">
        <v>2215.2938328020118</v>
      </c>
    </row>
    <row r="99" spans="1:29" ht="13.5" thickBot="1" x14ac:dyDescent="0.25">
      <c r="A99" s="206"/>
      <c r="B99" s="205" t="s">
        <v>33</v>
      </c>
      <c r="C99" s="203"/>
      <c r="D99" s="203"/>
      <c r="E99" s="203"/>
      <c r="F99" s="203" t="s">
        <v>67</v>
      </c>
      <c r="G99" s="204"/>
      <c r="H99" s="204"/>
      <c r="I99" s="203"/>
      <c r="J99" s="203"/>
      <c r="K99" s="203"/>
      <c r="U99" s="385" t="s">
        <v>351</v>
      </c>
      <c r="V99" s="385">
        <v>0.10074001394505622</v>
      </c>
      <c r="W99" s="385">
        <v>1.8341870088273905E-2</v>
      </c>
      <c r="X99" s="385">
        <v>5.4923523861102943</v>
      </c>
      <c r="Y99" s="385">
        <v>1.6133822417984378E-5</v>
      </c>
      <c r="Z99" s="385">
        <v>6.2701303553990534E-2</v>
      </c>
      <c r="AA99" s="385">
        <v>0.1387787243361219</v>
      </c>
      <c r="AB99" s="385">
        <v>6.2701303553990534E-2</v>
      </c>
      <c r="AC99" s="385">
        <v>0.1387787243361219</v>
      </c>
    </row>
    <row r="100" spans="1:29" x14ac:dyDescent="0.2">
      <c r="A100" s="192"/>
      <c r="B100" s="202" t="s">
        <v>63</v>
      </c>
      <c r="C100" s="177"/>
      <c r="D100" s="177"/>
      <c r="E100" s="177" t="s">
        <v>82</v>
      </c>
      <c r="F100" s="177"/>
      <c r="G100" s="177" t="s">
        <v>75</v>
      </c>
      <c r="H100" s="177" t="s">
        <v>87</v>
      </c>
      <c r="I100" s="177" t="s">
        <v>29</v>
      </c>
      <c r="J100" s="177"/>
      <c r="K100" s="177" t="s">
        <v>26</v>
      </c>
      <c r="U100"/>
      <c r="V100"/>
      <c r="W100"/>
      <c r="X100"/>
      <c r="Y100"/>
      <c r="Z100"/>
      <c r="AA100"/>
      <c r="AB100"/>
      <c r="AC100"/>
    </row>
    <row r="101" spans="1:29" x14ac:dyDescent="0.2">
      <c r="A101" s="201" t="s">
        <v>3</v>
      </c>
      <c r="B101" s="200" t="s">
        <v>80</v>
      </c>
      <c r="C101" s="200" t="s">
        <v>4</v>
      </c>
      <c r="D101" s="200" t="s">
        <v>79</v>
      </c>
      <c r="E101" s="200" t="s">
        <v>16</v>
      </c>
      <c r="F101" s="200" t="s">
        <v>17</v>
      </c>
      <c r="G101" s="200" t="s">
        <v>71</v>
      </c>
      <c r="H101" s="200" t="s">
        <v>86</v>
      </c>
      <c r="I101" s="200" t="s">
        <v>23</v>
      </c>
      <c r="J101" s="200" t="s">
        <v>40</v>
      </c>
      <c r="K101" s="200" t="s">
        <v>78</v>
      </c>
      <c r="U101" t="s">
        <v>329</v>
      </c>
      <c r="V101"/>
      <c r="W101"/>
      <c r="X101"/>
      <c r="Y101"/>
      <c r="Z101"/>
      <c r="AA101"/>
      <c r="AB101"/>
      <c r="AC101"/>
    </row>
    <row r="102" spans="1:29" ht="13.5" thickBot="1" x14ac:dyDescent="0.25">
      <c r="A102" s="199">
        <v>1989</v>
      </c>
      <c r="B102" s="198">
        <v>58</v>
      </c>
      <c r="C102" s="198">
        <f t="shared" ref="C102:I111" si="54">C18</f>
        <v>10582.789888648653</v>
      </c>
      <c r="D102" s="198">
        <f t="shared" si="54"/>
        <v>0</v>
      </c>
      <c r="E102" s="198">
        <f t="shared" si="54"/>
        <v>1664.5295875675677</v>
      </c>
      <c r="F102" s="198">
        <f t="shared" si="54"/>
        <v>0</v>
      </c>
      <c r="G102" s="198">
        <f t="shared" si="54"/>
        <v>0</v>
      </c>
      <c r="H102" s="198">
        <f t="shared" si="54"/>
        <v>0</v>
      </c>
      <c r="I102" s="198">
        <f t="shared" si="54"/>
        <v>12247.31947621622</v>
      </c>
      <c r="J102" s="198">
        <v>9320</v>
      </c>
      <c r="K102" s="198">
        <f t="shared" ref="K102:K128" si="55">I102+J102</f>
        <v>21567.31947621622</v>
      </c>
      <c r="L102" s="218">
        <f>K102</f>
        <v>21567.31947621622</v>
      </c>
      <c r="U102"/>
      <c r="V102"/>
      <c r="W102"/>
      <c r="X102"/>
      <c r="Y102"/>
      <c r="Z102"/>
      <c r="AA102"/>
      <c r="AB102"/>
      <c r="AC102"/>
    </row>
    <row r="103" spans="1:29" x14ac:dyDescent="0.2">
      <c r="A103" s="199">
        <v>1990</v>
      </c>
      <c r="B103" s="198">
        <v>471</v>
      </c>
      <c r="C103" s="198">
        <f t="shared" si="54"/>
        <v>15006.906562552591</v>
      </c>
      <c r="D103" s="198">
        <f t="shared" si="54"/>
        <v>183.86082167279412</v>
      </c>
      <c r="E103" s="198">
        <f t="shared" si="54"/>
        <v>7350.5906572373988</v>
      </c>
      <c r="F103" s="198">
        <f t="shared" si="54"/>
        <v>369.27221353203782</v>
      </c>
      <c r="G103" s="198">
        <f t="shared" si="54"/>
        <v>0</v>
      </c>
      <c r="H103" s="198">
        <f t="shared" si="54"/>
        <v>0</v>
      </c>
      <c r="I103" s="198">
        <f t="shared" si="54"/>
        <v>22910.63025499482</v>
      </c>
      <c r="J103" s="198">
        <v>13715</v>
      </c>
      <c r="K103" s="198">
        <f t="shared" si="55"/>
        <v>36625.630254994816</v>
      </c>
      <c r="L103" s="218">
        <f t="shared" ref="L103:L128" si="56">K103</f>
        <v>36625.630254994816</v>
      </c>
      <c r="M103" s="198"/>
      <c r="O103" s="218">
        <f>AVERAGE(L103:L117)</f>
        <v>38224.598195247476</v>
      </c>
      <c r="U103" s="416" t="s">
        <v>330</v>
      </c>
      <c r="V103" s="416"/>
      <c r="W103"/>
      <c r="X103"/>
      <c r="Y103"/>
      <c r="Z103"/>
      <c r="AA103"/>
      <c r="AB103"/>
      <c r="AC103"/>
    </row>
    <row r="104" spans="1:29" x14ac:dyDescent="0.2">
      <c r="A104" s="199">
        <v>1991</v>
      </c>
      <c r="B104" s="198">
        <v>1025</v>
      </c>
      <c r="C104" s="198">
        <f t="shared" si="54"/>
        <v>6448.5848185505256</v>
      </c>
      <c r="D104" s="198">
        <f t="shared" si="54"/>
        <v>284.64877831370978</v>
      </c>
      <c r="E104" s="198">
        <f t="shared" si="54"/>
        <v>16639.540220707335</v>
      </c>
      <c r="F104" s="198">
        <f t="shared" si="54"/>
        <v>84.031036589510308</v>
      </c>
      <c r="G104" s="198">
        <f t="shared" si="54"/>
        <v>0</v>
      </c>
      <c r="H104" s="198">
        <f t="shared" si="54"/>
        <v>0</v>
      </c>
      <c r="I104" s="198">
        <f t="shared" si="54"/>
        <v>23456.804854161081</v>
      </c>
      <c r="J104" s="198">
        <v>14311</v>
      </c>
      <c r="K104" s="198">
        <f t="shared" si="55"/>
        <v>37767.804854161077</v>
      </c>
      <c r="L104" s="218">
        <f t="shared" si="56"/>
        <v>37767.804854161077</v>
      </c>
      <c r="M104" s="198"/>
      <c r="O104" s="218">
        <f>O103</f>
        <v>38224.598195247476</v>
      </c>
      <c r="U104" s="383" t="s">
        <v>331</v>
      </c>
      <c r="V104" s="383">
        <v>0.89550119986714261</v>
      </c>
      <c r="W104"/>
      <c r="X104"/>
      <c r="Y104"/>
      <c r="Z104"/>
      <c r="AA104"/>
      <c r="AB104"/>
      <c r="AC104"/>
    </row>
    <row r="105" spans="1:29" x14ac:dyDescent="0.2">
      <c r="A105" s="199">
        <v>1992</v>
      </c>
      <c r="B105" s="198">
        <v>701</v>
      </c>
      <c r="C105" s="198">
        <f t="shared" si="54"/>
        <v>15318.194687812569</v>
      </c>
      <c r="D105" s="198">
        <f t="shared" si="54"/>
        <v>508.33855610719081</v>
      </c>
      <c r="E105" s="198">
        <f t="shared" si="54"/>
        <v>14678.98207072916</v>
      </c>
      <c r="F105" s="198">
        <f t="shared" si="54"/>
        <v>189.25980612399195</v>
      </c>
      <c r="G105" s="198">
        <f t="shared" si="54"/>
        <v>0</v>
      </c>
      <c r="H105" s="198">
        <f t="shared" si="54"/>
        <v>0</v>
      </c>
      <c r="I105" s="198">
        <f t="shared" si="54"/>
        <v>30694.775120772909</v>
      </c>
      <c r="J105" s="198">
        <v>18991</v>
      </c>
      <c r="K105" s="198">
        <f t="shared" si="55"/>
        <v>49685.775120772909</v>
      </c>
      <c r="L105" s="218">
        <f t="shared" si="56"/>
        <v>49685.775120772909</v>
      </c>
      <c r="M105" s="198"/>
      <c r="O105" s="218">
        <f t="shared" ref="O105:O117" si="57">O104</f>
        <v>38224.598195247476</v>
      </c>
      <c r="U105" s="383" t="s">
        <v>332</v>
      </c>
      <c r="V105" s="383">
        <v>0.80192239896349216</v>
      </c>
      <c r="W105"/>
      <c r="X105"/>
      <c r="Y105"/>
      <c r="Z105"/>
      <c r="AA105"/>
      <c r="AB105"/>
      <c r="AC105"/>
    </row>
    <row r="106" spans="1:29" x14ac:dyDescent="0.2">
      <c r="A106" s="199">
        <v>1993</v>
      </c>
      <c r="B106" s="198">
        <v>1498</v>
      </c>
      <c r="C106" s="198">
        <f t="shared" si="54"/>
        <v>19308.334788727647</v>
      </c>
      <c r="D106" s="198">
        <f t="shared" si="54"/>
        <v>165.88592051612906</v>
      </c>
      <c r="E106" s="198">
        <f t="shared" si="54"/>
        <v>14281.672702149681</v>
      </c>
      <c r="F106" s="198">
        <f t="shared" si="54"/>
        <v>179.72823855483873</v>
      </c>
      <c r="G106" s="198">
        <f t="shared" si="54"/>
        <v>0</v>
      </c>
      <c r="H106" s="198">
        <f t="shared" si="54"/>
        <v>0</v>
      </c>
      <c r="I106" s="198">
        <f t="shared" si="54"/>
        <v>33935.621649948291</v>
      </c>
      <c r="J106" s="198">
        <v>19450</v>
      </c>
      <c r="K106" s="198">
        <f t="shared" si="55"/>
        <v>53385.621649948291</v>
      </c>
      <c r="L106" s="218">
        <f t="shared" si="56"/>
        <v>53385.621649948291</v>
      </c>
      <c r="M106" s="198"/>
      <c r="O106" s="218">
        <f t="shared" si="57"/>
        <v>38224.598195247476</v>
      </c>
      <c r="U106" s="383" t="s">
        <v>333</v>
      </c>
      <c r="V106" s="383">
        <v>0.76890946545740757</v>
      </c>
      <c r="W106"/>
      <c r="X106"/>
      <c r="Y106"/>
      <c r="Z106"/>
      <c r="AA106"/>
      <c r="AB106"/>
      <c r="AC106"/>
    </row>
    <row r="107" spans="1:29" x14ac:dyDescent="0.2">
      <c r="A107" s="199">
        <v>1994</v>
      </c>
      <c r="B107" s="198">
        <v>2644</v>
      </c>
      <c r="C107" s="198">
        <f t="shared" si="54"/>
        <v>27339.017989400378</v>
      </c>
      <c r="D107" s="198">
        <f t="shared" si="54"/>
        <v>1380.9011576025232</v>
      </c>
      <c r="E107" s="198">
        <f t="shared" si="54"/>
        <v>27909.146827760283</v>
      </c>
      <c r="F107" s="198">
        <f t="shared" si="54"/>
        <v>810.28299406940016</v>
      </c>
      <c r="G107" s="198">
        <f t="shared" si="54"/>
        <v>9.5394321766561525</v>
      </c>
      <c r="H107" s="198">
        <f t="shared" si="54"/>
        <v>0</v>
      </c>
      <c r="I107" s="198">
        <f t="shared" si="54"/>
        <v>57448.888401009244</v>
      </c>
      <c r="J107" s="198">
        <v>19760</v>
      </c>
      <c r="K107" s="198">
        <f t="shared" si="55"/>
        <v>77208.888401009244</v>
      </c>
      <c r="L107" s="218">
        <f t="shared" si="56"/>
        <v>77208.888401009244</v>
      </c>
      <c r="M107" s="198"/>
      <c r="O107" s="218">
        <f t="shared" si="57"/>
        <v>38224.598195247476</v>
      </c>
      <c r="U107" s="383" t="s">
        <v>334</v>
      </c>
      <c r="V107" s="383">
        <v>764.04851096279469</v>
      </c>
      <c r="W107"/>
      <c r="X107"/>
      <c r="Y107"/>
      <c r="Z107"/>
      <c r="AA107"/>
      <c r="AB107"/>
      <c r="AC107"/>
    </row>
    <row r="108" spans="1:29" ht="13.5" thickBot="1" x14ac:dyDescent="0.25">
      <c r="A108" s="199">
        <v>1995</v>
      </c>
      <c r="B108" s="198">
        <v>1383</v>
      </c>
      <c r="C108" s="198">
        <f t="shared" si="54"/>
        <v>8765.6907583897864</v>
      </c>
      <c r="D108" s="198">
        <f t="shared" si="54"/>
        <v>24.903444745762712</v>
      </c>
      <c r="E108" s="198">
        <f t="shared" si="54"/>
        <v>14869.171831694868</v>
      </c>
      <c r="F108" s="198">
        <f t="shared" si="54"/>
        <v>210.38465211864408</v>
      </c>
      <c r="G108" s="198">
        <f t="shared" si="54"/>
        <v>0</v>
      </c>
      <c r="H108" s="198">
        <f t="shared" si="54"/>
        <v>0</v>
      </c>
      <c r="I108" s="198">
        <f t="shared" si="54"/>
        <v>23870.150686949062</v>
      </c>
      <c r="J108" s="198">
        <v>6138</v>
      </c>
      <c r="K108" s="198">
        <f t="shared" si="55"/>
        <v>30008.150686949062</v>
      </c>
      <c r="L108" s="218">
        <f t="shared" si="56"/>
        <v>30008.150686949062</v>
      </c>
      <c r="M108" s="198"/>
      <c r="O108" s="218">
        <f t="shared" si="57"/>
        <v>38224.598195247476</v>
      </c>
      <c r="U108" s="385" t="s">
        <v>335</v>
      </c>
      <c r="V108" s="385">
        <v>8</v>
      </c>
      <c r="W108"/>
      <c r="X108"/>
      <c r="Y108"/>
      <c r="Z108"/>
      <c r="AA108"/>
      <c r="AB108"/>
      <c r="AC108"/>
    </row>
    <row r="109" spans="1:29" x14ac:dyDescent="0.2">
      <c r="A109" s="199">
        <v>1996</v>
      </c>
      <c r="B109" s="198">
        <v>601</v>
      </c>
      <c r="C109" s="198">
        <f t="shared" si="54"/>
        <v>10528.730040144168</v>
      </c>
      <c r="D109" s="198">
        <f t="shared" si="54"/>
        <v>234.44866225961536</v>
      </c>
      <c r="E109" s="198">
        <f t="shared" si="54"/>
        <v>6434.0711127403847</v>
      </c>
      <c r="F109" s="198">
        <f t="shared" si="54"/>
        <v>406.44885865384606</v>
      </c>
      <c r="G109" s="198">
        <f t="shared" si="54"/>
        <v>0</v>
      </c>
      <c r="H109" s="198">
        <f t="shared" si="54"/>
        <v>0</v>
      </c>
      <c r="I109" s="198">
        <f t="shared" si="54"/>
        <v>17603.698673798015</v>
      </c>
      <c r="J109" s="198">
        <v>7509</v>
      </c>
      <c r="K109" s="198">
        <f t="shared" si="55"/>
        <v>25112.698673798015</v>
      </c>
      <c r="L109" s="218">
        <f t="shared" si="56"/>
        <v>25112.698673798015</v>
      </c>
      <c r="M109" s="198"/>
      <c r="O109" s="218">
        <f t="shared" si="57"/>
        <v>38224.598195247476</v>
      </c>
      <c r="U109"/>
      <c r="V109"/>
      <c r="W109"/>
      <c r="X109"/>
      <c r="Y109"/>
      <c r="Z109"/>
      <c r="AA109"/>
      <c r="AB109"/>
      <c r="AC109"/>
    </row>
    <row r="110" spans="1:29" ht="13.5" thickBot="1" x14ac:dyDescent="0.25">
      <c r="A110" s="199">
        <v>1997</v>
      </c>
      <c r="B110" s="198">
        <v>312</v>
      </c>
      <c r="C110" s="198">
        <f t="shared" si="54"/>
        <v>2452.8423084848455</v>
      </c>
      <c r="D110" s="198">
        <f t="shared" si="54"/>
        <v>231.3978932121212</v>
      </c>
      <c r="E110" s="198">
        <f t="shared" si="54"/>
        <v>2253.7694232209337</v>
      </c>
      <c r="F110" s="198">
        <f t="shared" si="54"/>
        <v>278.00029557575749</v>
      </c>
      <c r="G110" s="198">
        <f t="shared" si="54"/>
        <v>0</v>
      </c>
      <c r="H110" s="198">
        <f t="shared" si="54"/>
        <v>18.183373393939394</v>
      </c>
      <c r="I110" s="198">
        <f t="shared" si="54"/>
        <v>5234.1932938875971</v>
      </c>
      <c r="J110" s="198">
        <v>12474</v>
      </c>
      <c r="K110" s="198">
        <f t="shared" si="55"/>
        <v>17708.193293887598</v>
      </c>
      <c r="L110" s="218">
        <f t="shared" si="56"/>
        <v>17708.193293887598</v>
      </c>
      <c r="M110" s="198"/>
      <c r="O110" s="218">
        <f t="shared" si="57"/>
        <v>38224.598195247476</v>
      </c>
      <c r="U110" t="s">
        <v>336</v>
      </c>
      <c r="V110"/>
      <c r="W110"/>
      <c r="X110"/>
      <c r="Y110"/>
      <c r="Z110"/>
      <c r="AA110"/>
      <c r="AB110"/>
      <c r="AC110"/>
    </row>
    <row r="111" spans="1:29" x14ac:dyDescent="0.2">
      <c r="A111" s="199">
        <v>1998</v>
      </c>
      <c r="B111" s="198">
        <v>613</v>
      </c>
      <c r="C111" s="198">
        <f t="shared" si="54"/>
        <v>10424.447558787861</v>
      </c>
      <c r="D111" s="198">
        <f t="shared" si="54"/>
        <v>394.50253575757569</v>
      </c>
      <c r="E111" s="198">
        <f t="shared" si="54"/>
        <v>5222.9351380024236</v>
      </c>
      <c r="F111" s="198">
        <f t="shared" si="54"/>
        <v>293.25358545454537</v>
      </c>
      <c r="G111" s="198">
        <f t="shared" si="54"/>
        <v>0</v>
      </c>
      <c r="H111" s="198">
        <f t="shared" si="54"/>
        <v>0</v>
      </c>
      <c r="I111" s="198">
        <f t="shared" si="54"/>
        <v>16335.138818002406</v>
      </c>
      <c r="J111" s="198">
        <v>8443</v>
      </c>
      <c r="K111" s="198">
        <f t="shared" si="55"/>
        <v>24778.138818002408</v>
      </c>
      <c r="L111" s="218">
        <f t="shared" si="56"/>
        <v>24778.138818002408</v>
      </c>
      <c r="M111" s="198"/>
      <c r="O111" s="218">
        <f t="shared" si="57"/>
        <v>38224.598195247476</v>
      </c>
      <c r="R111" s="535"/>
      <c r="U111" s="415"/>
      <c r="V111" s="415" t="s">
        <v>339</v>
      </c>
      <c r="W111" s="415" t="s">
        <v>340</v>
      </c>
      <c r="X111" s="415" t="s">
        <v>341</v>
      </c>
      <c r="Y111" s="415" t="s">
        <v>342</v>
      </c>
      <c r="Z111" s="415" t="s">
        <v>343</v>
      </c>
      <c r="AA111"/>
      <c r="AB111"/>
      <c r="AC111"/>
    </row>
    <row r="112" spans="1:29" x14ac:dyDescent="0.2">
      <c r="A112" s="199">
        <v>1999</v>
      </c>
      <c r="B112" s="198">
        <v>948</v>
      </c>
      <c r="C112" s="198">
        <f t="shared" ref="C112:I121" si="58">C28</f>
        <v>12876.411924788617</v>
      </c>
      <c r="D112" s="198">
        <f t="shared" si="58"/>
        <v>199.60919943661969</v>
      </c>
      <c r="E112" s="198">
        <f t="shared" si="58"/>
        <v>9571.5874766197103</v>
      </c>
      <c r="F112" s="198">
        <f t="shared" si="58"/>
        <v>577.55248478873227</v>
      </c>
      <c r="G112" s="198">
        <f t="shared" si="58"/>
        <v>0</v>
      </c>
      <c r="H112" s="198">
        <f t="shared" si="58"/>
        <v>0</v>
      </c>
      <c r="I112" s="198">
        <f t="shared" si="58"/>
        <v>23225.161085633681</v>
      </c>
      <c r="J112" s="198">
        <v>12313</v>
      </c>
      <c r="K112" s="198">
        <f t="shared" si="55"/>
        <v>35538.161085633677</v>
      </c>
      <c r="L112" s="218">
        <f t="shared" si="56"/>
        <v>35538.161085633677</v>
      </c>
      <c r="M112" s="198"/>
      <c r="O112" s="218">
        <f t="shared" si="57"/>
        <v>38224.598195247476</v>
      </c>
      <c r="R112" s="534"/>
      <c r="U112" s="383" t="s">
        <v>337</v>
      </c>
      <c r="V112" s="383">
        <v>1</v>
      </c>
      <c r="W112" s="383">
        <v>14180452.660608051</v>
      </c>
      <c r="X112" s="383">
        <v>14180452.660608051</v>
      </c>
      <c r="Y112" s="383">
        <v>24.291158458114289</v>
      </c>
      <c r="Z112" s="383">
        <v>2.6339029878089696E-3</v>
      </c>
      <c r="AA112"/>
      <c r="AB112"/>
      <c r="AC112"/>
    </row>
    <row r="113" spans="1:29" x14ac:dyDescent="0.2">
      <c r="A113" s="199">
        <v>2000</v>
      </c>
      <c r="B113" s="198">
        <v>692</v>
      </c>
      <c r="C113" s="198">
        <f t="shared" si="58"/>
        <v>4810.7035637946483</v>
      </c>
      <c r="D113" s="198">
        <f t="shared" si="58"/>
        <v>171.10668446428571</v>
      </c>
      <c r="E113" s="198">
        <f t="shared" si="58"/>
        <v>5330.0812681696407</v>
      </c>
      <c r="F113" s="198">
        <f t="shared" si="58"/>
        <v>497.07138125000012</v>
      </c>
      <c r="G113" s="198">
        <f t="shared" si="58"/>
        <v>0</v>
      </c>
      <c r="H113" s="198">
        <f t="shared" si="58"/>
        <v>5.7494658035714288</v>
      </c>
      <c r="I113" s="198">
        <f t="shared" si="58"/>
        <v>10814.712363482147</v>
      </c>
      <c r="J113" s="198">
        <v>13219</v>
      </c>
      <c r="K113" s="198">
        <f t="shared" si="55"/>
        <v>24033.712363482147</v>
      </c>
      <c r="L113" s="218">
        <f t="shared" si="56"/>
        <v>24033.712363482147</v>
      </c>
      <c r="M113" s="198"/>
      <c r="O113" s="218">
        <f t="shared" si="57"/>
        <v>38224.598195247476</v>
      </c>
      <c r="R113" s="535"/>
      <c r="U113" s="383" t="s">
        <v>338</v>
      </c>
      <c r="V113" s="383">
        <v>6</v>
      </c>
      <c r="W113" s="383">
        <v>3502620.7626267835</v>
      </c>
      <c r="X113" s="383">
        <v>583770.12710446387</v>
      </c>
      <c r="Y113" s="383"/>
      <c r="Z113" s="383"/>
      <c r="AA113"/>
      <c r="AB113"/>
      <c r="AC113"/>
    </row>
    <row r="114" spans="1:29" ht="13.5" thickBot="1" x14ac:dyDescent="0.25">
      <c r="A114" s="199">
        <v>2001</v>
      </c>
      <c r="B114" s="198">
        <v>747</v>
      </c>
      <c r="C114" s="198">
        <f t="shared" si="58"/>
        <v>8814.3456853610987</v>
      </c>
      <c r="D114" s="198">
        <f t="shared" si="58"/>
        <v>178.23020669403255</v>
      </c>
      <c r="E114" s="198">
        <f t="shared" si="58"/>
        <v>3522.9479674073568</v>
      </c>
      <c r="F114" s="198">
        <f t="shared" si="58"/>
        <v>347.22726736209063</v>
      </c>
      <c r="G114" s="198">
        <f t="shared" si="58"/>
        <v>0</v>
      </c>
      <c r="H114" s="198">
        <f t="shared" si="58"/>
        <v>0</v>
      </c>
      <c r="I114" s="198">
        <f t="shared" si="58"/>
        <v>12862.751126824578</v>
      </c>
      <c r="J114" s="198">
        <v>23943</v>
      </c>
      <c r="K114" s="198">
        <f t="shared" si="55"/>
        <v>36805.75112682458</v>
      </c>
      <c r="L114" s="218">
        <f t="shared" si="56"/>
        <v>36805.75112682458</v>
      </c>
      <c r="M114" s="198"/>
      <c r="O114" s="218">
        <f t="shared" si="57"/>
        <v>38224.598195247476</v>
      </c>
      <c r="R114" s="534"/>
      <c r="U114" s="385" t="s">
        <v>29</v>
      </c>
      <c r="V114" s="385">
        <v>7</v>
      </c>
      <c r="W114" s="385">
        <v>17683073.423234835</v>
      </c>
      <c r="X114" s="385"/>
      <c r="Y114" s="385"/>
      <c r="Z114" s="385"/>
      <c r="AA114"/>
      <c r="AB114"/>
      <c r="AC114"/>
    </row>
    <row r="115" spans="1:29" ht="13.5" thickBot="1" x14ac:dyDescent="0.25">
      <c r="A115" s="199">
        <v>2002</v>
      </c>
      <c r="B115" s="198">
        <v>787</v>
      </c>
      <c r="C115" s="198">
        <f t="shared" si="58"/>
        <v>8649.799148571401</v>
      </c>
      <c r="D115" s="198">
        <f t="shared" si="58"/>
        <v>311.94612000000006</v>
      </c>
      <c r="E115" s="198">
        <f t="shared" si="58"/>
        <v>12076.713492237724</v>
      </c>
      <c r="F115" s="198">
        <f t="shared" si="58"/>
        <v>1079.9622771428571</v>
      </c>
      <c r="G115" s="198">
        <f t="shared" si="58"/>
        <v>0</v>
      </c>
      <c r="H115" s="198">
        <f t="shared" si="58"/>
        <v>0</v>
      </c>
      <c r="I115" s="198">
        <f t="shared" si="58"/>
        <v>22118.421037951983</v>
      </c>
      <c r="J115" s="198">
        <v>34382</v>
      </c>
      <c r="K115" s="198">
        <f t="shared" si="55"/>
        <v>56500.421037951979</v>
      </c>
      <c r="L115" s="218">
        <f t="shared" si="56"/>
        <v>56500.421037951979</v>
      </c>
      <c r="M115" s="198"/>
      <c r="O115" s="218">
        <f t="shared" si="57"/>
        <v>38224.598195247476</v>
      </c>
      <c r="R115" s="535"/>
      <c r="S115">
        <v>6.913253358321648</v>
      </c>
      <c r="T115">
        <v>2002</v>
      </c>
      <c r="U115"/>
      <c r="V115"/>
      <c r="W115"/>
      <c r="X115"/>
      <c r="Y115"/>
      <c r="Z115"/>
      <c r="AA115"/>
      <c r="AB115"/>
      <c r="AC115"/>
    </row>
    <row r="116" spans="1:29" x14ac:dyDescent="0.2">
      <c r="A116" s="199">
        <v>2003</v>
      </c>
      <c r="B116" s="198">
        <v>1328</v>
      </c>
      <c r="C116" s="198">
        <f t="shared" si="58"/>
        <v>6822.780148593728</v>
      </c>
      <c r="D116" s="198">
        <f t="shared" si="58"/>
        <v>250.64962242187505</v>
      </c>
      <c r="E116" s="198">
        <f t="shared" si="58"/>
        <v>11377.239001695218</v>
      </c>
      <c r="F116" s="198">
        <f t="shared" si="58"/>
        <v>550.35285777343745</v>
      </c>
      <c r="G116" s="198">
        <f t="shared" si="58"/>
        <v>0</v>
      </c>
      <c r="H116" s="198">
        <f t="shared" si="58"/>
        <v>0</v>
      </c>
      <c r="I116" s="198">
        <f t="shared" si="58"/>
        <v>19001.021630484258</v>
      </c>
      <c r="J116" s="198">
        <v>12549</v>
      </c>
      <c r="K116" s="198">
        <f t="shared" si="55"/>
        <v>31550.021630484258</v>
      </c>
      <c r="L116" s="218">
        <f t="shared" si="56"/>
        <v>31550.021630484258</v>
      </c>
      <c r="M116" s="198"/>
      <c r="O116" s="218">
        <f t="shared" si="57"/>
        <v>38224.598195247476</v>
      </c>
      <c r="R116" s="534"/>
      <c r="S116">
        <v>6.4866604501395173</v>
      </c>
      <c r="T116">
        <v>2003</v>
      </c>
      <c r="U116" s="415"/>
      <c r="V116" s="415" t="s">
        <v>344</v>
      </c>
      <c r="W116" s="415" t="s">
        <v>334</v>
      </c>
      <c r="X116" s="415" t="s">
        <v>345</v>
      </c>
      <c r="Y116" s="415" t="s">
        <v>346</v>
      </c>
      <c r="Z116" s="415" t="s">
        <v>347</v>
      </c>
      <c r="AA116" s="415" t="s">
        <v>348</v>
      </c>
      <c r="AB116" s="415" t="s">
        <v>349</v>
      </c>
      <c r="AC116" s="415" t="s">
        <v>350</v>
      </c>
    </row>
    <row r="117" spans="1:29" x14ac:dyDescent="0.2">
      <c r="A117" s="199">
        <v>2004</v>
      </c>
      <c r="B117" s="198">
        <v>756</v>
      </c>
      <c r="C117" s="198">
        <f t="shared" si="58"/>
        <v>10791.879529411573</v>
      </c>
      <c r="D117" s="198">
        <f t="shared" si="58"/>
        <v>83.343922537893278</v>
      </c>
      <c r="E117" s="198">
        <f t="shared" si="58"/>
        <v>7351.7411185928522</v>
      </c>
      <c r="F117" s="198">
        <f t="shared" si="58"/>
        <v>497.03936026973167</v>
      </c>
      <c r="G117" s="198">
        <f t="shared" si="58"/>
        <v>0</v>
      </c>
      <c r="H117" s="198">
        <f t="shared" si="58"/>
        <v>0</v>
      </c>
      <c r="I117" s="198">
        <f t="shared" si="58"/>
        <v>18724.00393081205</v>
      </c>
      <c r="J117" s="198">
        <v>17936</v>
      </c>
      <c r="K117" s="198">
        <f t="shared" si="55"/>
        <v>36660.003930812047</v>
      </c>
      <c r="L117" s="218">
        <f t="shared" si="56"/>
        <v>36660.003930812047</v>
      </c>
      <c r="M117" s="198"/>
      <c r="O117" s="218">
        <f t="shared" si="57"/>
        <v>38224.598195247476</v>
      </c>
      <c r="Q117" s="178">
        <f>1/R117</f>
        <v>1.4679351945783932</v>
      </c>
      <c r="R117" s="535">
        <f t="shared" ref="R117:R131" si="59">E117/C117</f>
        <v>0.68122898319582204</v>
      </c>
      <c r="S117">
        <v>6.7214169841923832</v>
      </c>
      <c r="T117">
        <v>2004</v>
      </c>
      <c r="U117" s="383" t="s">
        <v>318</v>
      </c>
      <c r="V117" s="383">
        <v>1827.1210586691218</v>
      </c>
      <c r="W117" s="383">
        <v>688.75763961826692</v>
      </c>
      <c r="X117" s="383">
        <v>2.6527779200848864</v>
      </c>
      <c r="Y117" s="383">
        <v>3.7887723931839153E-2</v>
      </c>
      <c r="Z117" s="383">
        <v>141.79182772054833</v>
      </c>
      <c r="AA117" s="383">
        <v>3512.4502896176955</v>
      </c>
      <c r="AB117" s="383">
        <v>141.79182772054833</v>
      </c>
      <c r="AC117" s="383">
        <v>3512.4502896176955</v>
      </c>
    </row>
    <row r="118" spans="1:29" ht="13.5" thickBot="1" x14ac:dyDescent="0.25">
      <c r="A118" s="199">
        <v>2005</v>
      </c>
      <c r="B118" s="198">
        <v>392</v>
      </c>
      <c r="C118" s="198">
        <f t="shared" si="58"/>
        <v>4638.6855929203448</v>
      </c>
      <c r="D118" s="198">
        <f t="shared" si="58"/>
        <v>121.22160619469027</v>
      </c>
      <c r="E118" s="198">
        <f t="shared" si="58"/>
        <v>2546.1066283185842</v>
      </c>
      <c r="F118" s="198">
        <f t="shared" si="58"/>
        <v>231.86111504424778</v>
      </c>
      <c r="G118" s="198">
        <f t="shared" si="58"/>
        <v>0</v>
      </c>
      <c r="H118" s="198">
        <f t="shared" si="58"/>
        <v>0</v>
      </c>
      <c r="I118" s="198">
        <f t="shared" si="58"/>
        <v>7537.8749424778662</v>
      </c>
      <c r="J118" s="198">
        <v>6479</v>
      </c>
      <c r="K118" s="198">
        <f t="shared" si="55"/>
        <v>14016.874942477865</v>
      </c>
      <c r="L118" s="218">
        <f t="shared" si="56"/>
        <v>14016.874942477865</v>
      </c>
      <c r="M118" s="198"/>
      <c r="P118" s="218">
        <f>AVERAGE(K118:K131)</f>
        <v>15812.287531323323</v>
      </c>
      <c r="Q118" s="178">
        <f t="shared" ref="Q118:Q131" si="60">1/R118</f>
        <v>1.8218740493141377</v>
      </c>
      <c r="R118" s="534">
        <f t="shared" si="59"/>
        <v>0.54888536360483309</v>
      </c>
      <c r="S118">
        <v>5.8030726806346298</v>
      </c>
      <c r="T118">
        <v>2005</v>
      </c>
      <c r="U118" s="385" t="s">
        <v>351</v>
      </c>
      <c r="V118" s="385">
        <v>0.20393102591766571</v>
      </c>
      <c r="W118" s="385">
        <v>4.1377018213745585E-2</v>
      </c>
      <c r="X118" s="385">
        <v>4.928606137450454</v>
      </c>
      <c r="Y118" s="385">
        <v>2.6339029878089696E-3</v>
      </c>
      <c r="Z118" s="385">
        <v>0.10268510968541038</v>
      </c>
      <c r="AA118" s="385">
        <v>0.30517694214992103</v>
      </c>
      <c r="AB118" s="385">
        <v>0.10268510968541038</v>
      </c>
      <c r="AC118" s="385">
        <v>0.30517694214992103</v>
      </c>
    </row>
    <row r="119" spans="1:29" x14ac:dyDescent="0.2">
      <c r="A119" s="199">
        <v>2006</v>
      </c>
      <c r="B119" s="198">
        <v>701</v>
      </c>
      <c r="C119" s="198">
        <f t="shared" si="58"/>
        <v>4081.5165299999962</v>
      </c>
      <c r="D119" s="198">
        <f t="shared" si="58"/>
        <v>0</v>
      </c>
      <c r="E119" s="198">
        <f t="shared" si="58"/>
        <v>6160.7477426886226</v>
      </c>
      <c r="F119" s="198">
        <f t="shared" si="58"/>
        <v>109.93983000000001</v>
      </c>
      <c r="G119" s="198">
        <f t="shared" si="58"/>
        <v>0</v>
      </c>
      <c r="H119" s="198">
        <f t="shared" si="58"/>
        <v>0</v>
      </c>
      <c r="I119" s="198">
        <f t="shared" si="58"/>
        <v>10352.204102688618</v>
      </c>
      <c r="J119" s="198">
        <v>6789</v>
      </c>
      <c r="K119" s="198">
        <f t="shared" si="55"/>
        <v>17141.204102688618</v>
      </c>
      <c r="L119" s="218">
        <f t="shared" si="56"/>
        <v>17141.204102688618</v>
      </c>
      <c r="M119" s="198"/>
      <c r="N119" s="218">
        <f>MEDIAN(K102:K117)</f>
        <v>36081.895670314247</v>
      </c>
      <c r="P119" s="218">
        <f>P118</f>
        <v>15812.287531323323</v>
      </c>
      <c r="Q119" s="178">
        <f t="shared" si="60"/>
        <v>0.66250343310092663</v>
      </c>
      <c r="R119" s="535">
        <f t="shared" si="59"/>
        <v>1.5094261403588209</v>
      </c>
      <c r="S119">
        <v>6.6952340163158395</v>
      </c>
      <c r="T119">
        <v>2006</v>
      </c>
      <c r="U119"/>
      <c r="V119"/>
      <c r="W119"/>
      <c r="X119"/>
      <c r="Y119"/>
      <c r="Z119"/>
      <c r="AA119"/>
      <c r="AB119"/>
      <c r="AC119"/>
    </row>
    <row r="120" spans="1:29" x14ac:dyDescent="0.2">
      <c r="A120" s="199">
        <v>2007</v>
      </c>
      <c r="B120" s="198">
        <v>293</v>
      </c>
      <c r="C120" s="198">
        <f t="shared" si="58"/>
        <v>2937.46540720339</v>
      </c>
      <c r="D120" s="198">
        <f t="shared" si="58"/>
        <v>39.766150338983046</v>
      </c>
      <c r="E120" s="198">
        <f t="shared" si="58"/>
        <v>1668.2414631182066</v>
      </c>
      <c r="F120" s="198">
        <f t="shared" si="58"/>
        <v>161.07739627118644</v>
      </c>
      <c r="G120" s="198">
        <f t="shared" si="58"/>
        <v>0</v>
      </c>
      <c r="H120" s="198">
        <f t="shared" si="58"/>
        <v>0</v>
      </c>
      <c r="I120" s="198">
        <f t="shared" si="58"/>
        <v>4806.5504169317664</v>
      </c>
      <c r="J120" s="198">
        <v>4859</v>
      </c>
      <c r="K120" s="198">
        <f t="shared" si="55"/>
        <v>9665.5504169317664</v>
      </c>
      <c r="L120" s="218">
        <f t="shared" si="56"/>
        <v>9665.5504169317664</v>
      </c>
      <c r="M120" s="198"/>
      <c r="N120" s="178">
        <f>L127/N119</f>
        <v>0.84203709325061782</v>
      </c>
      <c r="P120" s="218">
        <f t="shared" ref="P120:P131" si="61">P119</f>
        <v>15812.287531323323</v>
      </c>
      <c r="Q120" s="178">
        <f t="shared" si="60"/>
        <v>1.7608154887319509</v>
      </c>
      <c r="R120" s="534">
        <f t="shared" si="59"/>
        <v>0.56791867540882934</v>
      </c>
      <c r="S120">
        <v>6.024831002083058</v>
      </c>
      <c r="T120">
        <v>2007</v>
      </c>
      <c r="U120" t="s">
        <v>329</v>
      </c>
      <c r="V120"/>
      <c r="W120"/>
      <c r="X120"/>
      <c r="Y120"/>
      <c r="Z120"/>
      <c r="AA120"/>
      <c r="AB120"/>
      <c r="AC120"/>
    </row>
    <row r="121" spans="1:29" ht="13.5" thickBot="1" x14ac:dyDescent="0.25">
      <c r="A121" s="199">
        <v>2008</v>
      </c>
      <c r="B121" s="198">
        <v>423</v>
      </c>
      <c r="C121" s="198">
        <f t="shared" si="58"/>
        <v>3878.1945390909154</v>
      </c>
      <c r="D121" s="198">
        <f t="shared" si="58"/>
        <v>0</v>
      </c>
      <c r="E121" s="198">
        <f t="shared" si="58"/>
        <v>3469.3583642523213</v>
      </c>
      <c r="F121" s="198">
        <f t="shared" si="58"/>
        <v>149.20630886363637</v>
      </c>
      <c r="G121" s="198">
        <f t="shared" si="58"/>
        <v>0</v>
      </c>
      <c r="H121" s="198">
        <f t="shared" si="58"/>
        <v>0</v>
      </c>
      <c r="I121" s="198">
        <f t="shared" si="58"/>
        <v>7496.7592122068727</v>
      </c>
      <c r="J121" s="198">
        <v>8527</v>
      </c>
      <c r="K121" s="198">
        <f t="shared" si="55"/>
        <v>16023.759212206873</v>
      </c>
      <c r="L121" s="218">
        <f t="shared" si="56"/>
        <v>16023.759212206873</v>
      </c>
      <c r="M121" s="198"/>
      <c r="P121" s="218">
        <f t="shared" si="61"/>
        <v>15812.287531323323</v>
      </c>
      <c r="Q121" s="178">
        <f t="shared" si="60"/>
        <v>1.1178420133968208</v>
      </c>
      <c r="R121" s="535">
        <f t="shared" si="59"/>
        <v>0.89458079765786347</v>
      </c>
      <c r="S121">
        <v>7.582432639980099</v>
      </c>
      <c r="T121">
        <v>2008</v>
      </c>
      <c r="U121"/>
      <c r="V121"/>
      <c r="W121"/>
      <c r="X121"/>
      <c r="Y121"/>
      <c r="Z121"/>
      <c r="AA121"/>
      <c r="AB121"/>
      <c r="AC121"/>
    </row>
    <row r="122" spans="1:29" x14ac:dyDescent="0.2">
      <c r="A122" s="199">
        <v>2009</v>
      </c>
      <c r="B122" s="198">
        <v>201</v>
      </c>
      <c r="C122" s="198">
        <f t="shared" ref="C122:I127" si="62">C38</f>
        <v>2806.6890000000003</v>
      </c>
      <c r="D122" s="198">
        <f t="shared" si="62"/>
        <v>63.469780253164558</v>
      </c>
      <c r="E122" s="198">
        <f t="shared" si="62"/>
        <v>2037.1891625316459</v>
      </c>
      <c r="F122" s="198">
        <f t="shared" si="62"/>
        <v>180.09817215189872</v>
      </c>
      <c r="G122" s="198">
        <f t="shared" si="62"/>
        <v>0</v>
      </c>
      <c r="H122" s="198">
        <f t="shared" si="62"/>
        <v>0</v>
      </c>
      <c r="I122" s="198">
        <f t="shared" si="62"/>
        <v>5087.4461149367089</v>
      </c>
      <c r="J122" s="198">
        <v>5250</v>
      </c>
      <c r="K122" s="198">
        <f t="shared" si="55"/>
        <v>10337.446114936709</v>
      </c>
      <c r="L122" s="218">
        <f t="shared" si="56"/>
        <v>10337.446114936709</v>
      </c>
      <c r="M122" s="198"/>
      <c r="P122" s="218">
        <f t="shared" si="61"/>
        <v>15812.287531323323</v>
      </c>
      <c r="Q122" s="178">
        <f t="shared" si="60"/>
        <v>1.3777262571493778</v>
      </c>
      <c r="R122" s="534">
        <f t="shared" si="59"/>
        <v>0.72583359343755072</v>
      </c>
      <c r="S122">
        <v>5.9339388638451567</v>
      </c>
      <c r="T122">
        <v>2009</v>
      </c>
      <c r="U122" s="416" t="s">
        <v>330</v>
      </c>
      <c r="V122" s="416"/>
      <c r="W122"/>
      <c r="X122"/>
      <c r="Y122"/>
      <c r="Z122"/>
      <c r="AA122"/>
      <c r="AB122"/>
      <c r="AC122"/>
    </row>
    <row r="123" spans="1:29" x14ac:dyDescent="0.2">
      <c r="A123" s="197">
        <v>2010</v>
      </c>
      <c r="B123" s="196">
        <v>324</v>
      </c>
      <c r="C123" s="198">
        <f t="shared" si="62"/>
        <v>6451.0321920064944</v>
      </c>
      <c r="D123" s="198">
        <f t="shared" si="62"/>
        <v>110.42222836275106</v>
      </c>
      <c r="E123" s="198">
        <f t="shared" si="62"/>
        <v>7257.8094840332706</v>
      </c>
      <c r="F123" s="198">
        <f t="shared" si="62"/>
        <v>477.26748744167173</v>
      </c>
      <c r="G123" s="198">
        <f t="shared" si="62"/>
        <v>0</v>
      </c>
      <c r="H123" s="198">
        <f t="shared" si="62"/>
        <v>0</v>
      </c>
      <c r="I123" s="198">
        <f t="shared" si="62"/>
        <v>14296.531391844188</v>
      </c>
      <c r="J123" s="198">
        <v>9334</v>
      </c>
      <c r="K123" s="198">
        <f t="shared" si="55"/>
        <v>23630.53139184419</v>
      </c>
      <c r="L123" s="218">
        <f t="shared" si="56"/>
        <v>23630.53139184419</v>
      </c>
      <c r="M123" s="198"/>
      <c r="P123" s="218">
        <f t="shared" si="61"/>
        <v>15812.287531323323</v>
      </c>
      <c r="Q123" s="178">
        <f t="shared" si="60"/>
        <v>0.888840111634008</v>
      </c>
      <c r="R123" s="535">
        <f t="shared" si="59"/>
        <v>1.1250617371009957</v>
      </c>
      <c r="S123">
        <v>6.9808256007848728</v>
      </c>
      <c r="T123">
        <v>2010</v>
      </c>
      <c r="U123" s="383" t="s">
        <v>331</v>
      </c>
      <c r="V123" s="383">
        <v>0.89550119986714261</v>
      </c>
      <c r="W123"/>
      <c r="X123"/>
      <c r="Y123"/>
      <c r="Z123"/>
      <c r="AA123"/>
      <c r="AB123"/>
      <c r="AC123"/>
    </row>
    <row r="124" spans="1:29" x14ac:dyDescent="0.2">
      <c r="A124" s="197">
        <v>2011</v>
      </c>
      <c r="B124" s="196">
        <v>174</v>
      </c>
      <c r="C124" s="198">
        <f t="shared" si="62"/>
        <v>3721.6134204545397</v>
      </c>
      <c r="D124" s="198">
        <f t="shared" si="62"/>
        <v>251.49773409090906</v>
      </c>
      <c r="E124" s="198">
        <f t="shared" si="62"/>
        <v>1900.0913647727275</v>
      </c>
      <c r="F124" s="198">
        <f t="shared" si="62"/>
        <v>105.85753977272728</v>
      </c>
      <c r="G124" s="198">
        <f t="shared" si="62"/>
        <v>0</v>
      </c>
      <c r="H124" s="198">
        <f t="shared" si="62"/>
        <v>0</v>
      </c>
      <c r="I124" s="198">
        <f t="shared" si="62"/>
        <v>5979.0600590909035</v>
      </c>
      <c r="J124" s="198">
        <v>7509</v>
      </c>
      <c r="K124" s="198">
        <f t="shared" si="55"/>
        <v>13488.060059090903</v>
      </c>
      <c r="L124" s="218">
        <f t="shared" si="56"/>
        <v>13488.060059090903</v>
      </c>
      <c r="M124" s="198"/>
      <c r="P124" s="218">
        <f t="shared" si="61"/>
        <v>15812.287531323323</v>
      </c>
      <c r="Q124" s="178">
        <f t="shared" si="60"/>
        <v>1.9586497204568301</v>
      </c>
      <c r="R124" s="534">
        <f t="shared" si="59"/>
        <v>0.51055581279064166</v>
      </c>
      <c r="S124">
        <v>5.3956668726326171</v>
      </c>
      <c r="T124">
        <v>2011</v>
      </c>
      <c r="U124" s="383" t="s">
        <v>332</v>
      </c>
      <c r="V124" s="383">
        <v>0.80192239896349216</v>
      </c>
      <c r="W124"/>
      <c r="X124"/>
      <c r="Y124"/>
      <c r="Z124"/>
      <c r="AA124"/>
      <c r="AB124"/>
      <c r="AC124"/>
    </row>
    <row r="125" spans="1:29" x14ac:dyDescent="0.2">
      <c r="A125" s="197">
        <v>2012</v>
      </c>
      <c r="B125" s="196">
        <v>159</v>
      </c>
      <c r="C125" s="198">
        <f t="shared" si="62"/>
        <v>2070.8644198484849</v>
      </c>
      <c r="D125" s="198">
        <f t="shared" si="62"/>
        <v>0</v>
      </c>
      <c r="E125" s="198">
        <f t="shared" si="62"/>
        <v>928.73907227713028</v>
      </c>
      <c r="F125" s="198">
        <f t="shared" si="62"/>
        <v>50.903130606060614</v>
      </c>
      <c r="G125" s="198">
        <f t="shared" si="62"/>
        <v>0</v>
      </c>
      <c r="H125" s="198">
        <f t="shared" si="62"/>
        <v>0</v>
      </c>
      <c r="I125" s="198">
        <f t="shared" si="62"/>
        <v>3050.5066227316756</v>
      </c>
      <c r="J125" s="198">
        <v>6802</v>
      </c>
      <c r="K125" s="198">
        <f t="shared" si="55"/>
        <v>9852.5066227316747</v>
      </c>
      <c r="L125" s="218">
        <f t="shared" si="56"/>
        <v>9852.5066227316747</v>
      </c>
      <c r="M125" s="198"/>
      <c r="P125" s="218">
        <f t="shared" si="61"/>
        <v>15812.287531323323</v>
      </c>
      <c r="Q125" s="178">
        <f t="shared" si="60"/>
        <v>2.2297591235943512</v>
      </c>
      <c r="R125" s="536">
        <f t="shared" si="59"/>
        <v>0.44847893632026459</v>
      </c>
      <c r="S125">
        <v>5.9221863462319497</v>
      </c>
      <c r="T125">
        <v>2012</v>
      </c>
      <c r="U125" s="383" t="s">
        <v>333</v>
      </c>
      <c r="V125" s="383">
        <v>0.76890946545740757</v>
      </c>
      <c r="W125"/>
      <c r="X125"/>
      <c r="Y125"/>
      <c r="Z125"/>
      <c r="AA125"/>
      <c r="AB125"/>
      <c r="AC125"/>
    </row>
    <row r="126" spans="1:29" x14ac:dyDescent="0.2">
      <c r="A126" s="197">
        <v>2013</v>
      </c>
      <c r="B126" s="196">
        <v>374</v>
      </c>
      <c r="C126" s="198">
        <f t="shared" si="62"/>
        <v>7520.6314891346174</v>
      </c>
      <c r="D126" s="198">
        <f t="shared" si="62"/>
        <v>369.31291519230768</v>
      </c>
      <c r="E126" s="198">
        <f t="shared" si="62"/>
        <v>6289.0026513461544</v>
      </c>
      <c r="F126" s="198">
        <f t="shared" si="62"/>
        <v>608.63396596153848</v>
      </c>
      <c r="G126" s="198">
        <f t="shared" si="62"/>
        <v>0</v>
      </c>
      <c r="H126" s="198">
        <f t="shared" si="62"/>
        <v>0</v>
      </c>
      <c r="I126" s="198">
        <f t="shared" si="62"/>
        <v>14787.581021634618</v>
      </c>
      <c r="J126" s="198">
        <v>7795</v>
      </c>
      <c r="K126" s="198">
        <f t="shared" si="55"/>
        <v>22582.581021634618</v>
      </c>
      <c r="L126" s="218">
        <f t="shared" si="56"/>
        <v>22582.581021634618</v>
      </c>
      <c r="M126" s="198"/>
      <c r="P126" s="218">
        <f t="shared" si="61"/>
        <v>15812.287531323323</v>
      </c>
      <c r="Q126" s="178">
        <f t="shared" si="60"/>
        <v>1.1958384987363353</v>
      </c>
      <c r="R126" s="534">
        <f t="shared" si="59"/>
        <v>0.83623332168743403</v>
      </c>
      <c r="S126">
        <v>5.7376656405049031</v>
      </c>
      <c r="T126">
        <v>2013</v>
      </c>
      <c r="U126" s="383" t="s">
        <v>334</v>
      </c>
      <c r="V126" s="383">
        <v>764.04851096279469</v>
      </c>
      <c r="W126"/>
      <c r="X126"/>
      <c r="Y126"/>
      <c r="Z126"/>
      <c r="AA126"/>
      <c r="AB126"/>
      <c r="AC126"/>
    </row>
    <row r="127" spans="1:29" ht="13.5" thickBot="1" x14ac:dyDescent="0.25">
      <c r="A127" s="197">
        <v>2014</v>
      </c>
      <c r="B127" s="196">
        <v>287</v>
      </c>
      <c r="C127" s="198">
        <f t="shared" si="62"/>
        <v>4301.1241040387176</v>
      </c>
      <c r="D127" s="198">
        <f t="shared" si="62"/>
        <v>0</v>
      </c>
      <c r="E127" s="198">
        <f t="shared" si="62"/>
        <v>6241.2289092835672</v>
      </c>
      <c r="F127" s="198">
        <f t="shared" si="62"/>
        <v>625.94153588117479</v>
      </c>
      <c r="G127" s="198">
        <f t="shared" si="62"/>
        <v>0</v>
      </c>
      <c r="H127" s="198">
        <f t="shared" si="62"/>
        <v>0</v>
      </c>
      <c r="I127" s="198">
        <f t="shared" si="62"/>
        <v>11168.29454920346</v>
      </c>
      <c r="J127" s="198">
        <v>19214</v>
      </c>
      <c r="K127" s="198">
        <f t="shared" si="55"/>
        <v>30382.29454920346</v>
      </c>
      <c r="L127" s="218">
        <f t="shared" si="56"/>
        <v>30382.29454920346</v>
      </c>
      <c r="M127" s="198"/>
      <c r="P127" s="218">
        <f t="shared" si="61"/>
        <v>15812.287531323323</v>
      </c>
      <c r="Q127" s="178">
        <f t="shared" si="60"/>
        <v>0.68914698796593976</v>
      </c>
      <c r="R127" s="535">
        <f t="shared" si="59"/>
        <v>1.4510692456939589</v>
      </c>
      <c r="S127">
        <v>6.4545117931011946</v>
      </c>
      <c r="T127">
        <v>2014</v>
      </c>
      <c r="U127" s="385" t="s">
        <v>335</v>
      </c>
      <c r="V127" s="385">
        <v>8</v>
      </c>
      <c r="W127"/>
      <c r="X127"/>
      <c r="Y127"/>
      <c r="Z127"/>
      <c r="AA127"/>
      <c r="AB127"/>
      <c r="AC127"/>
    </row>
    <row r="128" spans="1:29" x14ac:dyDescent="0.2">
      <c r="A128" s="197">
        <v>2015</v>
      </c>
      <c r="B128" s="196">
        <v>306</v>
      </c>
      <c r="C128" s="193">
        <v>3543</v>
      </c>
      <c r="D128" s="193">
        <v>120</v>
      </c>
      <c r="E128" s="193">
        <v>1869</v>
      </c>
      <c r="F128" s="193">
        <v>177</v>
      </c>
      <c r="G128" s="193">
        <v>0</v>
      </c>
      <c r="H128" s="193">
        <v>0</v>
      </c>
      <c r="I128" s="193">
        <f>SUM(C128:H128)</f>
        <v>5709</v>
      </c>
      <c r="J128" s="196">
        <v>12338</v>
      </c>
      <c r="K128" s="193">
        <f t="shared" si="55"/>
        <v>18047</v>
      </c>
      <c r="L128" s="218">
        <f t="shared" si="56"/>
        <v>18047</v>
      </c>
      <c r="M128" s="193"/>
      <c r="P128" s="218">
        <f t="shared" si="61"/>
        <v>15812.287531323323</v>
      </c>
      <c r="Q128" s="178">
        <f t="shared" si="60"/>
        <v>1.8956661316211878</v>
      </c>
      <c r="R128" s="534">
        <f t="shared" si="59"/>
        <v>0.5275190516511431</v>
      </c>
      <c r="S128">
        <v>6.0747614947466477</v>
      </c>
      <c r="T128">
        <v>2015</v>
      </c>
      <c r="U128"/>
      <c r="V128"/>
      <c r="W128"/>
      <c r="X128"/>
      <c r="Y128"/>
      <c r="Z128"/>
      <c r="AA128"/>
      <c r="AB128"/>
      <c r="AC128"/>
    </row>
    <row r="129" spans="1:29" ht="13.5" thickBot="1" x14ac:dyDescent="0.25">
      <c r="A129" s="197">
        <v>2016</v>
      </c>
      <c r="B129" s="196">
        <v>173</v>
      </c>
      <c r="C129" s="193">
        <v>919.40433610062894</v>
      </c>
      <c r="D129" s="193">
        <v>11.276941383647799</v>
      </c>
      <c r="E129" s="193">
        <v>2197.7022701886781</v>
      </c>
      <c r="F129" s="193">
        <v>86.833457106918246</v>
      </c>
      <c r="G129" s="193">
        <v>0</v>
      </c>
      <c r="H129" s="193">
        <v>0</v>
      </c>
      <c r="I129" s="193">
        <f>SUM(C129:H129)</f>
        <v>3215.2170047798727</v>
      </c>
      <c r="J129" s="196">
        <v>8357</v>
      </c>
      <c r="K129" s="193">
        <f>I129+J129</f>
        <v>11572.217004779872</v>
      </c>
      <c r="L129" s="218">
        <f>K129</f>
        <v>11572.217004779872</v>
      </c>
      <c r="M129" s="218">
        <f>AVERAGE(L103:L112)</f>
        <v>38781.906283915712</v>
      </c>
      <c r="P129" s="218">
        <f t="shared" si="61"/>
        <v>15812.287531323323</v>
      </c>
      <c r="Q129" s="178">
        <f t="shared" si="60"/>
        <v>0.41834799398086614</v>
      </c>
      <c r="R129" s="535">
        <f t="shared" si="59"/>
        <v>2.3903544761487172</v>
      </c>
      <c r="S129">
        <v>6.907195368272844</v>
      </c>
      <c r="T129">
        <v>2016</v>
      </c>
      <c r="U129" t="s">
        <v>336</v>
      </c>
      <c r="V129"/>
      <c r="W129"/>
      <c r="X129"/>
      <c r="Y129"/>
      <c r="Z129"/>
      <c r="AA129"/>
      <c r="AB129"/>
      <c r="AC129"/>
    </row>
    <row r="130" spans="1:29" x14ac:dyDescent="0.2">
      <c r="A130" s="197">
        <v>2017</v>
      </c>
      <c r="B130" s="196">
        <v>153</v>
      </c>
      <c r="C130" s="193">
        <v>4455</v>
      </c>
      <c r="D130" s="193">
        <v>863</v>
      </c>
      <c r="E130" s="193">
        <v>1706</v>
      </c>
      <c r="F130" s="193">
        <v>234</v>
      </c>
      <c r="G130" s="193">
        <v>0</v>
      </c>
      <c r="H130" s="193">
        <v>0</v>
      </c>
      <c r="I130" s="193">
        <f>SUM(C130:H130)</f>
        <v>7258</v>
      </c>
      <c r="J130" s="196">
        <v>8738</v>
      </c>
      <c r="K130" s="193">
        <f>I130+J130</f>
        <v>15996</v>
      </c>
      <c r="L130" s="218">
        <f>K130</f>
        <v>15996</v>
      </c>
      <c r="M130" s="193">
        <f>AVERAGE(L121:L130)</f>
        <v>17191.239597642831</v>
      </c>
      <c r="N130" s="218">
        <f>M130-M129</f>
        <v>-21590.666686272882</v>
      </c>
      <c r="P130" s="218">
        <f t="shared" si="61"/>
        <v>15812.287531323323</v>
      </c>
      <c r="Q130" s="178">
        <f t="shared" si="60"/>
        <v>2.61137162954279</v>
      </c>
      <c r="R130" s="534">
        <f t="shared" si="59"/>
        <v>0.38294051627384962</v>
      </c>
      <c r="S130">
        <v>5.4410789488646571</v>
      </c>
      <c r="T130">
        <v>2017</v>
      </c>
      <c r="U130" s="415"/>
      <c r="V130" s="415" t="s">
        <v>339</v>
      </c>
      <c r="W130" s="415" t="s">
        <v>340</v>
      </c>
      <c r="X130" s="415" t="s">
        <v>341</v>
      </c>
      <c r="Y130" s="415" t="s">
        <v>342</v>
      </c>
      <c r="Z130" s="415" t="s">
        <v>343</v>
      </c>
      <c r="AA130"/>
      <c r="AB130"/>
      <c r="AC130"/>
    </row>
    <row r="131" spans="1:29" x14ac:dyDescent="0.2">
      <c r="A131" s="197">
        <v>2018</v>
      </c>
      <c r="B131" s="196">
        <v>267</v>
      </c>
      <c r="C131" s="193">
        <v>1087</v>
      </c>
      <c r="D131" s="193">
        <v>0</v>
      </c>
      <c r="E131" s="193">
        <v>3019</v>
      </c>
      <c r="F131" s="193">
        <v>124</v>
      </c>
      <c r="G131" s="193">
        <v>0</v>
      </c>
      <c r="H131" s="193">
        <v>0</v>
      </c>
      <c r="I131" s="193">
        <f>SUM(C131:H131)</f>
        <v>4230</v>
      </c>
      <c r="J131" s="196">
        <v>4406</v>
      </c>
      <c r="K131" s="193">
        <f>I131+J131</f>
        <v>8636</v>
      </c>
      <c r="L131" s="218">
        <f>K131</f>
        <v>8636</v>
      </c>
      <c r="N131" s="178">
        <f>N130/M129</f>
        <v>-0.55672009849673965</v>
      </c>
      <c r="P131" s="218">
        <f t="shared" si="61"/>
        <v>15812.287531323323</v>
      </c>
      <c r="Q131" s="178">
        <f t="shared" si="60"/>
        <v>0.36005299768135146</v>
      </c>
      <c r="R131" s="535">
        <f t="shared" si="59"/>
        <v>2.7773689052437902</v>
      </c>
      <c r="S131">
        <v>7.1717148382265643</v>
      </c>
      <c r="T131">
        <v>2018</v>
      </c>
      <c r="U131" s="383" t="s">
        <v>337</v>
      </c>
      <c r="V131" s="383">
        <v>1</v>
      </c>
      <c r="W131" s="383">
        <v>14180452.660608051</v>
      </c>
      <c r="X131" s="383">
        <v>14180452.660608051</v>
      </c>
      <c r="Y131" s="383">
        <v>24.291158458114289</v>
      </c>
      <c r="Z131" s="383">
        <v>2.6339029878089696E-3</v>
      </c>
      <c r="AA131"/>
      <c r="AB131"/>
      <c r="AC131"/>
    </row>
    <row r="132" spans="1:29" x14ac:dyDescent="0.2">
      <c r="A132" s="195" t="s">
        <v>32</v>
      </c>
      <c r="B132" s="194"/>
      <c r="C132" s="194">
        <f>AVERAGE(C102:C131)</f>
        <v>7711.7893477606085</v>
      </c>
      <c r="D132" s="194">
        <f t="shared" ref="D132:K132" si="63">AVERAGE(D102:D131)</f>
        <v>218.45802938528604</v>
      </c>
      <c r="E132" s="194">
        <f t="shared" si="63"/>
        <v>6927.4979003114468</v>
      </c>
      <c r="F132" s="194">
        <f t="shared" si="63"/>
        <v>323.08290827868274</v>
      </c>
      <c r="G132" s="194">
        <f t="shared" si="63"/>
        <v>0.31798107255520508</v>
      </c>
      <c r="H132" s="194">
        <f t="shared" si="63"/>
        <v>0.79776130658369415</v>
      </c>
      <c r="I132" s="194">
        <f t="shared" si="63"/>
        <v>15181.943928115166</v>
      </c>
      <c r="J132" s="194">
        <f t="shared" si="63"/>
        <v>12028.333333333334</v>
      </c>
      <c r="K132" s="194">
        <f t="shared" si="63"/>
        <v>27210.277261448497</v>
      </c>
      <c r="O132" s="470" t="s">
        <v>21</v>
      </c>
      <c r="P132" s="514">
        <f>(P131-O117)/O117</f>
        <v>-0.58633214532286992</v>
      </c>
      <c r="R132" s="534"/>
      <c r="U132" s="383" t="s">
        <v>338</v>
      </c>
      <c r="V132" s="383">
        <v>6</v>
      </c>
      <c r="W132" s="383">
        <v>3502620.7626267835</v>
      </c>
      <c r="X132" s="383">
        <v>583770.12710446387</v>
      </c>
      <c r="Y132" s="383"/>
      <c r="Z132" s="383"/>
      <c r="AA132"/>
      <c r="AB132"/>
      <c r="AC132"/>
    </row>
    <row r="133" spans="1:29" ht="13.5" thickBot="1" x14ac:dyDescent="0.25">
      <c r="O133" s="470" t="s">
        <v>23</v>
      </c>
      <c r="P133" s="514">
        <f>(AVERAGE(I118:I131)-AVERAGE(I103:I117))/AVERAGE(I103:I117)</f>
        <v>-0.66747108367156527</v>
      </c>
      <c r="Q133" s="470" t="s">
        <v>23</v>
      </c>
      <c r="R133" s="534"/>
      <c r="U133" s="385" t="s">
        <v>29</v>
      </c>
      <c r="V133" s="385">
        <v>7</v>
      </c>
      <c r="W133" s="385">
        <v>17683073.423234835</v>
      </c>
      <c r="X133" s="385"/>
      <c r="Y133" s="385"/>
      <c r="Z133" s="385"/>
      <c r="AA133"/>
      <c r="AB133"/>
      <c r="AC133"/>
    </row>
    <row r="134" spans="1:29" ht="13.5" thickBot="1" x14ac:dyDescent="0.25">
      <c r="O134" s="470" t="s">
        <v>5</v>
      </c>
      <c r="P134" s="514">
        <f>(AVERAGE(J118:J131)-AVERAGE(J103:J117))/AVERAGE(J103:J117)</f>
        <v>-0.4696147651390003</v>
      </c>
      <c r="Q134" s="470" t="s">
        <v>5</v>
      </c>
      <c r="R134" s="534"/>
      <c r="U134"/>
      <c r="V134"/>
      <c r="W134"/>
      <c r="X134"/>
      <c r="Y134"/>
      <c r="Z134"/>
      <c r="AA134"/>
      <c r="AB134"/>
      <c r="AC134"/>
    </row>
    <row r="135" spans="1:29" ht="15.75" x14ac:dyDescent="0.25">
      <c r="A135" s="107" t="s">
        <v>89</v>
      </c>
      <c r="B135" s="192"/>
      <c r="U135" s="415"/>
      <c r="V135" s="415" t="s">
        <v>344</v>
      </c>
      <c r="W135" s="415" t="s">
        <v>334</v>
      </c>
      <c r="X135" s="415" t="s">
        <v>345</v>
      </c>
      <c r="Y135" s="415" t="s">
        <v>346</v>
      </c>
      <c r="Z135" s="415" t="s">
        <v>347</v>
      </c>
      <c r="AA135" s="415" t="s">
        <v>348</v>
      </c>
      <c r="AB135" s="415" t="s">
        <v>349</v>
      </c>
      <c r="AC135" s="415" t="s">
        <v>350</v>
      </c>
    </row>
    <row r="136" spans="1:29" x14ac:dyDescent="0.2">
      <c r="N136" s="470" t="s">
        <v>92</v>
      </c>
      <c r="U136" s="383" t="s">
        <v>318</v>
      </c>
      <c r="V136" s="383">
        <v>1827.1210586691218</v>
      </c>
      <c r="W136" s="383">
        <v>688.75763961826692</v>
      </c>
      <c r="X136" s="383">
        <v>2.6527779200848864</v>
      </c>
      <c r="Y136" s="383">
        <v>3.7887723931839153E-2</v>
      </c>
      <c r="Z136" s="383">
        <v>141.79182772054833</v>
      </c>
      <c r="AA136" s="383">
        <v>3512.4502896176955</v>
      </c>
      <c r="AB136" s="383">
        <v>141.79182772054833</v>
      </c>
      <c r="AC136" s="383">
        <v>3512.4502896176955</v>
      </c>
    </row>
    <row r="137" spans="1:29" ht="13.5" thickBot="1" x14ac:dyDescent="0.25">
      <c r="N137" s="470" t="s">
        <v>365</v>
      </c>
      <c r="U137" s="385" t="s">
        <v>351</v>
      </c>
      <c r="V137" s="385">
        <v>0.20393102591766571</v>
      </c>
      <c r="W137" s="385">
        <v>4.1377018213745585E-2</v>
      </c>
      <c r="X137" s="385">
        <v>4.928606137450454</v>
      </c>
      <c r="Y137" s="385">
        <v>2.6339029878089696E-3</v>
      </c>
      <c r="Z137" s="385">
        <v>0.10268510968541038</v>
      </c>
      <c r="AA137" s="385">
        <v>0.30517694214992103</v>
      </c>
      <c r="AB137" s="385">
        <v>0.10268510968541038</v>
      </c>
      <c r="AC137" s="385">
        <v>0.30517694214992103</v>
      </c>
    </row>
    <row r="138" spans="1:29" ht="15" x14ac:dyDescent="0.25">
      <c r="A138" s="191"/>
      <c r="B138" s="163" t="s">
        <v>33</v>
      </c>
      <c r="C138" s="161"/>
      <c r="D138" s="161"/>
      <c r="E138" s="161"/>
      <c r="F138" s="161" t="s">
        <v>88</v>
      </c>
      <c r="G138" s="162"/>
      <c r="H138" s="162"/>
      <c r="I138" s="161"/>
      <c r="J138" s="161"/>
      <c r="K138" s="161"/>
      <c r="N138" s="470" t="s">
        <v>366</v>
      </c>
      <c r="U138"/>
      <c r="V138"/>
      <c r="W138"/>
      <c r="X138"/>
      <c r="Y138"/>
      <c r="Z138"/>
      <c r="AA138"/>
      <c r="AB138"/>
      <c r="AC138"/>
    </row>
    <row r="139" spans="1:29" ht="15" x14ac:dyDescent="0.25">
      <c r="A139" s="190"/>
      <c r="B139" s="160" t="s">
        <v>63</v>
      </c>
      <c r="C139" s="159"/>
      <c r="D139" s="159"/>
      <c r="E139" s="159" t="s">
        <v>82</v>
      </c>
      <c r="F139" s="159"/>
      <c r="G139" s="159" t="s">
        <v>75</v>
      </c>
      <c r="H139" s="159" t="s">
        <v>87</v>
      </c>
      <c r="I139" s="159" t="s">
        <v>29</v>
      </c>
      <c r="J139" s="159"/>
      <c r="K139" s="159" t="s">
        <v>26</v>
      </c>
      <c r="U139"/>
      <c r="V139"/>
      <c r="W139"/>
      <c r="X139"/>
      <c r="Y139"/>
      <c r="Z139"/>
      <c r="AA139"/>
      <c r="AB139"/>
      <c r="AC139"/>
    </row>
    <row r="140" spans="1:29" ht="15" x14ac:dyDescent="0.25">
      <c r="A140" s="189" t="s">
        <v>3</v>
      </c>
      <c r="B140" s="158" t="s">
        <v>80</v>
      </c>
      <c r="C140" s="158" t="s">
        <v>4</v>
      </c>
      <c r="D140" s="158" t="s">
        <v>79</v>
      </c>
      <c r="E140" s="158" t="s">
        <v>16</v>
      </c>
      <c r="F140" s="158" t="s">
        <v>17</v>
      </c>
      <c r="G140" s="158" t="s">
        <v>71</v>
      </c>
      <c r="H140" s="158" t="s">
        <v>86</v>
      </c>
      <c r="I140" s="158" t="s">
        <v>23</v>
      </c>
      <c r="J140" s="158" t="s">
        <v>40</v>
      </c>
      <c r="K140" s="158" t="s">
        <v>78</v>
      </c>
      <c r="U140"/>
      <c r="V140"/>
      <c r="W140"/>
      <c r="X140"/>
      <c r="Y140"/>
      <c r="Z140"/>
      <c r="AA140"/>
      <c r="AB140"/>
      <c r="AC140"/>
    </row>
    <row r="141" spans="1:29" ht="15" x14ac:dyDescent="0.25">
      <c r="A141" s="188">
        <v>1989</v>
      </c>
      <c r="B141" s="187">
        <v>58</v>
      </c>
      <c r="C141" s="185">
        <f t="shared" ref="C141:J150" si="64">C102/$K102*100</f>
        <v>49.068637854226758</v>
      </c>
      <c r="D141" s="183">
        <f t="shared" si="64"/>
        <v>0</v>
      </c>
      <c r="E141" s="184">
        <f t="shared" si="64"/>
        <v>7.7178324798459998</v>
      </c>
      <c r="F141" s="183">
        <f t="shared" si="64"/>
        <v>0</v>
      </c>
      <c r="G141" s="183">
        <f t="shared" si="64"/>
        <v>0</v>
      </c>
      <c r="H141" s="183">
        <f t="shared" si="64"/>
        <v>0</v>
      </c>
      <c r="I141" s="183">
        <f t="shared" si="64"/>
        <v>56.78647033407276</v>
      </c>
      <c r="J141" s="183">
        <f t="shared" si="64"/>
        <v>43.21352966592724</v>
      </c>
      <c r="K141" s="183">
        <f t="shared" ref="K141:K167" si="65">I141+J141</f>
        <v>100</v>
      </c>
      <c r="L141" s="514">
        <f>E141/(E141+J141)</f>
        <v>0.15153398917068817</v>
      </c>
      <c r="N141" s="197"/>
      <c r="O141" s="196">
        <f>C141/100</f>
        <v>0.4906863785422676</v>
      </c>
      <c r="P141" s="198">
        <f>SUM(C141:E141)</f>
        <v>56.78647033407276</v>
      </c>
      <c r="Q141" s="198"/>
      <c r="R141" s="198"/>
      <c r="S141" s="198"/>
      <c r="T141" s="198"/>
      <c r="U141" s="198"/>
      <c r="V141" s="198"/>
      <c r="W141" s="198"/>
      <c r="X141" s="198"/>
    </row>
    <row r="142" spans="1:29" ht="15" x14ac:dyDescent="0.25">
      <c r="A142" s="188">
        <v>1990</v>
      </c>
      <c r="B142" s="198">
        <v>471</v>
      </c>
      <c r="C142" s="185">
        <f t="shared" si="64"/>
        <v>40.973783817702433</v>
      </c>
      <c r="D142" s="183">
        <f t="shared" si="64"/>
        <v>0.5020004308259518</v>
      </c>
      <c r="E142" s="184">
        <f t="shared" si="64"/>
        <v>20.06952673868312</v>
      </c>
      <c r="F142" s="183">
        <f t="shared" si="64"/>
        <v>1.0082344275336486</v>
      </c>
      <c r="G142" s="183">
        <f t="shared" si="64"/>
        <v>0</v>
      </c>
      <c r="H142" s="183">
        <f t="shared" si="64"/>
        <v>0</v>
      </c>
      <c r="I142" s="183">
        <f t="shared" si="64"/>
        <v>62.553545414745152</v>
      </c>
      <c r="J142" s="183">
        <f t="shared" si="64"/>
        <v>37.44645458525487</v>
      </c>
      <c r="K142" s="183">
        <f t="shared" si="65"/>
        <v>100.00000000000003</v>
      </c>
      <c r="L142" s="514">
        <f t="shared" ref="L142:L170" si="66">E142/(E142+J142)</f>
        <v>0.3489382650997252</v>
      </c>
      <c r="O142" s="196">
        <f t="shared" ref="O142:O170" si="67">C142/100</f>
        <v>0.4097378381770243</v>
      </c>
      <c r="P142" s="198">
        <f t="shared" ref="P142:P170" si="68">SUM(C142:E142)</f>
        <v>61.545310987211508</v>
      </c>
    </row>
    <row r="143" spans="1:29" ht="15" x14ac:dyDescent="0.25">
      <c r="A143" s="188">
        <v>1991</v>
      </c>
      <c r="B143" s="198">
        <v>1025</v>
      </c>
      <c r="C143" s="185">
        <f t="shared" si="64"/>
        <v>17.07429077080727</v>
      </c>
      <c r="D143" s="183">
        <f t="shared" si="64"/>
        <v>0.75368102385846902</v>
      </c>
      <c r="E143" s="184">
        <f t="shared" si="64"/>
        <v>44.057472455601477</v>
      </c>
      <c r="F143" s="183">
        <f t="shared" si="64"/>
        <v>0.22249383281340526</v>
      </c>
      <c r="G143" s="183">
        <f t="shared" si="64"/>
        <v>0</v>
      </c>
      <c r="H143" s="183">
        <f t="shared" si="64"/>
        <v>0</v>
      </c>
      <c r="I143" s="183">
        <f t="shared" si="64"/>
        <v>62.107938083080626</v>
      </c>
      <c r="J143" s="183">
        <f t="shared" si="64"/>
        <v>37.892061916919381</v>
      </c>
      <c r="K143" s="183">
        <f t="shared" si="65"/>
        <v>100</v>
      </c>
      <c r="L143" s="514">
        <f t="shared" si="66"/>
        <v>0.53761711757052688</v>
      </c>
      <c r="O143" s="196">
        <f t="shared" si="67"/>
        <v>0.17074290770807271</v>
      </c>
      <c r="P143" s="198">
        <f t="shared" si="68"/>
        <v>61.885444250267213</v>
      </c>
      <c r="X143"/>
    </row>
    <row r="144" spans="1:29" ht="15" x14ac:dyDescent="0.25">
      <c r="A144" s="188">
        <v>1992</v>
      </c>
      <c r="B144" s="198">
        <v>701</v>
      </c>
      <c r="C144" s="185">
        <f t="shared" si="64"/>
        <v>30.83014132430884</v>
      </c>
      <c r="D144" s="183">
        <f t="shared" si="64"/>
        <v>1.0231068245821966</v>
      </c>
      <c r="E144" s="184">
        <f t="shared" si="64"/>
        <v>29.54363101923731</v>
      </c>
      <c r="F144" s="183">
        <f t="shared" si="64"/>
        <v>0.38091346197971487</v>
      </c>
      <c r="G144" s="183">
        <f t="shared" si="64"/>
        <v>0</v>
      </c>
      <c r="H144" s="183">
        <f t="shared" si="64"/>
        <v>0</v>
      </c>
      <c r="I144" s="183">
        <f t="shared" si="64"/>
        <v>61.777792630108053</v>
      </c>
      <c r="J144" s="183">
        <f t="shared" si="64"/>
        <v>38.22220736989194</v>
      </c>
      <c r="K144" s="183">
        <f t="shared" si="65"/>
        <v>100</v>
      </c>
      <c r="L144" s="514">
        <f t="shared" si="66"/>
        <v>0.43596643561893267</v>
      </c>
      <c r="O144" s="196">
        <f t="shared" si="67"/>
        <v>0.30830141324308841</v>
      </c>
      <c r="P144" s="198">
        <f t="shared" si="68"/>
        <v>61.396879168128351</v>
      </c>
    </row>
    <row r="145" spans="1:25" ht="15" x14ac:dyDescent="0.25">
      <c r="A145" s="188">
        <v>1993</v>
      </c>
      <c r="B145" s="198">
        <v>1498</v>
      </c>
      <c r="C145" s="185">
        <f t="shared" si="64"/>
        <v>36.167668731729286</v>
      </c>
      <c r="D145" s="183">
        <f t="shared" si="64"/>
        <v>0.31073145800165042</v>
      </c>
      <c r="E145" s="184">
        <f t="shared" si="64"/>
        <v>26.751908586538885</v>
      </c>
      <c r="F145" s="183">
        <f t="shared" si="64"/>
        <v>0.33666038345179183</v>
      </c>
      <c r="G145" s="183">
        <f t="shared" si="64"/>
        <v>0</v>
      </c>
      <c r="H145" s="183">
        <f t="shared" si="64"/>
        <v>0</v>
      </c>
      <c r="I145" s="183">
        <f t="shared" si="64"/>
        <v>63.566969159721609</v>
      </c>
      <c r="J145" s="183">
        <f t="shared" si="64"/>
        <v>36.433030840278398</v>
      </c>
      <c r="K145" s="183">
        <f t="shared" si="65"/>
        <v>100</v>
      </c>
      <c r="L145" s="514">
        <f t="shared" si="66"/>
        <v>0.42339058689015219</v>
      </c>
      <c r="O145" s="196">
        <f t="shared" si="67"/>
        <v>0.36167668731729286</v>
      </c>
      <c r="P145" s="198">
        <f t="shared" si="68"/>
        <v>63.230308776269823</v>
      </c>
      <c r="X145" s="188"/>
    </row>
    <row r="146" spans="1:25" ht="15" x14ac:dyDescent="0.25">
      <c r="A146" s="188">
        <v>1994</v>
      </c>
      <c r="B146" s="198">
        <v>2644</v>
      </c>
      <c r="C146" s="185">
        <f t="shared" si="64"/>
        <v>35.409158913681516</v>
      </c>
      <c r="D146" s="183">
        <f t="shared" si="64"/>
        <v>1.7885261479615766</v>
      </c>
      <c r="E146" s="184">
        <f t="shared" si="64"/>
        <v>36.147582753432658</v>
      </c>
      <c r="F146" s="183">
        <f t="shared" si="64"/>
        <v>1.0494685402811841</v>
      </c>
      <c r="G146" s="183">
        <f t="shared" si="64"/>
        <v>1.235535490047472E-2</v>
      </c>
      <c r="H146" s="183">
        <f t="shared" si="64"/>
        <v>0</v>
      </c>
      <c r="I146" s="183">
        <f t="shared" si="64"/>
        <v>74.407091710257419</v>
      </c>
      <c r="J146" s="183">
        <f t="shared" si="64"/>
        <v>25.592908289742589</v>
      </c>
      <c r="K146" s="183">
        <f t="shared" si="65"/>
        <v>100</v>
      </c>
      <c r="L146" s="514">
        <f t="shared" si="66"/>
        <v>0.58547611369262653</v>
      </c>
      <c r="O146" s="196">
        <f t="shared" si="67"/>
        <v>0.35409158913681515</v>
      </c>
      <c r="P146" s="198">
        <f t="shared" si="68"/>
        <v>73.345267815075744</v>
      </c>
      <c r="X146" s="188"/>
    </row>
    <row r="147" spans="1:25" ht="15" x14ac:dyDescent="0.25">
      <c r="A147" s="188">
        <v>1995</v>
      </c>
      <c r="B147" s="198">
        <v>1383</v>
      </c>
      <c r="C147" s="185">
        <f t="shared" si="64"/>
        <v>29.211032861822105</v>
      </c>
      <c r="D147" s="183">
        <f t="shared" si="64"/>
        <v>8.2988935258158203E-2</v>
      </c>
      <c r="E147" s="184">
        <f t="shared" si="64"/>
        <v>49.550443767138461</v>
      </c>
      <c r="F147" s="183">
        <f t="shared" si="64"/>
        <v>0.70109169443135044</v>
      </c>
      <c r="G147" s="183">
        <f t="shared" si="64"/>
        <v>0</v>
      </c>
      <c r="H147" s="183">
        <f t="shared" si="64"/>
        <v>0</v>
      </c>
      <c r="I147" s="183">
        <f t="shared" si="64"/>
        <v>79.545557258650078</v>
      </c>
      <c r="J147" s="183">
        <f t="shared" si="64"/>
        <v>20.454442741349922</v>
      </c>
      <c r="K147" s="183">
        <f t="shared" si="65"/>
        <v>100</v>
      </c>
      <c r="L147" s="514">
        <f t="shared" si="66"/>
        <v>0.70781407182383282</v>
      </c>
      <c r="O147" s="196">
        <f t="shared" si="67"/>
        <v>0.29211032861822106</v>
      </c>
      <c r="P147" s="198">
        <f t="shared" si="68"/>
        <v>78.844465564218723</v>
      </c>
      <c r="X147" s="188"/>
    </row>
    <row r="148" spans="1:25" ht="15" x14ac:dyDescent="0.25">
      <c r="A148" s="188">
        <v>1996</v>
      </c>
      <c r="B148" s="198">
        <v>601</v>
      </c>
      <c r="C148" s="185">
        <f t="shared" si="64"/>
        <v>41.925920335792469</v>
      </c>
      <c r="D148" s="183">
        <f t="shared" si="64"/>
        <v>0.93358609245860724</v>
      </c>
      <c r="E148" s="184">
        <f t="shared" si="64"/>
        <v>25.62078730094245</v>
      </c>
      <c r="F148" s="183">
        <f t="shared" si="64"/>
        <v>1.6184993255142468</v>
      </c>
      <c r="G148" s="183">
        <f t="shared" si="64"/>
        <v>0</v>
      </c>
      <c r="H148" s="183">
        <f t="shared" si="64"/>
        <v>0</v>
      </c>
      <c r="I148" s="183">
        <f t="shared" si="64"/>
        <v>70.09879305470777</v>
      </c>
      <c r="J148" s="183">
        <f t="shared" si="64"/>
        <v>29.901206945292223</v>
      </c>
      <c r="K148" s="183">
        <f t="shared" si="65"/>
        <v>100</v>
      </c>
      <c r="L148" s="514">
        <f t="shared" si="66"/>
        <v>0.46145293678243504</v>
      </c>
      <c r="N148" s="410"/>
      <c r="O148" s="196">
        <f t="shared" si="67"/>
        <v>0.41925920335792471</v>
      </c>
      <c r="P148" s="198">
        <f t="shared" si="68"/>
        <v>68.480293729193519</v>
      </c>
      <c r="X148" s="188"/>
    </row>
    <row r="149" spans="1:25" ht="15" x14ac:dyDescent="0.25">
      <c r="A149" s="188">
        <v>1997</v>
      </c>
      <c r="B149" s="198">
        <v>312</v>
      </c>
      <c r="C149" s="185">
        <f t="shared" si="64"/>
        <v>13.851454339678471</v>
      </c>
      <c r="D149" s="183">
        <f t="shared" si="64"/>
        <v>1.3067278483570295</v>
      </c>
      <c r="E149" s="184">
        <f t="shared" si="64"/>
        <v>12.727269156243487</v>
      </c>
      <c r="F149" s="183">
        <f t="shared" si="64"/>
        <v>1.5698964369883848</v>
      </c>
      <c r="G149" s="183">
        <f t="shared" si="64"/>
        <v>0</v>
      </c>
      <c r="H149" s="183">
        <f t="shared" si="64"/>
        <v>0.10268339119731552</v>
      </c>
      <c r="I149" s="183">
        <f t="shared" si="64"/>
        <v>29.558031172464684</v>
      </c>
      <c r="J149" s="183">
        <f t="shared" si="64"/>
        <v>70.441968827535305</v>
      </c>
      <c r="K149" s="183">
        <f t="shared" si="65"/>
        <v>99.999999999999986</v>
      </c>
      <c r="L149" s="514">
        <f t="shared" si="66"/>
        <v>0.15302856518567351</v>
      </c>
      <c r="N149" s="410"/>
      <c r="O149" s="196">
        <f t="shared" si="67"/>
        <v>0.13851454339678471</v>
      </c>
      <c r="P149" s="198">
        <f t="shared" si="68"/>
        <v>27.885451344278987</v>
      </c>
      <c r="X149" s="188"/>
    </row>
    <row r="150" spans="1:25" ht="15" x14ac:dyDescent="0.25">
      <c r="A150" s="188">
        <v>1998</v>
      </c>
      <c r="B150" s="198">
        <v>613</v>
      </c>
      <c r="C150" s="185">
        <f t="shared" si="64"/>
        <v>42.071148423843844</v>
      </c>
      <c r="D150" s="183">
        <f t="shared" si="64"/>
        <v>1.5921395010950228</v>
      </c>
      <c r="E150" s="184">
        <f t="shared" si="64"/>
        <v>21.07880328044547</v>
      </c>
      <c r="F150" s="183">
        <f t="shared" si="64"/>
        <v>1.1835174046304227</v>
      </c>
      <c r="G150" s="183">
        <f t="shared" si="64"/>
        <v>0</v>
      </c>
      <c r="H150" s="183">
        <f t="shared" si="64"/>
        <v>0</v>
      </c>
      <c r="I150" s="183">
        <f t="shared" si="64"/>
        <v>65.925608610014763</v>
      </c>
      <c r="J150" s="183">
        <f t="shared" si="64"/>
        <v>34.074391389985223</v>
      </c>
      <c r="K150" s="183">
        <f t="shared" si="65"/>
        <v>99.999999999999986</v>
      </c>
      <c r="L150" s="514">
        <f t="shared" si="66"/>
        <v>0.38218644280539671</v>
      </c>
      <c r="M150" s="387">
        <v>15.9676620492419</v>
      </c>
      <c r="N150" s="387">
        <v>15.967662049241879</v>
      </c>
      <c r="O150" s="196">
        <f t="shared" si="67"/>
        <v>0.42071148423843846</v>
      </c>
      <c r="P150" s="198">
        <f t="shared" si="68"/>
        <v>64.742091205384341</v>
      </c>
      <c r="X150" s="188"/>
    </row>
    <row r="151" spans="1:25" ht="15" x14ac:dyDescent="0.25">
      <c r="A151" s="188">
        <v>1999</v>
      </c>
      <c r="B151" s="198">
        <v>948</v>
      </c>
      <c r="C151" s="185">
        <f t="shared" ref="C151:J160" si="69">C112/$K112*100</f>
        <v>36.23263424846683</v>
      </c>
      <c r="D151" s="183">
        <f t="shared" si="69"/>
        <v>0.56167565608033621</v>
      </c>
      <c r="E151" s="184">
        <f t="shared" si="69"/>
        <v>26.933266056045397</v>
      </c>
      <c r="F151" s="183">
        <f t="shared" si="69"/>
        <v>1.6251614240732566</v>
      </c>
      <c r="G151" s="183">
        <f t="shared" si="69"/>
        <v>0</v>
      </c>
      <c r="H151" s="183">
        <f t="shared" si="69"/>
        <v>0</v>
      </c>
      <c r="I151" s="183">
        <f t="shared" si="69"/>
        <v>65.352737384665815</v>
      </c>
      <c r="J151" s="183">
        <f t="shared" si="69"/>
        <v>34.647262615334192</v>
      </c>
      <c r="K151" s="183">
        <f t="shared" si="65"/>
        <v>100</v>
      </c>
      <c r="L151" s="514">
        <f t="shared" si="66"/>
        <v>0.4373665935830624</v>
      </c>
      <c r="M151" s="387">
        <v>19.545760754499085</v>
      </c>
      <c r="N151" s="387">
        <v>19.545760754499085</v>
      </c>
      <c r="O151" s="196">
        <f t="shared" si="67"/>
        <v>0.36232634248466833</v>
      </c>
      <c r="P151" s="198">
        <f t="shared" si="68"/>
        <v>63.727575960592567</v>
      </c>
      <c r="X151" s="188"/>
    </row>
    <row r="152" spans="1:25" ht="15" x14ac:dyDescent="0.25">
      <c r="A152" s="188">
        <v>2000</v>
      </c>
      <c r="B152" s="198">
        <v>692</v>
      </c>
      <c r="C152" s="185">
        <f t="shared" si="69"/>
        <v>20.016481395126611</v>
      </c>
      <c r="D152" s="183">
        <f t="shared" si="69"/>
        <v>0.71194446316280524</v>
      </c>
      <c r="E152" s="184">
        <f t="shared" si="69"/>
        <v>22.177519592305657</v>
      </c>
      <c r="F152" s="183">
        <f t="shared" si="69"/>
        <v>2.0682255563866683</v>
      </c>
      <c r="G152" s="183">
        <f t="shared" si="69"/>
        <v>0</v>
      </c>
      <c r="H152" s="183">
        <f t="shared" si="69"/>
        <v>2.3922504008608396E-2</v>
      </c>
      <c r="I152" s="183">
        <f t="shared" si="69"/>
        <v>44.998093510990358</v>
      </c>
      <c r="J152" s="183">
        <f t="shared" si="69"/>
        <v>55.001906489009642</v>
      </c>
      <c r="K152" s="183">
        <f t="shared" si="65"/>
        <v>100</v>
      </c>
      <c r="L152" s="514">
        <f t="shared" si="66"/>
        <v>0.28735014910501788</v>
      </c>
      <c r="M152" s="387">
        <v>18.154971998682289</v>
      </c>
      <c r="N152" s="387">
        <v>18.154971998682289</v>
      </c>
      <c r="O152" s="196">
        <f t="shared" si="67"/>
        <v>0.20016481395126612</v>
      </c>
      <c r="P152" s="198">
        <f t="shared" si="68"/>
        <v>42.90594545059507</v>
      </c>
      <c r="X152" s="188"/>
    </row>
    <row r="153" spans="1:25" ht="15" x14ac:dyDescent="0.25">
      <c r="A153" s="188">
        <v>2001</v>
      </c>
      <c r="B153" s="198">
        <v>747</v>
      </c>
      <c r="C153" s="185">
        <f t="shared" si="69"/>
        <v>23.948283666291143</v>
      </c>
      <c r="D153" s="183">
        <f t="shared" si="69"/>
        <v>0.48424553564982326</v>
      </c>
      <c r="E153" s="184">
        <f t="shared" si="69"/>
        <v>9.5717322960426685</v>
      </c>
      <c r="F153" s="183">
        <f t="shared" si="69"/>
        <v>0.94340492105600915</v>
      </c>
      <c r="G153" s="183">
        <f t="shared" si="69"/>
        <v>0</v>
      </c>
      <c r="H153" s="183">
        <f t="shared" si="69"/>
        <v>0</v>
      </c>
      <c r="I153" s="183">
        <f t="shared" si="69"/>
        <v>34.947666419039642</v>
      </c>
      <c r="J153" s="183">
        <f t="shared" si="69"/>
        <v>65.052333580960351</v>
      </c>
      <c r="K153" s="183">
        <f t="shared" si="65"/>
        <v>100</v>
      </c>
      <c r="L153" s="514">
        <f t="shared" si="66"/>
        <v>0.12826602495526043</v>
      </c>
      <c r="M153" s="387">
        <v>23.562620371131011</v>
      </c>
      <c r="N153" s="387">
        <v>23.562620371131011</v>
      </c>
      <c r="O153" s="196">
        <f t="shared" si="67"/>
        <v>0.23948283666291142</v>
      </c>
      <c r="P153" s="198">
        <f t="shared" si="68"/>
        <v>34.004261497983634</v>
      </c>
      <c r="X153" s="188">
        <v>1999</v>
      </c>
      <c r="Y153" s="178">
        <v>1.3452744339684013</v>
      </c>
    </row>
    <row r="154" spans="1:25" ht="15" x14ac:dyDescent="0.25">
      <c r="A154" s="188">
        <v>2002</v>
      </c>
      <c r="B154" s="198">
        <v>787</v>
      </c>
      <c r="C154" s="185">
        <f t="shared" si="69"/>
        <v>15.309264939390863</v>
      </c>
      <c r="D154" s="183">
        <f t="shared" si="69"/>
        <v>0.55211291220372016</v>
      </c>
      <c r="E154" s="184">
        <f t="shared" si="69"/>
        <v>21.374554862388827</v>
      </c>
      <c r="F154" s="183">
        <f t="shared" si="69"/>
        <v>1.9114234147342621</v>
      </c>
      <c r="G154" s="183">
        <f t="shared" si="69"/>
        <v>0</v>
      </c>
      <c r="H154" s="183">
        <f t="shared" si="69"/>
        <v>0</v>
      </c>
      <c r="I154" s="183">
        <f t="shared" si="69"/>
        <v>39.147356128717668</v>
      </c>
      <c r="J154" s="183">
        <f t="shared" si="69"/>
        <v>60.852643871282332</v>
      </c>
      <c r="K154" s="183">
        <f t="shared" si="65"/>
        <v>100</v>
      </c>
      <c r="L154" s="514">
        <f t="shared" si="66"/>
        <v>0.25994506916889748</v>
      </c>
      <c r="M154" s="387"/>
      <c r="N154" s="387">
        <v>42.421215985741284</v>
      </c>
      <c r="O154" s="196">
        <f t="shared" si="67"/>
        <v>0.15309264939390863</v>
      </c>
      <c r="P154" s="198">
        <f t="shared" si="68"/>
        <v>37.235932713983409</v>
      </c>
      <c r="X154" s="188">
        <v>2000</v>
      </c>
      <c r="Y154" s="178">
        <v>0.90255726353055266</v>
      </c>
    </row>
    <row r="155" spans="1:25" ht="15" x14ac:dyDescent="0.25">
      <c r="A155" s="188">
        <v>2003</v>
      </c>
      <c r="B155" s="198">
        <v>1328</v>
      </c>
      <c r="C155" s="185">
        <f t="shared" si="69"/>
        <v>21.625278830241506</v>
      </c>
      <c r="D155" s="183">
        <f t="shared" si="69"/>
        <v>0.7944515073792926</v>
      </c>
      <c r="E155" s="184">
        <f t="shared" si="69"/>
        <v>36.060954679987617</v>
      </c>
      <c r="F155" s="183">
        <f t="shared" si="69"/>
        <v>1.7443818714903054</v>
      </c>
      <c r="G155" s="183">
        <f t="shared" si="69"/>
        <v>0</v>
      </c>
      <c r="H155" s="183">
        <f t="shared" si="69"/>
        <v>0</v>
      </c>
      <c r="I155" s="183">
        <f t="shared" si="69"/>
        <v>60.22506688909872</v>
      </c>
      <c r="J155" s="183">
        <f t="shared" si="69"/>
        <v>39.774933110901287</v>
      </c>
      <c r="K155" s="183">
        <f t="shared" si="65"/>
        <v>100</v>
      </c>
      <c r="L155" s="514">
        <f t="shared" si="66"/>
        <v>0.47551305497237234</v>
      </c>
      <c r="M155" s="387">
        <v>26.700920245398773</v>
      </c>
      <c r="N155" s="387">
        <v>26.700920245398773</v>
      </c>
      <c r="O155" s="196">
        <f t="shared" si="67"/>
        <v>0.21625278830241507</v>
      </c>
      <c r="P155" s="198">
        <f t="shared" si="68"/>
        <v>58.480685017608415</v>
      </c>
      <c r="X155" s="188">
        <v>2001</v>
      </c>
      <c r="Y155" s="178">
        <v>2.501980093633867</v>
      </c>
    </row>
    <row r="156" spans="1:25" ht="15" x14ac:dyDescent="0.25">
      <c r="A156" s="188">
        <v>2004</v>
      </c>
      <c r="B156" s="198">
        <v>756</v>
      </c>
      <c r="C156" s="185">
        <f t="shared" si="69"/>
        <v>29.437747878529823</v>
      </c>
      <c r="D156" s="183">
        <f t="shared" si="69"/>
        <v>0.22734291762539685</v>
      </c>
      <c r="E156" s="184">
        <f t="shared" si="69"/>
        <v>20.053847054865841</v>
      </c>
      <c r="F156" s="183">
        <f t="shared" si="69"/>
        <v>1.3558082568888634</v>
      </c>
      <c r="G156" s="183">
        <f t="shared" si="69"/>
        <v>0</v>
      </c>
      <c r="H156" s="183">
        <f t="shared" si="69"/>
        <v>0</v>
      </c>
      <c r="I156" s="183">
        <f t="shared" si="69"/>
        <v>51.074746107909917</v>
      </c>
      <c r="J156" s="183">
        <f t="shared" si="69"/>
        <v>48.92525389209009</v>
      </c>
      <c r="K156" s="183">
        <f t="shared" si="65"/>
        <v>100</v>
      </c>
      <c r="L156" s="514">
        <f t="shared" si="66"/>
        <v>0.29072352030634613</v>
      </c>
      <c r="M156" s="387">
        <v>25.520360122243329</v>
      </c>
      <c r="N156" s="387">
        <v>25.520360122243329</v>
      </c>
      <c r="O156" s="196">
        <f t="shared" si="67"/>
        <v>0.29437747878529824</v>
      </c>
      <c r="P156" s="198">
        <f t="shared" si="68"/>
        <v>49.71893785102106</v>
      </c>
      <c r="X156" s="188">
        <v>2002</v>
      </c>
      <c r="Y156" s="178">
        <v>0.71623783690248488</v>
      </c>
    </row>
    <row r="157" spans="1:25" ht="15" x14ac:dyDescent="0.25">
      <c r="A157" s="188">
        <v>2005</v>
      </c>
      <c r="B157" s="198">
        <v>392</v>
      </c>
      <c r="C157" s="185">
        <f t="shared" si="69"/>
        <v>33.093579074911332</v>
      </c>
      <c r="D157" s="183">
        <f t="shared" si="69"/>
        <v>0.86482619479846079</v>
      </c>
      <c r="E157" s="184">
        <f t="shared" si="69"/>
        <v>18.164581183518003</v>
      </c>
      <c r="F157" s="183">
        <f t="shared" si="69"/>
        <v>1.6541569786115249</v>
      </c>
      <c r="G157" s="183">
        <f t="shared" si="69"/>
        <v>0</v>
      </c>
      <c r="H157" s="183">
        <f t="shared" si="69"/>
        <v>0</v>
      </c>
      <c r="I157" s="183">
        <f t="shared" si="69"/>
        <v>53.777143431839313</v>
      </c>
      <c r="J157" s="183">
        <f t="shared" si="69"/>
        <v>46.222856568160694</v>
      </c>
      <c r="K157" s="183">
        <f t="shared" si="65"/>
        <v>100</v>
      </c>
      <c r="L157" s="514">
        <f t="shared" si="66"/>
        <v>0.28211374482042373</v>
      </c>
      <c r="M157" s="387">
        <v>24.319310164619807</v>
      </c>
      <c r="N157" s="387">
        <v>24.319310164619807</v>
      </c>
      <c r="O157" s="196">
        <f t="shared" si="67"/>
        <v>0.33093579074911333</v>
      </c>
      <c r="P157" s="198">
        <f t="shared" si="68"/>
        <v>52.122986453227796</v>
      </c>
      <c r="X157" s="188">
        <v>2003</v>
      </c>
      <c r="Y157" s="178">
        <v>0.59968680868681123</v>
      </c>
    </row>
    <row r="158" spans="1:25" ht="15" x14ac:dyDescent="0.25">
      <c r="A158" s="188">
        <v>2006</v>
      </c>
      <c r="B158" s="198">
        <v>701</v>
      </c>
      <c r="C158" s="185">
        <f t="shared" si="69"/>
        <v>23.811142470206079</v>
      </c>
      <c r="D158" s="183">
        <f t="shared" si="69"/>
        <v>0</v>
      </c>
      <c r="E158" s="184">
        <f t="shared" si="69"/>
        <v>35.941160876337165</v>
      </c>
      <c r="F158" s="183">
        <f t="shared" si="69"/>
        <v>0.64137752133034709</v>
      </c>
      <c r="G158" s="183">
        <f t="shared" si="69"/>
        <v>0</v>
      </c>
      <c r="H158" s="183">
        <f t="shared" si="69"/>
        <v>0</v>
      </c>
      <c r="I158" s="183">
        <f t="shared" si="69"/>
        <v>60.393680867873591</v>
      </c>
      <c r="J158" s="183">
        <f t="shared" si="69"/>
        <v>39.606319132126416</v>
      </c>
      <c r="K158" s="183">
        <f t="shared" si="65"/>
        <v>100</v>
      </c>
      <c r="L158" s="514">
        <f t="shared" si="66"/>
        <v>0.47574268357211491</v>
      </c>
      <c r="M158" s="387">
        <v>19.418167022683349</v>
      </c>
      <c r="N158" s="387">
        <v>19.418167022683349</v>
      </c>
      <c r="O158" s="196">
        <f t="shared" si="67"/>
        <v>0.23811142470206079</v>
      </c>
      <c r="P158" s="198">
        <f t="shared" si="68"/>
        <v>59.752303346543243</v>
      </c>
      <c r="X158" s="188">
        <v>2004</v>
      </c>
      <c r="Y158" s="178">
        <v>1.4679351945783932</v>
      </c>
    </row>
    <row r="159" spans="1:25" ht="15" x14ac:dyDescent="0.25">
      <c r="A159" s="188">
        <v>2007</v>
      </c>
      <c r="B159" s="198">
        <v>293</v>
      </c>
      <c r="C159" s="185">
        <f t="shared" si="69"/>
        <v>30.391082561192199</v>
      </c>
      <c r="D159" s="183">
        <f t="shared" si="69"/>
        <v>0.41142147755312641</v>
      </c>
      <c r="E159" s="184">
        <f t="shared" si="69"/>
        <v>17.259663352392646</v>
      </c>
      <c r="F159" s="183">
        <f t="shared" si="69"/>
        <v>1.6665103312587022</v>
      </c>
      <c r="G159" s="183">
        <f t="shared" si="69"/>
        <v>0</v>
      </c>
      <c r="H159" s="183">
        <f t="shared" si="69"/>
        <v>0</v>
      </c>
      <c r="I159" s="183">
        <f t="shared" si="69"/>
        <v>49.728677722396675</v>
      </c>
      <c r="J159" s="183">
        <f t="shared" si="69"/>
        <v>50.271322277603325</v>
      </c>
      <c r="K159" s="183">
        <f t="shared" si="65"/>
        <v>100</v>
      </c>
      <c r="L159" s="514">
        <f t="shared" si="66"/>
        <v>0.25558139262114121</v>
      </c>
      <c r="M159" s="387">
        <v>15.277350952673633</v>
      </c>
      <c r="N159" s="387">
        <v>15.277350952673633</v>
      </c>
      <c r="O159" s="196">
        <f t="shared" si="67"/>
        <v>0.30391082561192201</v>
      </c>
      <c r="P159" s="198">
        <f t="shared" si="68"/>
        <v>48.062167391137976</v>
      </c>
      <c r="X159" s="188">
        <v>2005</v>
      </c>
      <c r="Y159" s="178">
        <v>1.8218740493141374</v>
      </c>
    </row>
    <row r="160" spans="1:25" ht="15" x14ac:dyDescent="0.25">
      <c r="A160" s="188">
        <v>2008</v>
      </c>
      <c r="B160" s="198">
        <v>423</v>
      </c>
      <c r="C160" s="185">
        <f t="shared" si="69"/>
        <v>24.202775938723001</v>
      </c>
      <c r="D160" s="183">
        <f t="shared" si="69"/>
        <v>0</v>
      </c>
      <c r="E160" s="184">
        <f t="shared" si="69"/>
        <v>21.651338604797367</v>
      </c>
      <c r="F160" s="183">
        <f t="shared" si="69"/>
        <v>0.93115670853298416</v>
      </c>
      <c r="G160" s="183">
        <f t="shared" si="69"/>
        <v>0</v>
      </c>
      <c r="H160" s="183">
        <f t="shared" si="69"/>
        <v>0</v>
      </c>
      <c r="I160" s="183">
        <f t="shared" si="69"/>
        <v>46.785271252053349</v>
      </c>
      <c r="J160" s="183">
        <f t="shared" si="69"/>
        <v>53.214728747946651</v>
      </c>
      <c r="K160" s="183">
        <f t="shared" si="65"/>
        <v>100</v>
      </c>
      <c r="L160" s="514">
        <f t="shared" si="66"/>
        <v>0.28920096073409945</v>
      </c>
      <c r="M160" s="387">
        <v>18.807583159477005</v>
      </c>
      <c r="N160" s="387">
        <v>18.807583159477005</v>
      </c>
      <c r="O160" s="196">
        <f t="shared" si="67"/>
        <v>0.24202775938723001</v>
      </c>
      <c r="P160" s="198">
        <f t="shared" si="68"/>
        <v>45.854114543520367</v>
      </c>
      <c r="X160" s="188">
        <v>2006</v>
      </c>
      <c r="Y160" s="178">
        <v>0.66250343310092663</v>
      </c>
    </row>
    <row r="161" spans="1:26" ht="15" x14ac:dyDescent="0.25">
      <c r="A161" s="188">
        <v>2009</v>
      </c>
      <c r="B161" s="198">
        <v>201</v>
      </c>
      <c r="C161" s="185">
        <f t="shared" ref="C161:J170" si="70">C122/$K122*100</f>
        <v>27.150700170950149</v>
      </c>
      <c r="D161" s="183">
        <f t="shared" si="70"/>
        <v>0.61397930927500799</v>
      </c>
      <c r="E161" s="184">
        <f t="shared" si="70"/>
        <v>19.706890269426268</v>
      </c>
      <c r="F161" s="183">
        <f t="shared" si="70"/>
        <v>1.7421921251098231</v>
      </c>
      <c r="G161" s="183">
        <f t="shared" si="70"/>
        <v>0</v>
      </c>
      <c r="H161" s="183">
        <f t="shared" si="70"/>
        <v>0</v>
      </c>
      <c r="I161" s="183">
        <f t="shared" si="70"/>
        <v>49.213761874761239</v>
      </c>
      <c r="J161" s="183">
        <f t="shared" si="70"/>
        <v>50.786238125238761</v>
      </c>
      <c r="K161" s="183">
        <f t="shared" si="65"/>
        <v>100</v>
      </c>
      <c r="L161" s="514">
        <f t="shared" si="66"/>
        <v>0.27955760679388003</v>
      </c>
      <c r="M161" s="387">
        <v>19.779983626688498</v>
      </c>
      <c r="N161" s="387">
        <v>19.779983626688498</v>
      </c>
      <c r="O161" s="196">
        <f t="shared" si="67"/>
        <v>0.27150700170950148</v>
      </c>
      <c r="P161" s="198">
        <f t="shared" si="68"/>
        <v>47.471569749651422</v>
      </c>
      <c r="X161" s="188">
        <v>2007</v>
      </c>
      <c r="Y161" s="410">
        <v>1.7608154887319509</v>
      </c>
    </row>
    <row r="162" spans="1:26" ht="15" x14ac:dyDescent="0.25">
      <c r="A162" s="186">
        <v>2010</v>
      </c>
      <c r="B162" s="196">
        <v>324</v>
      </c>
      <c r="C162" s="185">
        <f t="shared" si="70"/>
        <v>27.299564639638174</v>
      </c>
      <c r="D162" s="183">
        <f t="shared" si="70"/>
        <v>0.46728626847918464</v>
      </c>
      <c r="E162" s="184">
        <f t="shared" si="70"/>
        <v>30.713695615572238</v>
      </c>
      <c r="F162" s="183">
        <f t="shared" si="70"/>
        <v>2.0197069609970564</v>
      </c>
      <c r="G162" s="183">
        <f t="shared" si="70"/>
        <v>0</v>
      </c>
      <c r="H162" s="183">
        <f t="shared" si="70"/>
        <v>0</v>
      </c>
      <c r="I162" s="183">
        <f t="shared" si="70"/>
        <v>60.500253484686652</v>
      </c>
      <c r="J162" s="183">
        <f t="shared" si="70"/>
        <v>39.49974651531334</v>
      </c>
      <c r="K162" s="183">
        <f t="shared" si="65"/>
        <v>100</v>
      </c>
      <c r="L162" s="514">
        <f t="shared" si="66"/>
        <v>0.4374332703746176</v>
      </c>
      <c r="M162" s="387">
        <v>17.544587308170883</v>
      </c>
      <c r="N162" s="387">
        <v>17.544587308170883</v>
      </c>
      <c r="O162" s="196">
        <f t="shared" si="67"/>
        <v>0.27299564639638174</v>
      </c>
      <c r="P162" s="198">
        <f t="shared" si="68"/>
        <v>58.480546523689597</v>
      </c>
      <c r="X162" s="188">
        <v>2008</v>
      </c>
      <c r="Y162" s="410">
        <v>1.1178420133968208</v>
      </c>
    </row>
    <row r="163" spans="1:26" ht="15" x14ac:dyDescent="0.25">
      <c r="A163" s="186">
        <v>2011</v>
      </c>
      <c r="B163" s="196">
        <v>174</v>
      </c>
      <c r="C163" s="185">
        <f t="shared" si="70"/>
        <v>27.591910209105169</v>
      </c>
      <c r="D163" s="183">
        <f t="shared" si="70"/>
        <v>1.8645953012449743</v>
      </c>
      <c r="E163" s="184">
        <f t="shared" si="70"/>
        <v>14.087210143256094</v>
      </c>
      <c r="F163" s="183">
        <f t="shared" si="70"/>
        <v>0.78482405408166667</v>
      </c>
      <c r="G163" s="183">
        <f t="shared" si="70"/>
        <v>0</v>
      </c>
      <c r="H163" s="183">
        <f t="shared" si="70"/>
        <v>0</v>
      </c>
      <c r="I163" s="183">
        <f t="shared" si="70"/>
        <v>44.328539707687902</v>
      </c>
      <c r="J163" s="183">
        <f t="shared" si="70"/>
        <v>55.671460292312105</v>
      </c>
      <c r="K163" s="183">
        <f t="shared" si="65"/>
        <v>100</v>
      </c>
      <c r="L163" s="514">
        <f t="shared" si="66"/>
        <v>0.20194206763541434</v>
      </c>
      <c r="M163" s="387">
        <v>20.914618593514732</v>
      </c>
      <c r="N163" s="387">
        <v>20.914618593514732</v>
      </c>
      <c r="O163" s="196">
        <f t="shared" si="67"/>
        <v>0.27591910209105169</v>
      </c>
      <c r="P163" s="198">
        <f t="shared" si="68"/>
        <v>43.543715653606242</v>
      </c>
      <c r="X163" s="188">
        <v>2009</v>
      </c>
      <c r="Y163" s="178">
        <v>1.377726257149378</v>
      </c>
    </row>
    <row r="164" spans="1:26" ht="15" x14ac:dyDescent="0.25">
      <c r="A164" s="186">
        <v>2012</v>
      </c>
      <c r="B164" s="196">
        <v>159</v>
      </c>
      <c r="C164" s="185">
        <f t="shared" si="70"/>
        <v>21.01865544622515</v>
      </c>
      <c r="D164" s="183">
        <f t="shared" si="70"/>
        <v>0</v>
      </c>
      <c r="E164" s="184">
        <f t="shared" si="70"/>
        <v>9.4264242374051914</v>
      </c>
      <c r="F164" s="183">
        <f t="shared" si="70"/>
        <v>0.51665157462180289</v>
      </c>
      <c r="G164" s="183">
        <f t="shared" si="70"/>
        <v>0</v>
      </c>
      <c r="H164" s="183">
        <f t="shared" si="70"/>
        <v>0</v>
      </c>
      <c r="I164" s="183">
        <f t="shared" si="70"/>
        <v>30.961731258252144</v>
      </c>
      <c r="J164" s="183">
        <f t="shared" si="70"/>
        <v>69.038268741747871</v>
      </c>
      <c r="K164" s="183">
        <f t="shared" si="65"/>
        <v>100.00000000000001</v>
      </c>
      <c r="L164" s="514">
        <f t="shared" si="66"/>
        <v>0.12013587104597041</v>
      </c>
      <c r="M164" s="387">
        <v>6.89827095784461</v>
      </c>
      <c r="N164" s="387">
        <v>6.89827095784461</v>
      </c>
      <c r="O164" s="196">
        <f t="shared" si="67"/>
        <v>0.21018655446225151</v>
      </c>
      <c r="P164" s="198">
        <f t="shared" si="68"/>
        <v>30.44507968363034</v>
      </c>
      <c r="X164" s="186">
        <v>2010</v>
      </c>
      <c r="Y164" s="178">
        <v>0.88884011163400811</v>
      </c>
    </row>
    <row r="165" spans="1:26" ht="15" x14ac:dyDescent="0.25">
      <c r="A165" s="186">
        <v>2013</v>
      </c>
      <c r="B165" s="196">
        <v>374</v>
      </c>
      <c r="C165" s="185">
        <f t="shared" si="70"/>
        <v>33.302798656759755</v>
      </c>
      <c r="D165" s="183">
        <f t="shared" si="70"/>
        <v>1.6353884210068708</v>
      </c>
      <c r="E165" s="184">
        <f t="shared" si="70"/>
        <v>27.848909942230026</v>
      </c>
      <c r="F165" s="183">
        <f t="shared" si="70"/>
        <v>2.6951479345007265</v>
      </c>
      <c r="G165" s="183">
        <f t="shared" si="70"/>
        <v>0</v>
      </c>
      <c r="H165" s="183">
        <f t="shared" si="70"/>
        <v>0</v>
      </c>
      <c r="I165" s="183">
        <f t="shared" si="70"/>
        <v>65.482244954497375</v>
      </c>
      <c r="J165" s="183">
        <f t="shared" si="70"/>
        <v>34.517755045502618</v>
      </c>
      <c r="K165" s="183">
        <f t="shared" si="65"/>
        <v>100</v>
      </c>
      <c r="L165" s="514">
        <f t="shared" si="66"/>
        <v>0.44653517945376475</v>
      </c>
      <c r="M165" s="387">
        <v>14.701459284839032</v>
      </c>
      <c r="N165" s="387">
        <v>14.701459284839032</v>
      </c>
      <c r="O165" s="196">
        <f t="shared" si="67"/>
        <v>0.33302798656759758</v>
      </c>
      <c r="P165" s="198">
        <f t="shared" si="68"/>
        <v>62.787097019996651</v>
      </c>
      <c r="X165" s="186">
        <v>2011</v>
      </c>
      <c r="Y165" s="178">
        <v>1.9586497204568301</v>
      </c>
    </row>
    <row r="166" spans="1:26" ht="15" x14ac:dyDescent="0.25">
      <c r="A166" s="186">
        <v>2014</v>
      </c>
      <c r="B166" s="196">
        <v>287</v>
      </c>
      <c r="C166" s="185">
        <f t="shared" si="70"/>
        <v>14.156679631530601</v>
      </c>
      <c r="D166" s="183">
        <f t="shared" si="70"/>
        <v>0</v>
      </c>
      <c r="E166" s="184">
        <f t="shared" si="70"/>
        <v>20.542322434456139</v>
      </c>
      <c r="F166" s="183">
        <f t="shared" si="70"/>
        <v>2.0602181144267302</v>
      </c>
      <c r="G166" s="183">
        <f t="shared" si="70"/>
        <v>0</v>
      </c>
      <c r="H166" s="183">
        <f t="shared" si="70"/>
        <v>0</v>
      </c>
      <c r="I166" s="183">
        <f t="shared" si="70"/>
        <v>36.759220180413472</v>
      </c>
      <c r="J166" s="183">
        <f t="shared" si="70"/>
        <v>63.240779819586535</v>
      </c>
      <c r="K166" s="183">
        <f t="shared" si="65"/>
        <v>100</v>
      </c>
      <c r="L166" s="514">
        <f t="shared" si="66"/>
        <v>0.24518455251476365</v>
      </c>
      <c r="M166" s="387">
        <v>6.0540649080093374</v>
      </c>
      <c r="N166" s="387">
        <v>6.0540649080093374</v>
      </c>
      <c r="O166" s="196">
        <f t="shared" si="67"/>
        <v>0.141566796315306</v>
      </c>
      <c r="P166" s="198">
        <f t="shared" si="68"/>
        <v>34.69900206598674</v>
      </c>
      <c r="X166" s="186">
        <v>2012</v>
      </c>
      <c r="Y166" s="178">
        <v>2.2297591235943512</v>
      </c>
    </row>
    <row r="167" spans="1:26" ht="15" x14ac:dyDescent="0.25">
      <c r="A167" s="186">
        <v>2015</v>
      </c>
      <c r="B167" s="196">
        <v>306</v>
      </c>
      <c r="C167" s="185">
        <f t="shared" si="70"/>
        <v>19.63207181248961</v>
      </c>
      <c r="D167" s="183">
        <f t="shared" si="70"/>
        <v>0.6649304593561256</v>
      </c>
      <c r="E167" s="184">
        <f t="shared" si="70"/>
        <v>10.356291904471657</v>
      </c>
      <c r="F167" s="183">
        <f t="shared" si="70"/>
        <v>0.98077242755028538</v>
      </c>
      <c r="G167" s="183">
        <f t="shared" si="70"/>
        <v>0</v>
      </c>
      <c r="H167" s="183">
        <f t="shared" si="70"/>
        <v>0</v>
      </c>
      <c r="I167" s="183">
        <f t="shared" si="70"/>
        <v>31.634066603867677</v>
      </c>
      <c r="J167" s="183">
        <f t="shared" si="70"/>
        <v>68.36593339613232</v>
      </c>
      <c r="K167" s="183">
        <f t="shared" si="65"/>
        <v>100</v>
      </c>
      <c r="L167" s="514">
        <f t="shared" si="66"/>
        <v>0.13155486731892729</v>
      </c>
      <c r="M167" s="387"/>
      <c r="N167" s="387">
        <v>11.417622566172991</v>
      </c>
      <c r="O167" s="196">
        <f t="shared" si="67"/>
        <v>0.1963207181248961</v>
      </c>
      <c r="P167" s="198">
        <f t="shared" si="68"/>
        <v>30.653294176317392</v>
      </c>
      <c r="R167" s="410"/>
      <c r="S167" s="410"/>
      <c r="T167" s="410"/>
      <c r="U167" s="410"/>
      <c r="V167" s="410"/>
      <c r="W167" s="410"/>
      <c r="X167" s="186">
        <v>2013</v>
      </c>
      <c r="Y167" s="178">
        <v>1.1958384987363353</v>
      </c>
      <c r="Z167" s="410"/>
    </row>
    <row r="168" spans="1:26" ht="15" x14ac:dyDescent="0.25">
      <c r="A168" s="186">
        <v>2016</v>
      </c>
      <c r="B168" s="196">
        <v>173</v>
      </c>
      <c r="C168" s="185">
        <f t="shared" si="70"/>
        <v>7.9449282338973735</v>
      </c>
      <c r="D168" s="183">
        <f t="shared" si="70"/>
        <v>9.7448409228671484E-2</v>
      </c>
      <c r="E168" s="184">
        <f t="shared" si="70"/>
        <v>18.991194766576907</v>
      </c>
      <c r="F168" s="183">
        <f t="shared" si="70"/>
        <v>0.75036146549146054</v>
      </c>
      <c r="G168" s="183">
        <f t="shared" si="70"/>
        <v>0</v>
      </c>
      <c r="H168" s="183">
        <f t="shared" si="70"/>
        <v>0</v>
      </c>
      <c r="I168" s="183">
        <f t="shared" si="70"/>
        <v>27.783932875194413</v>
      </c>
      <c r="J168" s="183">
        <f t="shared" si="70"/>
        <v>72.216067124805591</v>
      </c>
      <c r="K168" s="183">
        <f>I168+J168</f>
        <v>100</v>
      </c>
      <c r="L168" s="514">
        <f t="shared" si="66"/>
        <v>0.20822020497877972</v>
      </c>
      <c r="M168" s="410"/>
      <c r="N168" s="410"/>
      <c r="O168" s="196">
        <f t="shared" si="67"/>
        <v>7.9449282338973734E-2</v>
      </c>
      <c r="P168" s="198">
        <f t="shared" si="68"/>
        <v>27.033571409702951</v>
      </c>
      <c r="R168" s="410"/>
      <c r="S168" s="410"/>
      <c r="T168" s="410"/>
      <c r="U168" s="410"/>
      <c r="V168" s="410"/>
      <c r="W168" s="410"/>
      <c r="X168" s="186">
        <v>2014</v>
      </c>
      <c r="Y168" s="178">
        <v>0.68914698796593987</v>
      </c>
      <c r="Z168" s="410"/>
    </row>
    <row r="169" spans="1:26" ht="15" x14ac:dyDescent="0.25">
      <c r="A169" s="186">
        <v>2017</v>
      </c>
      <c r="B169" s="196">
        <v>153</v>
      </c>
      <c r="C169" s="185">
        <f t="shared" si="70"/>
        <v>27.850712678169543</v>
      </c>
      <c r="D169" s="183">
        <f t="shared" si="70"/>
        <v>5.3950987746936736</v>
      </c>
      <c r="E169" s="184">
        <f t="shared" si="70"/>
        <v>10.665166291572893</v>
      </c>
      <c r="F169" s="183">
        <f t="shared" si="70"/>
        <v>1.4628657164291075</v>
      </c>
      <c r="G169" s="183">
        <f t="shared" si="70"/>
        <v>0</v>
      </c>
      <c r="H169" s="183">
        <f t="shared" si="70"/>
        <v>0</v>
      </c>
      <c r="I169" s="183">
        <f t="shared" si="70"/>
        <v>45.373843460865217</v>
      </c>
      <c r="J169" s="183">
        <f t="shared" si="70"/>
        <v>54.626156539134783</v>
      </c>
      <c r="K169" s="183">
        <f>I169+J169</f>
        <v>100</v>
      </c>
      <c r="L169" s="514">
        <f t="shared" si="66"/>
        <v>0.16334737648410572</v>
      </c>
      <c r="M169" s="410"/>
      <c r="N169" s="410"/>
      <c r="O169" s="196">
        <f t="shared" si="67"/>
        <v>0.27850712678169542</v>
      </c>
      <c r="P169" s="198">
        <f t="shared" si="68"/>
        <v>43.91097774443611</v>
      </c>
      <c r="X169" s="186">
        <v>2015</v>
      </c>
      <c r="Y169" s="178">
        <v>1.8956661316211878</v>
      </c>
    </row>
    <row r="170" spans="1:26" ht="15" x14ac:dyDescent="0.25">
      <c r="A170" s="186">
        <v>2018</v>
      </c>
      <c r="B170" s="196">
        <v>267</v>
      </c>
      <c r="C170" s="185">
        <f t="shared" si="70"/>
        <v>12.586845761926819</v>
      </c>
      <c r="D170" s="183">
        <f t="shared" si="70"/>
        <v>0</v>
      </c>
      <c r="E170" s="184">
        <f t="shared" si="70"/>
        <v>34.958314034275126</v>
      </c>
      <c r="F170" s="183">
        <f t="shared" si="70"/>
        <v>1.4358499305233905</v>
      </c>
      <c r="G170" s="183">
        <f t="shared" si="70"/>
        <v>0</v>
      </c>
      <c r="H170" s="183">
        <f t="shared" si="70"/>
        <v>0</v>
      </c>
      <c r="I170" s="183">
        <f t="shared" si="70"/>
        <v>48.981009726725333</v>
      </c>
      <c r="J170" s="183">
        <f t="shared" si="70"/>
        <v>51.018990273274667</v>
      </c>
      <c r="K170" s="183">
        <f>I170+J170</f>
        <v>100</v>
      </c>
      <c r="L170" s="514">
        <f t="shared" si="66"/>
        <v>0.40659932659932663</v>
      </c>
      <c r="O170" s="196">
        <f t="shared" si="67"/>
        <v>0.12586845761926818</v>
      </c>
      <c r="P170" s="198">
        <f t="shared" si="68"/>
        <v>47.545159796201943</v>
      </c>
      <c r="X170" s="186">
        <v>2016</v>
      </c>
      <c r="Y170" s="178">
        <v>0.4183479939808662</v>
      </c>
    </row>
    <row r="171" spans="1:26" ht="15" x14ac:dyDescent="0.25">
      <c r="A171" s="182" t="s">
        <v>32</v>
      </c>
      <c r="B171" s="181"/>
      <c r="C171" s="433">
        <f>AVERAGE(C141:C170)</f>
        <v>27.106212520578822</v>
      </c>
      <c r="D171" s="179">
        <f>AVERAGE(D141:D170)</f>
        <v>0.78800786233787101</v>
      </c>
      <c r="E171" s="180">
        <f>AVERAGE(E141:E170)</f>
        <v>23.325009857867769</v>
      </c>
      <c r="F171" s="179">
        <f t="shared" ref="F171:K171" si="71">AVERAGE(F141:F170)</f>
        <v>1.2353657598573042</v>
      </c>
      <c r="G171" s="179">
        <f t="shared" si="71"/>
        <v>4.1184516334915732E-4</v>
      </c>
      <c r="H171" s="179">
        <f t="shared" si="71"/>
        <v>4.2201965068641304E-3</v>
      </c>
      <c r="I171" s="179">
        <f t="shared" si="71"/>
        <v>52.459228042311977</v>
      </c>
      <c r="J171" s="179">
        <f t="shared" si="71"/>
        <v>47.54077195768803</v>
      </c>
      <c r="K171" s="179">
        <f t="shared" si="71"/>
        <v>100</v>
      </c>
      <c r="L171" s="514">
        <f>AVERAGE(L160:L169)</f>
        <v>0.25231119573343225</v>
      </c>
      <c r="X171" s="186">
        <v>2017</v>
      </c>
      <c r="Y171" s="178">
        <v>2.6113716295427905</v>
      </c>
    </row>
    <row r="172" spans="1:26" x14ac:dyDescent="0.2">
      <c r="C172" s="351"/>
      <c r="D172" s="351"/>
      <c r="E172" s="351"/>
      <c r="F172" s="351"/>
      <c r="G172" s="351"/>
      <c r="L172" s="410">
        <f>AVERAGE(C160:C169)</f>
        <v>23.015079741748856</v>
      </c>
      <c r="M172" s="410">
        <f>AVERAGE(I160:I169)</f>
        <v>43.882286565227943</v>
      </c>
      <c r="N172" s="410"/>
      <c r="X172" s="178">
        <v>2018</v>
      </c>
      <c r="Y172" s="178">
        <v>0.38970235712581752</v>
      </c>
    </row>
    <row r="173" spans="1:26" ht="15" x14ac:dyDescent="0.25">
      <c r="A173" s="117" t="s">
        <v>418</v>
      </c>
      <c r="B173" s="117"/>
      <c r="C173" s="121">
        <f>AVERAGE(C160:C169)</f>
        <v>23.015079741748856</v>
      </c>
      <c r="D173" s="121">
        <f>AVERAGE(D160:D169)</f>
        <v>1.0738726943284509</v>
      </c>
      <c r="E173" s="121">
        <f>AVERAGE(E160:E169)</f>
        <v>18.398944420976473</v>
      </c>
      <c r="F173" s="117"/>
      <c r="G173" s="117"/>
      <c r="H173" s="117"/>
      <c r="I173" s="117"/>
      <c r="J173" s="117"/>
      <c r="K173" s="121">
        <f>AVERAGE(K160:K169)</f>
        <v>100</v>
      </c>
    </row>
    <row r="174" spans="1:26" ht="15" x14ac:dyDescent="0.25">
      <c r="A174" s="117" t="s">
        <v>419</v>
      </c>
      <c r="B174" s="117"/>
      <c r="C174" s="121">
        <f t="shared" ref="C174:E175" si="72">(C160+C162+C164+C166+C168)/5</f>
        <v>18.924520778002858</v>
      </c>
      <c r="D174" s="121">
        <f t="shared" si="72"/>
        <v>0.11294693554157123</v>
      </c>
      <c r="E174" s="121">
        <f t="shared" si="72"/>
        <v>20.264995131761573</v>
      </c>
      <c r="F174" s="117"/>
      <c r="G174" s="117"/>
      <c r="H174" s="117"/>
      <c r="I174" s="117"/>
      <c r="J174" s="117"/>
      <c r="K174" s="121">
        <f>(K160+K162+K164+K166+K168)/5</f>
        <v>100</v>
      </c>
    </row>
    <row r="175" spans="1:26" ht="15" x14ac:dyDescent="0.25">
      <c r="A175" s="117" t="s">
        <v>420</v>
      </c>
      <c r="B175" s="117"/>
      <c r="C175" s="121">
        <f t="shared" si="72"/>
        <v>27.105638705494847</v>
      </c>
      <c r="D175" s="121">
        <f t="shared" si="72"/>
        <v>2.0347984531153305</v>
      </c>
      <c r="E175" s="121">
        <f t="shared" si="72"/>
        <v>16.532893710191388</v>
      </c>
      <c r="F175" s="117"/>
      <c r="G175" s="117"/>
      <c r="H175" s="117"/>
      <c r="I175" s="117"/>
      <c r="J175" s="117"/>
      <c r="K175" s="121">
        <f>(K161+K163+K165+K167+K169)/5</f>
        <v>100</v>
      </c>
    </row>
    <row r="178" spans="3:3" x14ac:dyDescent="0.2">
      <c r="C178" s="410"/>
    </row>
    <row r="198" spans="1:23" ht="15" x14ac:dyDescent="0.2">
      <c r="R198" s="531" t="s">
        <v>431</v>
      </c>
      <c r="S198" s="470" t="s">
        <v>205</v>
      </c>
      <c r="T198" s="470" t="s">
        <v>203</v>
      </c>
      <c r="U198" s="470" t="s">
        <v>152</v>
      </c>
      <c r="V198" s="470" t="s">
        <v>432</v>
      </c>
      <c r="W198" s="470" t="s">
        <v>436</v>
      </c>
    </row>
    <row r="199" spans="1:23" ht="15" x14ac:dyDescent="0.25">
      <c r="R199" s="188">
        <v>1989</v>
      </c>
      <c r="S199" s="410">
        <f t="shared" ref="S199:S227" si="73">E141</f>
        <v>7.7178324798459998</v>
      </c>
      <c r="T199" s="410">
        <f>AukeCr!E62</f>
        <v>3.8461538461538463</v>
      </c>
      <c r="U199" s="410">
        <f>HughSmith!E58</f>
        <v>10.260696399332634</v>
      </c>
      <c r="V199" s="410">
        <f t="shared" ref="V199:V227" si="74">AVERAGE(S199:U199)</f>
        <v>7.2748942417774929</v>
      </c>
    </row>
    <row r="200" spans="1:23" ht="15" x14ac:dyDescent="0.25">
      <c r="R200" s="188">
        <v>1990</v>
      </c>
      <c r="S200" s="410">
        <f t="shared" si="73"/>
        <v>20.06952673868312</v>
      </c>
      <c r="T200" s="410">
        <f>AukeCr!E63</f>
        <v>12.892281594571669</v>
      </c>
      <c r="U200" s="410">
        <f>HughSmith!E59</f>
        <v>13.294783369778662</v>
      </c>
      <c r="V200" s="410">
        <f t="shared" si="74"/>
        <v>15.41886390101115</v>
      </c>
    </row>
    <row r="201" spans="1:23" ht="15" x14ac:dyDescent="0.25">
      <c r="B201" s="470" t="s">
        <v>4</v>
      </c>
      <c r="C201" s="470" t="s">
        <v>421</v>
      </c>
      <c r="D201" s="470" t="s">
        <v>29</v>
      </c>
      <c r="E201" s="470" t="s">
        <v>425</v>
      </c>
      <c r="G201" s="470" t="s">
        <v>4</v>
      </c>
      <c r="H201" s="470" t="s">
        <v>421</v>
      </c>
      <c r="I201" s="470" t="s">
        <v>29</v>
      </c>
      <c r="J201" s="470" t="s">
        <v>425</v>
      </c>
      <c r="R201" s="188">
        <v>1991</v>
      </c>
      <c r="S201" s="410">
        <f t="shared" si="73"/>
        <v>44.057472455601477</v>
      </c>
      <c r="T201" s="410">
        <f>AukeCr!E64</f>
        <v>10.453333333333333</v>
      </c>
      <c r="U201" s="410">
        <f>HughSmith!E60</f>
        <v>16.324004535488083</v>
      </c>
      <c r="V201" s="410">
        <f t="shared" si="74"/>
        <v>23.611603441474298</v>
      </c>
    </row>
    <row r="202" spans="1:23" ht="15" x14ac:dyDescent="0.25">
      <c r="A202" s="188">
        <v>2000</v>
      </c>
      <c r="B202" s="185">
        <v>20.016481395126611</v>
      </c>
      <c r="C202" s="184">
        <v>22.177519592305657</v>
      </c>
      <c r="D202" s="183">
        <v>44.998093510990358</v>
      </c>
      <c r="E202" s="178">
        <f>C202/B202</f>
        <v>1.1079629408645812</v>
      </c>
      <c r="F202" s="188">
        <v>1999</v>
      </c>
      <c r="G202" s="185">
        <v>36.23263424846683</v>
      </c>
      <c r="H202" s="184">
        <v>26.933266056045397</v>
      </c>
      <c r="I202" s="183">
        <v>65.352737384665815</v>
      </c>
      <c r="J202" s="178">
        <f>H202/G202</f>
        <v>0.74334275204362399</v>
      </c>
      <c r="R202" s="188">
        <v>1992</v>
      </c>
      <c r="S202" s="410">
        <f t="shared" si="73"/>
        <v>29.54363101923731</v>
      </c>
      <c r="T202" s="410">
        <f>AukeCr!E65</f>
        <v>5.78980490874764</v>
      </c>
      <c r="U202" s="410">
        <f>HughSmith!E61</f>
        <v>12.259065937152</v>
      </c>
      <c r="V202" s="410">
        <f t="shared" si="74"/>
        <v>15.864167288378985</v>
      </c>
    </row>
    <row r="203" spans="1:23" ht="15" x14ac:dyDescent="0.25">
      <c r="A203" s="188">
        <v>2002</v>
      </c>
      <c r="B203" s="185">
        <v>15.309264939390863</v>
      </c>
      <c r="C203" s="184">
        <v>21.374554862388827</v>
      </c>
      <c r="D203" s="183">
        <v>39.147356128717668</v>
      </c>
      <c r="E203" s="178">
        <f t="shared" ref="E203:E211" si="75">C203/B203</f>
        <v>1.396184267958674</v>
      </c>
      <c r="F203" s="188">
        <v>2001</v>
      </c>
      <c r="G203" s="185">
        <v>23.948283666291143</v>
      </c>
      <c r="H203" s="184">
        <v>9.5717322960426685</v>
      </c>
      <c r="I203" s="183">
        <v>34.947666419039642</v>
      </c>
      <c r="J203" s="178">
        <f t="shared" ref="J203:J211" si="76">H203/G203</f>
        <v>0.3996834357493243</v>
      </c>
      <c r="R203" s="188">
        <v>1993</v>
      </c>
      <c r="S203" s="410">
        <f t="shared" si="73"/>
        <v>26.751908586538885</v>
      </c>
      <c r="T203" s="410">
        <f>AukeCr!E66</f>
        <v>7.1358428805237324</v>
      </c>
      <c r="U203" s="410">
        <f>HughSmith!E62</f>
        <v>15.698508251666857</v>
      </c>
      <c r="V203" s="410">
        <f t="shared" si="74"/>
        <v>16.528753239576492</v>
      </c>
    </row>
    <row r="204" spans="1:23" ht="15" x14ac:dyDescent="0.25">
      <c r="A204" s="188">
        <v>2004</v>
      </c>
      <c r="B204" s="185">
        <v>29.437747878529823</v>
      </c>
      <c r="C204" s="184">
        <v>20.053847054865841</v>
      </c>
      <c r="D204" s="183">
        <v>51.074746107909917</v>
      </c>
      <c r="E204" s="178">
        <f t="shared" si="75"/>
        <v>0.68122898319582215</v>
      </c>
      <c r="F204" s="188">
        <v>2003</v>
      </c>
      <c r="G204" s="185">
        <v>21.625278830241506</v>
      </c>
      <c r="H204" s="184">
        <v>36.060954679987617</v>
      </c>
      <c r="I204" s="183">
        <v>60.22506688909872</v>
      </c>
      <c r="J204" s="178">
        <f t="shared" si="76"/>
        <v>1.6675370968886092</v>
      </c>
      <c r="R204" s="188">
        <v>1994</v>
      </c>
      <c r="S204" s="410">
        <f t="shared" si="73"/>
        <v>36.147582753432658</v>
      </c>
      <c r="T204" s="410">
        <f>AukeCr!E67</f>
        <v>7.9268292682926829</v>
      </c>
      <c r="U204" s="410">
        <f>HughSmith!E63</f>
        <v>15.324190263385795</v>
      </c>
      <c r="V204" s="410">
        <f t="shared" si="74"/>
        <v>19.799534095037046</v>
      </c>
    </row>
    <row r="205" spans="1:23" ht="15" x14ac:dyDescent="0.25">
      <c r="A205" s="188">
        <v>2006</v>
      </c>
      <c r="B205" s="185">
        <v>23.811142470206079</v>
      </c>
      <c r="C205" s="184">
        <v>35.941160876337165</v>
      </c>
      <c r="D205" s="183">
        <v>60.393680867873591</v>
      </c>
      <c r="E205" s="178">
        <f t="shared" si="75"/>
        <v>1.5094261403588209</v>
      </c>
      <c r="F205" s="188">
        <v>2005</v>
      </c>
      <c r="G205" s="185">
        <v>33.093579074911332</v>
      </c>
      <c r="H205" s="184">
        <v>18.164581183518003</v>
      </c>
      <c r="I205" s="183">
        <v>53.777143431839313</v>
      </c>
      <c r="J205" s="178">
        <f t="shared" si="76"/>
        <v>0.54888536360483309</v>
      </c>
      <c r="R205" s="188">
        <v>1995</v>
      </c>
      <c r="S205" s="410">
        <f t="shared" si="73"/>
        <v>49.550443767138461</v>
      </c>
      <c r="T205" s="410">
        <f>AukeCr!E68</f>
        <v>11.656441717791409</v>
      </c>
      <c r="U205" s="410">
        <f>HughSmith!E64</f>
        <v>23.672463010173654</v>
      </c>
      <c r="V205" s="410">
        <f t="shared" si="74"/>
        <v>28.293116165034508</v>
      </c>
    </row>
    <row r="206" spans="1:23" ht="15" x14ac:dyDescent="0.25">
      <c r="A206" s="188">
        <v>2008</v>
      </c>
      <c r="B206" s="185">
        <v>24.202775938723001</v>
      </c>
      <c r="C206" s="184">
        <v>21.651338604797367</v>
      </c>
      <c r="D206" s="183">
        <v>46.785271252053349</v>
      </c>
      <c r="E206" s="178">
        <f t="shared" si="75"/>
        <v>0.89458079765786347</v>
      </c>
      <c r="F206" s="188">
        <v>2007</v>
      </c>
      <c r="G206" s="185">
        <v>30.391082561192199</v>
      </c>
      <c r="H206" s="184">
        <v>17.259663352392646</v>
      </c>
      <c r="I206" s="183">
        <v>49.728677722396675</v>
      </c>
      <c r="J206" s="178">
        <f t="shared" si="76"/>
        <v>0.56791867540882934</v>
      </c>
      <c r="R206" s="188">
        <v>1996</v>
      </c>
      <c r="S206" s="410">
        <f t="shared" si="73"/>
        <v>25.62078730094245</v>
      </c>
      <c r="T206" s="410">
        <f>AukeCr!E69</f>
        <v>0</v>
      </c>
      <c r="U206" s="410">
        <f>HughSmith!E65</f>
        <v>12.325113079957234</v>
      </c>
      <c r="V206" s="410">
        <f t="shared" si="74"/>
        <v>12.648633460299896</v>
      </c>
    </row>
    <row r="207" spans="1:23" ht="15" x14ac:dyDescent="0.25">
      <c r="A207" s="186">
        <v>2010</v>
      </c>
      <c r="B207" s="185">
        <v>27.299564639638174</v>
      </c>
      <c r="C207" s="184">
        <v>30.713695615572238</v>
      </c>
      <c r="D207" s="183">
        <v>60.500253484686652</v>
      </c>
      <c r="E207" s="178">
        <f t="shared" si="75"/>
        <v>1.1250617371009957</v>
      </c>
      <c r="F207" s="188">
        <v>2009</v>
      </c>
      <c r="G207" s="185">
        <v>27.150700170950149</v>
      </c>
      <c r="H207" s="184">
        <v>19.706890269426268</v>
      </c>
      <c r="I207" s="183">
        <v>49.213761874761239</v>
      </c>
      <c r="J207" s="178">
        <f t="shared" si="76"/>
        <v>0.72583359343755072</v>
      </c>
      <c r="R207" s="188">
        <v>1997</v>
      </c>
      <c r="S207" s="410">
        <f t="shared" si="73"/>
        <v>12.727269156243487</v>
      </c>
      <c r="T207" s="410">
        <f>AukeCr!E70</f>
        <v>3.043170559094126</v>
      </c>
      <c r="U207" s="410">
        <f>HughSmith!E66</f>
        <v>14.743034041224984</v>
      </c>
      <c r="V207" s="410">
        <f t="shared" si="74"/>
        <v>10.171157918854199</v>
      </c>
    </row>
    <row r="208" spans="1:23" ht="15" x14ac:dyDescent="0.25">
      <c r="A208" s="186">
        <v>2012</v>
      </c>
      <c r="B208" s="185">
        <v>21.01865544622515</v>
      </c>
      <c r="C208" s="184">
        <v>9.4264242374051914</v>
      </c>
      <c r="D208" s="183">
        <v>30.961731258252144</v>
      </c>
      <c r="E208" s="178">
        <f t="shared" si="75"/>
        <v>0.44847893632026459</v>
      </c>
      <c r="F208" s="186">
        <v>2011</v>
      </c>
      <c r="G208" s="185">
        <v>27.591910209105169</v>
      </c>
      <c r="H208" s="184">
        <v>14.087210143256094</v>
      </c>
      <c r="I208" s="183">
        <v>44.328539707687902</v>
      </c>
      <c r="J208" s="178">
        <f t="shared" si="76"/>
        <v>0.51055581279064166</v>
      </c>
      <c r="R208" s="188">
        <v>1998</v>
      </c>
      <c r="S208" s="410">
        <f t="shared" si="73"/>
        <v>21.07880328044547</v>
      </c>
      <c r="T208" s="410">
        <f>AukeCr!E71</f>
        <v>4.0418118466898951</v>
      </c>
      <c r="U208" s="410">
        <f>HughSmith!E67</f>
        <v>22.425299555903095</v>
      </c>
      <c r="V208" s="410">
        <f t="shared" si="74"/>
        <v>15.848638227679487</v>
      </c>
    </row>
    <row r="209" spans="1:23" ht="15" x14ac:dyDescent="0.25">
      <c r="A209" s="186">
        <v>2014</v>
      </c>
      <c r="B209" s="185">
        <v>14.156679631530601</v>
      </c>
      <c r="C209" s="184">
        <v>20.542322434456139</v>
      </c>
      <c r="D209" s="183">
        <v>36.759220180413472</v>
      </c>
      <c r="E209" s="178">
        <f t="shared" si="75"/>
        <v>1.4510692456939587</v>
      </c>
      <c r="F209" s="186">
        <v>2013</v>
      </c>
      <c r="G209" s="185">
        <v>33.302798656759755</v>
      </c>
      <c r="H209" s="184">
        <v>27.848909942230026</v>
      </c>
      <c r="I209" s="183">
        <v>65.482244954497375</v>
      </c>
      <c r="J209" s="178">
        <f t="shared" si="76"/>
        <v>0.83623332168743403</v>
      </c>
      <c r="R209" s="188">
        <v>1999</v>
      </c>
      <c r="S209" s="410">
        <f t="shared" si="73"/>
        <v>26.933266056045397</v>
      </c>
      <c r="T209" s="410">
        <f>AukeCr!E72</f>
        <v>2.3735810113519094</v>
      </c>
      <c r="U209" s="410">
        <f>HughSmith!E68</f>
        <v>17.194773951507347</v>
      </c>
      <c r="V209" s="410">
        <f t="shared" si="74"/>
        <v>15.500540339634886</v>
      </c>
    </row>
    <row r="210" spans="1:23" ht="15" x14ac:dyDescent="0.25">
      <c r="A210" s="186">
        <v>2016</v>
      </c>
      <c r="B210" s="185">
        <v>7.9449282338973735</v>
      </c>
      <c r="C210" s="184">
        <v>18.991194766576907</v>
      </c>
      <c r="D210" s="183">
        <v>27.783932875194413</v>
      </c>
      <c r="E210" s="178">
        <f t="shared" si="75"/>
        <v>2.3903544761487168</v>
      </c>
      <c r="F210" s="186">
        <v>2015</v>
      </c>
      <c r="G210" s="185">
        <v>19.63207181248961</v>
      </c>
      <c r="H210" s="184">
        <v>10.356291904471657</v>
      </c>
      <c r="I210" s="183">
        <v>31.634066603867677</v>
      </c>
      <c r="J210" s="178">
        <f t="shared" si="76"/>
        <v>0.5275190516511431</v>
      </c>
      <c r="R210" s="188">
        <v>2000</v>
      </c>
      <c r="S210" s="410">
        <f t="shared" si="73"/>
        <v>22.177519592305657</v>
      </c>
      <c r="T210" s="410">
        <f>AukeCr!E73</f>
        <v>2.9160739687055477</v>
      </c>
      <c r="U210" s="410">
        <f>HughSmith!E69</f>
        <v>8.5961747263634525</v>
      </c>
      <c r="V210" s="410">
        <f t="shared" si="74"/>
        <v>11.229922762458218</v>
      </c>
    </row>
    <row r="211" spans="1:23" ht="15" x14ac:dyDescent="0.25">
      <c r="A211" s="186">
        <v>2018</v>
      </c>
      <c r="B211" s="185">
        <v>12.597056437594158</v>
      </c>
      <c r="C211" s="184">
        <v>34.905551048788972</v>
      </c>
      <c r="D211" s="183">
        <v>48.939622204195153</v>
      </c>
      <c r="E211" s="178">
        <f t="shared" si="75"/>
        <v>2.7709291628334873</v>
      </c>
      <c r="F211" s="186">
        <v>2017</v>
      </c>
      <c r="G211" s="185">
        <v>27.850712678169543</v>
      </c>
      <c r="H211" s="184">
        <v>10.665166291572893</v>
      </c>
      <c r="I211" s="183">
        <v>45.373843460865217</v>
      </c>
      <c r="J211" s="178">
        <f t="shared" si="76"/>
        <v>0.38294051627384956</v>
      </c>
      <c r="R211" s="188">
        <v>2001</v>
      </c>
      <c r="S211" s="410">
        <f t="shared" si="73"/>
        <v>9.5717322960426685</v>
      </c>
      <c r="T211" s="410">
        <f>AukeCr!E74</f>
        <v>4.8125</v>
      </c>
      <c r="U211" s="410">
        <f>HughSmith!E70</f>
        <v>10.386812300979845</v>
      </c>
      <c r="V211" s="410">
        <f t="shared" si="74"/>
        <v>8.2570148656741704</v>
      </c>
    </row>
    <row r="212" spans="1:23" ht="15" x14ac:dyDescent="0.25">
      <c r="A212" s="470" t="s">
        <v>423</v>
      </c>
      <c r="B212" s="185">
        <f>AVERAGE(B202:B211)</f>
        <v>19.57942970108618</v>
      </c>
      <c r="C212" s="185">
        <f t="shared" ref="C212:D212" si="77">AVERAGE(C202:C211)</f>
        <v>23.577760909349429</v>
      </c>
      <c r="D212" s="185">
        <f t="shared" si="77"/>
        <v>44.734390787028666</v>
      </c>
      <c r="E212" s="185">
        <f>AVERAGE(E202:E211)</f>
        <v>1.3775276688133187</v>
      </c>
      <c r="G212" s="185">
        <f t="shared" ref="G212:J212" si="78">AVERAGE(G202:G211)</f>
        <v>28.081905190857732</v>
      </c>
      <c r="H212" s="185">
        <f t="shared" si="78"/>
        <v>19.065466611894326</v>
      </c>
      <c r="I212" s="185">
        <f t="shared" si="78"/>
        <v>50.006374844871956</v>
      </c>
      <c r="J212" s="185">
        <f t="shared" si="78"/>
        <v>0.69104496195358389</v>
      </c>
      <c r="R212" s="188">
        <v>2002</v>
      </c>
      <c r="S212" s="410">
        <f t="shared" si="73"/>
        <v>21.374554862388827</v>
      </c>
      <c r="T212" s="410">
        <f>AukeCr!E75</f>
        <v>6.5265486725663724</v>
      </c>
      <c r="U212" s="410">
        <f>HughSmith!E71</f>
        <v>10.262876689220986</v>
      </c>
      <c r="V212" s="410">
        <f t="shared" si="74"/>
        <v>12.721326741392062</v>
      </c>
    </row>
    <row r="213" spans="1:23" ht="15" x14ac:dyDescent="0.25">
      <c r="R213" s="188">
        <v>2003</v>
      </c>
      <c r="S213" s="410">
        <f t="shared" si="73"/>
        <v>36.060954679987617</v>
      </c>
      <c r="T213" s="410">
        <f>AukeCr!E76</f>
        <v>9.4919786096256686</v>
      </c>
      <c r="U213" s="410">
        <f>HughSmith!E72</f>
        <v>18.766224487044024</v>
      </c>
      <c r="V213" s="410">
        <f t="shared" si="74"/>
        <v>21.43971925888577</v>
      </c>
    </row>
    <row r="214" spans="1:23" ht="15" x14ac:dyDescent="0.25">
      <c r="A214" t="s">
        <v>399</v>
      </c>
      <c r="B214"/>
      <c r="C214"/>
      <c r="F214" t="s">
        <v>399</v>
      </c>
      <c r="G214"/>
      <c r="H214"/>
      <c r="R214" s="188">
        <v>2004</v>
      </c>
      <c r="S214" s="410">
        <f t="shared" si="73"/>
        <v>20.053847054865841</v>
      </c>
      <c r="T214" s="410">
        <f>AukeCr!E77</f>
        <v>0.82530949105914708</v>
      </c>
      <c r="U214" s="410">
        <f>HughSmith!E73</f>
        <v>9.7340695492477689</v>
      </c>
      <c r="V214" s="410">
        <f t="shared" si="74"/>
        <v>10.204408698390919</v>
      </c>
      <c r="W214" s="537">
        <v>646.64301921190258</v>
      </c>
    </row>
    <row r="215" spans="1:23" ht="15.75" thickBot="1" x14ac:dyDescent="0.3">
      <c r="A215" t="s">
        <v>284</v>
      </c>
      <c r="B215"/>
      <c r="C215"/>
      <c r="F215" t="s">
        <v>424</v>
      </c>
      <c r="G215"/>
      <c r="H215"/>
      <c r="K215" s="470" t="s">
        <v>422</v>
      </c>
      <c r="R215" s="188">
        <v>2005</v>
      </c>
      <c r="S215" s="410">
        <f t="shared" si="73"/>
        <v>18.164581183518003</v>
      </c>
      <c r="T215" s="410">
        <f>AukeCr!E78</f>
        <v>8.75</v>
      </c>
      <c r="U215" s="410">
        <f>HughSmith!E74</f>
        <v>14.565532914332488</v>
      </c>
      <c r="V215" s="410">
        <f t="shared" si="74"/>
        <v>13.826704699283496</v>
      </c>
      <c r="W215" s="537">
        <v>610.588456891997</v>
      </c>
    </row>
    <row r="216" spans="1:23" ht="15" x14ac:dyDescent="0.25">
      <c r="A216" s="415"/>
      <c r="B216" s="415" t="s">
        <v>400</v>
      </c>
      <c r="C216" s="415" t="s">
        <v>401</v>
      </c>
      <c r="F216" s="415"/>
      <c r="G216" s="415" t="s">
        <v>400</v>
      </c>
      <c r="H216" s="415" t="s">
        <v>401</v>
      </c>
      <c r="K216" t="s">
        <v>399</v>
      </c>
      <c r="L216"/>
      <c r="M216"/>
      <c r="R216" s="188">
        <v>2006</v>
      </c>
      <c r="S216" s="410">
        <f t="shared" si="73"/>
        <v>35.941160876337165</v>
      </c>
      <c r="T216" s="410">
        <f>AukeCr!E79</f>
        <v>5.5970149253731343</v>
      </c>
      <c r="U216" s="410">
        <f>HughSmith!E75</f>
        <v>8.8054461479175838</v>
      </c>
      <c r="V216" s="410">
        <f t="shared" si="74"/>
        <v>16.781207316542627</v>
      </c>
      <c r="W216" s="537">
        <v>644.59503017691941</v>
      </c>
    </row>
    <row r="217" spans="1:23" ht="15.75" thickBot="1" x14ac:dyDescent="0.3">
      <c r="A217" s="383" t="s">
        <v>402</v>
      </c>
      <c r="B217" s="383">
        <v>19.57942970108618</v>
      </c>
      <c r="C217" s="383">
        <v>28.081905190857732</v>
      </c>
      <c r="D217" s="509">
        <f>(C217-B217)/B217</f>
        <v>0.43425552324947808</v>
      </c>
      <c r="F217" s="383" t="s">
        <v>402</v>
      </c>
      <c r="G217" s="383">
        <v>23.577760909349429</v>
      </c>
      <c r="H217" s="383">
        <v>19.065466611894326</v>
      </c>
      <c r="I217" s="509">
        <f>(H217-G217)/G217</f>
        <v>-0.19137925415410487</v>
      </c>
      <c r="K217"/>
      <c r="L217"/>
      <c r="M217"/>
      <c r="R217" s="188">
        <v>2007</v>
      </c>
      <c r="S217" s="410">
        <f t="shared" si="73"/>
        <v>17.259663352392646</v>
      </c>
      <c r="T217" s="410">
        <f>AukeCr!E80</f>
        <v>7.7789150460593648</v>
      </c>
      <c r="U217" s="410">
        <f>HughSmith!E76</f>
        <v>9.0795152438204152</v>
      </c>
      <c r="V217" s="410">
        <f t="shared" si="74"/>
        <v>11.372697880757476</v>
      </c>
      <c r="W217" s="537">
        <v>597.31918568901938</v>
      </c>
    </row>
    <row r="218" spans="1:23" ht="15" x14ac:dyDescent="0.25">
      <c r="A218" s="383" t="s">
        <v>403</v>
      </c>
      <c r="B218" s="383">
        <v>47.787523918771413</v>
      </c>
      <c r="C218" s="383">
        <v>28.386278982325873</v>
      </c>
      <c r="F218" s="383" t="s">
        <v>403</v>
      </c>
      <c r="G218" s="383">
        <v>65.060969113176924</v>
      </c>
      <c r="H218" s="383">
        <v>77.078944673595032</v>
      </c>
      <c r="K218" s="415"/>
      <c r="L218" s="415" t="s">
        <v>400</v>
      </c>
      <c r="M218" s="415" t="s">
        <v>401</v>
      </c>
      <c r="R218" s="188">
        <v>2008</v>
      </c>
      <c r="S218" s="410">
        <f t="shared" si="73"/>
        <v>21.651338604797367</v>
      </c>
      <c r="T218" s="410">
        <f>AukeCr!E81</f>
        <v>7.75716694772344</v>
      </c>
      <c r="U218" s="410">
        <f>HughSmith!E77</f>
        <v>20.630296610169491</v>
      </c>
      <c r="V218" s="410">
        <f t="shared" si="74"/>
        <v>16.679600720896769</v>
      </c>
      <c r="W218" s="537">
        <v>647.28192324010456</v>
      </c>
    </row>
    <row r="219" spans="1:23" ht="15" x14ac:dyDescent="0.25">
      <c r="A219" s="383" t="s">
        <v>335</v>
      </c>
      <c r="B219" s="383">
        <v>10</v>
      </c>
      <c r="C219" s="383">
        <v>10</v>
      </c>
      <c r="F219" s="383" t="s">
        <v>335</v>
      </c>
      <c r="G219" s="383">
        <v>10</v>
      </c>
      <c r="H219" s="383">
        <v>10</v>
      </c>
      <c r="K219" s="383" t="s">
        <v>402</v>
      </c>
      <c r="L219" s="383">
        <v>1.3775276688133187</v>
      </c>
      <c r="M219" s="383">
        <v>0.69104496195358389</v>
      </c>
      <c r="R219" s="188">
        <v>2009</v>
      </c>
      <c r="S219" s="410">
        <f t="shared" si="73"/>
        <v>19.706890269426268</v>
      </c>
      <c r="T219" s="410">
        <f>AukeCr!E82</f>
        <v>17.470664928292045</v>
      </c>
      <c r="U219" s="410">
        <f>HughSmith!E78</f>
        <v>11.019849418206707</v>
      </c>
      <c r="V219" s="410">
        <f t="shared" si="74"/>
        <v>16.065801538641676</v>
      </c>
      <c r="W219" s="537">
        <v>604.62836538900001</v>
      </c>
    </row>
    <row r="220" spans="1:23" ht="15" x14ac:dyDescent="0.25">
      <c r="A220" s="383" t="s">
        <v>404</v>
      </c>
      <c r="B220" s="383">
        <v>0</v>
      </c>
      <c r="C220" s="383"/>
      <c r="F220" s="383" t="s">
        <v>404</v>
      </c>
      <c r="G220" s="383">
        <v>0</v>
      </c>
      <c r="H220" s="383"/>
      <c r="K220" s="383" t="s">
        <v>403</v>
      </c>
      <c r="L220" s="383">
        <v>0.52312719786006079</v>
      </c>
      <c r="M220" s="383">
        <v>0.13922980396305254</v>
      </c>
      <c r="R220" s="186">
        <v>2010</v>
      </c>
      <c r="S220" s="410">
        <f t="shared" si="73"/>
        <v>30.713695615572238</v>
      </c>
      <c r="T220" s="410">
        <f>AukeCr!E83</f>
        <v>11.712846347607053</v>
      </c>
      <c r="U220" s="410">
        <f>HughSmith!E79</f>
        <v>12.774598486246999</v>
      </c>
      <c r="V220" s="410">
        <f t="shared" si="74"/>
        <v>18.400380149808765</v>
      </c>
      <c r="W220" s="537">
        <v>623.78375620030931</v>
      </c>
    </row>
    <row r="221" spans="1:23" ht="15" x14ac:dyDescent="0.25">
      <c r="A221" s="383" t="s">
        <v>339</v>
      </c>
      <c r="B221" s="383">
        <v>17</v>
      </c>
      <c r="C221" s="383"/>
      <c r="F221" s="383" t="s">
        <v>339</v>
      </c>
      <c r="G221" s="383">
        <v>18</v>
      </c>
      <c r="H221" s="383"/>
      <c r="K221" s="383" t="s">
        <v>335</v>
      </c>
      <c r="L221" s="383">
        <v>10</v>
      </c>
      <c r="M221" s="383">
        <v>10</v>
      </c>
      <c r="R221" s="186">
        <v>2011</v>
      </c>
      <c r="S221" s="410">
        <f t="shared" si="73"/>
        <v>14.087210143256094</v>
      </c>
      <c r="T221" s="410">
        <f>AukeCr!E84</f>
        <v>0.64995357474466109</v>
      </c>
      <c r="U221" s="410">
        <f>HughSmith!E80</f>
        <v>10.591821183642368</v>
      </c>
      <c r="V221" s="410">
        <f t="shared" si="74"/>
        <v>8.4429949672143749</v>
      </c>
      <c r="W221" s="537">
        <v>589.16803382934904</v>
      </c>
    </row>
    <row r="222" spans="1:23" ht="15" x14ac:dyDescent="0.25">
      <c r="A222" s="383" t="s">
        <v>345</v>
      </c>
      <c r="B222" s="383">
        <v>-3.0806514885278848</v>
      </c>
      <c r="C222" s="383"/>
      <c r="F222" s="383" t="s">
        <v>345</v>
      </c>
      <c r="G222" s="383">
        <v>1.196849088233618</v>
      </c>
      <c r="H222" s="383"/>
      <c r="K222" s="383" t="s">
        <v>404</v>
      </c>
      <c r="L222" s="383">
        <v>0</v>
      </c>
      <c r="M222" s="383"/>
      <c r="R222" s="186">
        <v>2012</v>
      </c>
      <c r="S222" s="410">
        <f t="shared" si="73"/>
        <v>9.4264242374051914</v>
      </c>
      <c r="T222" s="410">
        <f>AukeCr!E85</f>
        <v>5.4502369668246446</v>
      </c>
      <c r="U222" s="410">
        <f>HughSmith!E81</f>
        <v>16.886860437184723</v>
      </c>
      <c r="V222" s="410">
        <f t="shared" si="74"/>
        <v>10.587840547138187</v>
      </c>
      <c r="W222" s="537">
        <v>600.37051688852978</v>
      </c>
    </row>
    <row r="223" spans="1:23" ht="15" x14ac:dyDescent="0.25">
      <c r="A223" s="383" t="s">
        <v>405</v>
      </c>
      <c r="B223" s="383">
        <v>3.3898784125812806E-3</v>
      </c>
      <c r="C223" s="383"/>
      <c r="F223" s="383" t="s">
        <v>405</v>
      </c>
      <c r="G223" s="383">
        <v>0.12344575019765558</v>
      </c>
      <c r="H223" s="383"/>
      <c r="K223" s="383" t="s">
        <v>339</v>
      </c>
      <c r="L223" s="383">
        <v>13</v>
      </c>
      <c r="M223" s="383"/>
      <c r="R223" s="186">
        <v>2013</v>
      </c>
      <c r="S223" s="410">
        <f t="shared" si="73"/>
        <v>27.848909942230026</v>
      </c>
      <c r="T223" s="410">
        <f>AukeCr!E86</f>
        <v>5.5555555555555554</v>
      </c>
      <c r="U223" s="410">
        <f>HughSmith!E82</f>
        <v>11.482768607008397</v>
      </c>
      <c r="V223" s="410">
        <f t="shared" si="74"/>
        <v>14.962411368264659</v>
      </c>
      <c r="W223" s="537">
        <v>607.0879173234805</v>
      </c>
    </row>
    <row r="224" spans="1:23" ht="15" x14ac:dyDescent="0.25">
      <c r="A224" s="383" t="s">
        <v>406</v>
      </c>
      <c r="B224" s="383">
        <v>1.7396067260750732</v>
      </c>
      <c r="C224" s="383"/>
      <c r="F224" s="383" t="s">
        <v>406</v>
      </c>
      <c r="G224" s="383">
        <v>1.7340636066175394</v>
      </c>
      <c r="H224" s="383"/>
      <c r="K224" s="383" t="s">
        <v>345</v>
      </c>
      <c r="L224" s="383">
        <v>2.667371678398152</v>
      </c>
      <c r="M224" s="383"/>
      <c r="R224" s="186">
        <v>2014</v>
      </c>
      <c r="S224" s="410">
        <f t="shared" si="73"/>
        <v>20.542322434456139</v>
      </c>
      <c r="T224" s="410">
        <f>AukeCr!E87</f>
        <v>2.0289855072463765</v>
      </c>
      <c r="U224" s="410">
        <f>HughSmith!E83</f>
        <v>10.354223433242508</v>
      </c>
      <c r="V224" s="410">
        <f t="shared" si="74"/>
        <v>10.975177124981675</v>
      </c>
      <c r="W224" s="537">
        <v>622.94987463648783</v>
      </c>
    </row>
    <row r="225" spans="1:23" ht="15" x14ac:dyDescent="0.25">
      <c r="A225" s="383" t="s">
        <v>407</v>
      </c>
      <c r="B225" s="383">
        <v>6.7797568251625612E-3</v>
      </c>
      <c r="C225" s="383"/>
      <c r="F225" s="383" t="s">
        <v>407</v>
      </c>
      <c r="G225" s="383">
        <v>0.24689150039531116</v>
      </c>
      <c r="H225" s="383"/>
      <c r="K225" s="383" t="s">
        <v>405</v>
      </c>
      <c r="L225" s="383">
        <v>9.6804838860055434E-3</v>
      </c>
      <c r="M225" s="383"/>
      <c r="R225" s="186">
        <v>2015</v>
      </c>
      <c r="S225" s="410">
        <f t="shared" si="73"/>
        <v>10.356291904471657</v>
      </c>
      <c r="T225" s="410">
        <f>AukeCr!E88</f>
        <v>17.948717948717949</v>
      </c>
      <c r="U225" s="410">
        <f>HughSmith!E84</f>
        <v>13.920163766632548</v>
      </c>
      <c r="V225" s="410">
        <f t="shared" si="74"/>
        <v>14.075057873274053</v>
      </c>
      <c r="W225" s="538">
        <v>617.55399884912299</v>
      </c>
    </row>
    <row r="226" spans="1:23" ht="15.75" thickBot="1" x14ac:dyDescent="0.3">
      <c r="A226" s="385" t="s">
        <v>408</v>
      </c>
      <c r="B226" s="385">
        <v>2.109815577833317</v>
      </c>
      <c r="C226" s="385"/>
      <c r="F226" s="385" t="s">
        <v>408</v>
      </c>
      <c r="G226" s="385">
        <v>2.1009220402410378</v>
      </c>
      <c r="H226" s="385"/>
      <c r="K226" s="383" t="s">
        <v>406</v>
      </c>
      <c r="L226" s="383">
        <v>1.7709333959868729</v>
      </c>
      <c r="M226" s="383"/>
      <c r="R226" s="186">
        <v>2016</v>
      </c>
      <c r="S226" s="410">
        <f t="shared" si="73"/>
        <v>18.991194766576907</v>
      </c>
      <c r="T226" s="410">
        <f>AukeCr!E89</f>
        <v>3.9665970772442591</v>
      </c>
      <c r="U226" s="410">
        <f>HughSmith!E85</f>
        <v>17.396593673965938</v>
      </c>
      <c r="V226" s="410">
        <f t="shared" si="74"/>
        <v>13.45146183926237</v>
      </c>
      <c r="W226" s="538">
        <v>646.2210831813893</v>
      </c>
    </row>
    <row r="227" spans="1:23" ht="15" x14ac:dyDescent="0.25">
      <c r="K227" s="383" t="s">
        <v>407</v>
      </c>
      <c r="L227" s="383">
        <v>1.9360967772011087E-2</v>
      </c>
      <c r="M227" s="383"/>
      <c r="R227" s="186">
        <v>2017</v>
      </c>
      <c r="S227" s="410">
        <f t="shared" si="73"/>
        <v>10.665166291572893</v>
      </c>
      <c r="T227" s="410">
        <f>AukeCr!E90</f>
        <v>5.8792527508150956</v>
      </c>
      <c r="U227" s="410">
        <f>HughSmith!E86</f>
        <v>11.257731958762887</v>
      </c>
      <c r="V227" s="410">
        <f t="shared" si="74"/>
        <v>9.2673836670502912</v>
      </c>
      <c r="W227" s="539">
        <v>592.11657837994994</v>
      </c>
    </row>
    <row r="228" spans="1:23" ht="15.75" thickBot="1" x14ac:dyDescent="0.3">
      <c r="K228" s="385" t="s">
        <v>408</v>
      </c>
      <c r="L228" s="385">
        <v>2.1603686564627926</v>
      </c>
      <c r="M228" s="385"/>
      <c r="R228" s="186">
        <v>2018</v>
      </c>
      <c r="S228" s="410">
        <f>E170</f>
        <v>34.958314034275126</v>
      </c>
      <c r="T228" s="410">
        <f>AukeCr!E91</f>
        <v>31.437125748502993</v>
      </c>
      <c r="U228" s="410">
        <f>HughSmith!E87</f>
        <v>21.16843702579666</v>
      </c>
      <c r="V228" s="530">
        <f>AVERAGE(S228:U228)</f>
        <v>29.187958936191592</v>
      </c>
      <c r="W228" s="538">
        <v>646.2210831813893</v>
      </c>
    </row>
    <row r="229" spans="1:23" x14ac:dyDescent="0.2">
      <c r="S229" s="410">
        <f>AVERAGE(S199:S227)</f>
        <v>22.923861437991654</v>
      </c>
      <c r="T229" s="410">
        <f t="shared" ref="T229:U229" si="79">AVERAGE(T199:T227)</f>
        <v>6.6992265270589844</v>
      </c>
      <c r="U229" s="410">
        <f t="shared" si="79"/>
        <v>13.794258345846876</v>
      </c>
      <c r="V229" s="410">
        <f>AVERAGE(S229:U229)</f>
        <v>14.472448770299172</v>
      </c>
    </row>
  </sheetData>
  <pageMargins left="0.8" right="0.25" top="0.75" bottom="0.5" header="0.5" footer="0.5"/>
  <pageSetup orientation="portrait" r:id="rId1"/>
  <headerFooter alignWithMargins="0">
    <oddFooter>&amp;C&amp;"Times New Roman,Regular"&amp;11 51</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A40" transitionEvaluation="1">
    <tabColor theme="9" tint="-0.249977111117893"/>
    <pageSetUpPr fitToPage="1"/>
  </sheetPr>
  <dimension ref="A1:W153"/>
  <sheetViews>
    <sheetView topLeftCell="A40" workbookViewId="0">
      <selection activeCell="C51" sqref="C51:C81"/>
    </sheetView>
  </sheetViews>
  <sheetFormatPr defaultColWidth="12.5703125" defaultRowHeight="15" x14ac:dyDescent="0.2"/>
  <cols>
    <col min="1" max="1" width="7.5703125" style="147" customWidth="1"/>
    <col min="2" max="2" width="7.28515625" style="147" customWidth="1"/>
    <col min="3" max="3" width="9.140625" style="147" customWidth="1"/>
    <col min="4" max="4" width="7" style="147" customWidth="1"/>
    <col min="5" max="5" width="8.140625" style="147" customWidth="1"/>
    <col min="6" max="6" width="6.140625" style="147" customWidth="1"/>
    <col min="7" max="7" width="7.5703125" style="147" customWidth="1"/>
    <col min="8" max="9" width="10.140625" style="147" customWidth="1"/>
    <col min="10" max="10" width="8.5703125" style="147" customWidth="1"/>
    <col min="11" max="16384" width="12.5703125" style="147"/>
  </cols>
  <sheetData>
    <row r="1" spans="1:23" ht="15.75" x14ac:dyDescent="0.25">
      <c r="A1" s="107" t="s">
        <v>85</v>
      </c>
      <c r="B1" s="164"/>
      <c r="C1" s="164"/>
      <c r="D1" s="164"/>
      <c r="E1" s="164"/>
      <c r="F1" s="164"/>
      <c r="G1" s="164"/>
      <c r="H1" s="164"/>
      <c r="I1" s="164"/>
      <c r="J1" s="164"/>
    </row>
    <row r="2" spans="1:23" x14ac:dyDescent="0.2">
      <c r="A2" s="177"/>
      <c r="B2" s="176"/>
    </row>
    <row r="3" spans="1:23" ht="15.75" x14ac:dyDescent="0.25">
      <c r="A3" s="163"/>
      <c r="B3" s="163" t="s">
        <v>33</v>
      </c>
      <c r="C3" s="161"/>
      <c r="D3" s="161"/>
      <c r="E3" s="161"/>
      <c r="F3" s="161" t="s">
        <v>67</v>
      </c>
      <c r="G3" s="162"/>
      <c r="H3" s="162"/>
      <c r="I3" s="161"/>
      <c r="J3" s="161"/>
    </row>
    <row r="4" spans="1:23" ht="15.75" x14ac:dyDescent="0.25">
      <c r="A4" s="160"/>
      <c r="B4" s="160" t="s">
        <v>63</v>
      </c>
      <c r="C4" s="159"/>
      <c r="D4" s="159"/>
      <c r="E4" s="159" t="s">
        <v>82</v>
      </c>
      <c r="F4" s="159"/>
      <c r="G4" s="159" t="s">
        <v>81</v>
      </c>
      <c r="H4" s="159" t="s">
        <v>29</v>
      </c>
      <c r="I4" s="159"/>
      <c r="J4" s="159" t="s">
        <v>26</v>
      </c>
    </row>
    <row r="5" spans="1:23" ht="15.75" x14ac:dyDescent="0.25">
      <c r="A5" s="158" t="s">
        <v>3</v>
      </c>
      <c r="B5" s="158" t="s">
        <v>80</v>
      </c>
      <c r="C5" s="158" t="s">
        <v>4</v>
      </c>
      <c r="D5" s="158" t="s">
        <v>79</v>
      </c>
      <c r="E5" s="158" t="s">
        <v>16</v>
      </c>
      <c r="F5" s="158" t="s">
        <v>17</v>
      </c>
      <c r="G5" s="158" t="s">
        <v>4</v>
      </c>
      <c r="H5" s="158" t="s">
        <v>23</v>
      </c>
      <c r="I5" s="158" t="s">
        <v>40</v>
      </c>
      <c r="J5" s="158" t="s">
        <v>78</v>
      </c>
    </row>
    <row r="6" spans="1:23" ht="15.75" x14ac:dyDescent="0.25">
      <c r="A6" s="175">
        <v>1982</v>
      </c>
      <c r="B6" s="156">
        <v>38</v>
      </c>
      <c r="C6" s="174">
        <v>1927</v>
      </c>
      <c r="D6" s="156">
        <v>106</v>
      </c>
      <c r="E6" s="156">
        <v>0</v>
      </c>
      <c r="F6" s="156">
        <v>0</v>
      </c>
      <c r="G6" s="156">
        <v>0</v>
      </c>
      <c r="H6" s="174">
        <f>SUM(C6:G6)</f>
        <v>2033</v>
      </c>
      <c r="I6" s="174">
        <f>'Master escapements'!H15</f>
        <v>2655</v>
      </c>
      <c r="J6" s="173">
        <f>H6+I6</f>
        <v>4688</v>
      </c>
      <c r="K6" s="147">
        <f>D6+E6</f>
        <v>106</v>
      </c>
    </row>
    <row r="7" spans="1:23" ht="15.75" x14ac:dyDescent="0.25">
      <c r="A7" s="175">
        <v>1983</v>
      </c>
      <c r="B7" s="156">
        <v>93</v>
      </c>
      <c r="C7" s="174">
        <v>3344</v>
      </c>
      <c r="D7" s="156">
        <v>912</v>
      </c>
      <c r="E7" s="156">
        <v>0</v>
      </c>
      <c r="F7" s="156">
        <v>0</v>
      </c>
      <c r="G7" s="156">
        <v>0</v>
      </c>
      <c r="H7" s="174">
        <f>SUM(C7:G7)</f>
        <v>4256</v>
      </c>
      <c r="I7" s="174">
        <f>'Master escapements'!H16</f>
        <v>1931</v>
      </c>
      <c r="J7" s="173">
        <f>H7+I7</f>
        <v>6187</v>
      </c>
      <c r="K7" s="147">
        <f t="shared" ref="K7:K39" si="0">D7+E7</f>
        <v>912</v>
      </c>
      <c r="L7" s="147">
        <f>MIN(J12:J33)</f>
        <v>5274</v>
      </c>
      <c r="M7" s="173"/>
      <c r="N7" s="175"/>
      <c r="O7" s="403">
        <v>87</v>
      </c>
      <c r="P7" s="174">
        <v>2483</v>
      </c>
      <c r="Q7" s="403">
        <v>63</v>
      </c>
      <c r="R7" s="403">
        <v>0</v>
      </c>
      <c r="S7" s="403">
        <v>0</v>
      </c>
      <c r="T7" s="403">
        <v>0</v>
      </c>
      <c r="U7" s="174">
        <v>2546</v>
      </c>
      <c r="V7" s="174">
        <v>1552</v>
      </c>
      <c r="W7" s="173">
        <v>4098</v>
      </c>
    </row>
    <row r="8" spans="1:23" ht="15.75" x14ac:dyDescent="0.25">
      <c r="A8" s="175">
        <v>1984</v>
      </c>
      <c r="B8" s="173" t="s">
        <v>84</v>
      </c>
      <c r="C8" s="173" t="s">
        <v>84</v>
      </c>
      <c r="D8" s="173" t="s">
        <v>84</v>
      </c>
      <c r="E8" s="173" t="s">
        <v>84</v>
      </c>
      <c r="F8" s="173" t="s">
        <v>84</v>
      </c>
      <c r="G8" s="173" t="s">
        <v>84</v>
      </c>
      <c r="H8" s="173" t="s">
        <v>84</v>
      </c>
      <c r="I8" s="174" t="str">
        <f>'Master escapements'!H17</f>
        <v>-</v>
      </c>
      <c r="J8" s="173"/>
      <c r="M8" s="173"/>
      <c r="N8" s="175"/>
      <c r="O8" s="403">
        <v>122</v>
      </c>
      <c r="P8" s="174">
        <v>3426</v>
      </c>
      <c r="Q8" s="403">
        <v>2069</v>
      </c>
      <c r="R8" s="403">
        <v>0</v>
      </c>
      <c r="S8" s="403">
        <v>103</v>
      </c>
      <c r="T8" s="403">
        <v>0</v>
      </c>
      <c r="U8" s="174">
        <v>5598</v>
      </c>
      <c r="V8" s="174">
        <v>1573</v>
      </c>
      <c r="W8" s="173">
        <v>7171</v>
      </c>
    </row>
    <row r="9" spans="1:23" ht="15.75" x14ac:dyDescent="0.25">
      <c r="A9" s="175">
        <v>1985</v>
      </c>
      <c r="B9" s="156">
        <v>49</v>
      </c>
      <c r="C9" s="174">
        <v>2482</v>
      </c>
      <c r="D9" s="156">
        <v>0</v>
      </c>
      <c r="E9" s="156">
        <v>0</v>
      </c>
      <c r="F9" s="156">
        <v>0</v>
      </c>
      <c r="G9" s="156">
        <v>0</v>
      </c>
      <c r="H9" s="174">
        <f t="shared" ref="H9:H39" si="1">SUM(C9:G9)</f>
        <v>2482</v>
      </c>
      <c r="I9" s="174">
        <f>'Master escapements'!H18</f>
        <v>2324</v>
      </c>
      <c r="J9" s="173">
        <f t="shared" ref="J9:J39" si="2">H9+I9</f>
        <v>4806</v>
      </c>
      <c r="K9" s="147">
        <f t="shared" si="0"/>
        <v>0</v>
      </c>
      <c r="M9" s="485"/>
      <c r="N9" s="175"/>
      <c r="O9" s="403">
        <v>96</v>
      </c>
      <c r="P9" s="174">
        <v>2151</v>
      </c>
      <c r="Q9" s="403">
        <v>570</v>
      </c>
      <c r="R9" s="403">
        <v>0</v>
      </c>
      <c r="S9" s="403">
        <v>132</v>
      </c>
      <c r="T9" s="403">
        <v>0</v>
      </c>
      <c r="U9" s="174">
        <v>2853</v>
      </c>
      <c r="V9" s="174">
        <v>1610</v>
      </c>
      <c r="W9" s="173">
        <v>4463</v>
      </c>
    </row>
    <row r="10" spans="1:23" ht="15.75" x14ac:dyDescent="0.25">
      <c r="A10" s="175">
        <v>1986</v>
      </c>
      <c r="B10" s="156">
        <v>87</v>
      </c>
      <c r="C10" s="174">
        <v>2483</v>
      </c>
      <c r="D10" s="156">
        <v>63</v>
      </c>
      <c r="E10" s="156">
        <v>0</v>
      </c>
      <c r="F10" s="156">
        <v>0</v>
      </c>
      <c r="G10" s="156">
        <v>0</v>
      </c>
      <c r="H10" s="174">
        <f t="shared" si="1"/>
        <v>2546</v>
      </c>
      <c r="I10" s="174">
        <f>'Master escapements'!H19</f>
        <v>1552</v>
      </c>
      <c r="J10" s="173">
        <f t="shared" si="2"/>
        <v>4098</v>
      </c>
      <c r="K10" s="147">
        <f t="shared" si="0"/>
        <v>63</v>
      </c>
      <c r="M10" s="173"/>
      <c r="N10" s="175"/>
      <c r="O10" s="403">
        <v>71</v>
      </c>
      <c r="P10" s="174">
        <v>1458</v>
      </c>
      <c r="Q10" s="403">
        <v>81</v>
      </c>
      <c r="R10" s="403">
        <v>0</v>
      </c>
      <c r="S10" s="403">
        <v>0</v>
      </c>
      <c r="T10" s="403">
        <v>0</v>
      </c>
      <c r="U10" s="174">
        <v>1539</v>
      </c>
      <c r="V10" s="174">
        <v>1694</v>
      </c>
      <c r="W10" s="173">
        <v>3233</v>
      </c>
    </row>
    <row r="11" spans="1:23" ht="15.75" x14ac:dyDescent="0.25">
      <c r="A11" s="175">
        <v>1987</v>
      </c>
      <c r="B11" s="156">
        <v>71</v>
      </c>
      <c r="C11" s="174">
        <v>1458</v>
      </c>
      <c r="D11" s="156">
        <v>81</v>
      </c>
      <c r="E11" s="156">
        <v>0</v>
      </c>
      <c r="F11" s="156">
        <v>0</v>
      </c>
      <c r="G11" s="156">
        <v>0</v>
      </c>
      <c r="H11" s="174">
        <f t="shared" si="1"/>
        <v>1539</v>
      </c>
      <c r="I11" s="174">
        <f>'Master escapements'!H20</f>
        <v>1694</v>
      </c>
      <c r="J11" s="173">
        <f t="shared" si="2"/>
        <v>3233</v>
      </c>
      <c r="K11" s="147">
        <f t="shared" si="0"/>
        <v>81</v>
      </c>
      <c r="M11" s="173"/>
      <c r="N11" s="175"/>
      <c r="O11" s="403">
        <v>52</v>
      </c>
      <c r="P11" s="174">
        <v>2613</v>
      </c>
      <c r="Q11" s="403">
        <v>6238</v>
      </c>
      <c r="R11" s="403">
        <v>0</v>
      </c>
      <c r="S11" s="403">
        <v>79</v>
      </c>
      <c r="T11" s="403">
        <v>0</v>
      </c>
      <c r="U11" s="174">
        <v>8930</v>
      </c>
      <c r="V11" s="174">
        <v>1908</v>
      </c>
      <c r="W11" s="173">
        <v>10838</v>
      </c>
    </row>
    <row r="12" spans="1:23" ht="15.75" x14ac:dyDescent="0.25">
      <c r="A12" s="175">
        <v>1988</v>
      </c>
      <c r="B12" s="156">
        <v>151</v>
      </c>
      <c r="C12" s="174">
        <v>2816</v>
      </c>
      <c r="D12" s="156">
        <v>46</v>
      </c>
      <c r="E12" s="156">
        <v>0</v>
      </c>
      <c r="F12" s="156">
        <v>0</v>
      </c>
      <c r="G12" s="156">
        <v>31</v>
      </c>
      <c r="H12" s="174">
        <f t="shared" si="1"/>
        <v>2893</v>
      </c>
      <c r="I12" s="174">
        <f>'Master escapements'!H21</f>
        <v>3119</v>
      </c>
      <c r="J12" s="173">
        <f t="shared" si="2"/>
        <v>6012</v>
      </c>
      <c r="K12" s="147">
        <f t="shared" si="0"/>
        <v>46</v>
      </c>
      <c r="M12" s="173"/>
      <c r="N12" s="175"/>
      <c r="O12" s="403">
        <v>93</v>
      </c>
      <c r="P12" s="174">
        <v>3344</v>
      </c>
      <c r="Q12" s="403">
        <v>912</v>
      </c>
      <c r="R12" s="403">
        <v>0</v>
      </c>
      <c r="S12" s="403">
        <v>0</v>
      </c>
      <c r="T12" s="403">
        <v>0</v>
      </c>
      <c r="U12" s="174">
        <v>4256</v>
      </c>
      <c r="V12" s="174">
        <v>1931</v>
      </c>
      <c r="W12" s="173">
        <v>6187</v>
      </c>
    </row>
    <row r="13" spans="1:23" ht="15.75" x14ac:dyDescent="0.25">
      <c r="A13" s="175">
        <v>1989</v>
      </c>
      <c r="B13" s="156">
        <v>218</v>
      </c>
      <c r="C13" s="174">
        <v>3799</v>
      </c>
      <c r="D13" s="156">
        <v>185</v>
      </c>
      <c r="E13" s="156">
        <v>0</v>
      </c>
      <c r="F13" s="156">
        <v>0</v>
      </c>
      <c r="G13" s="156">
        <v>0</v>
      </c>
      <c r="H13" s="174">
        <f t="shared" si="1"/>
        <v>3984</v>
      </c>
      <c r="I13" s="174">
        <f>'Master escapements'!H22</f>
        <v>2176</v>
      </c>
      <c r="J13" s="173">
        <f t="shared" si="2"/>
        <v>6160</v>
      </c>
      <c r="K13" s="147">
        <f t="shared" si="0"/>
        <v>185</v>
      </c>
      <c r="L13" s="147">
        <f>COUNT(K6:K39)</f>
        <v>33</v>
      </c>
      <c r="M13" s="173"/>
      <c r="N13" s="175"/>
      <c r="O13" s="403">
        <v>218</v>
      </c>
      <c r="P13" s="174">
        <v>3799</v>
      </c>
      <c r="Q13" s="403">
        <v>185</v>
      </c>
      <c r="R13" s="403">
        <v>0</v>
      </c>
      <c r="S13" s="403">
        <v>0</v>
      </c>
      <c r="T13" s="403">
        <v>0</v>
      </c>
      <c r="U13" s="174">
        <v>3984</v>
      </c>
      <c r="V13" s="174">
        <v>2176</v>
      </c>
      <c r="W13" s="173">
        <v>6160</v>
      </c>
    </row>
    <row r="14" spans="1:23" ht="15.75" x14ac:dyDescent="0.25">
      <c r="A14" s="175">
        <v>1990</v>
      </c>
      <c r="B14" s="156">
        <v>174</v>
      </c>
      <c r="C14" s="174">
        <v>2982</v>
      </c>
      <c r="D14" s="156">
        <v>100</v>
      </c>
      <c r="E14" s="156">
        <v>0</v>
      </c>
      <c r="F14" s="156">
        <v>0</v>
      </c>
      <c r="G14" s="156">
        <v>0</v>
      </c>
      <c r="H14" s="174">
        <f t="shared" si="1"/>
        <v>3082</v>
      </c>
      <c r="I14" s="174">
        <f>'Master escapements'!H23</f>
        <v>2192</v>
      </c>
      <c r="J14" s="173">
        <f t="shared" si="2"/>
        <v>5274</v>
      </c>
      <c r="K14" s="147">
        <f t="shared" si="0"/>
        <v>100</v>
      </c>
      <c r="M14" s="173"/>
      <c r="N14" s="175"/>
      <c r="O14" s="403">
        <v>156</v>
      </c>
      <c r="P14" s="174">
        <v>4604</v>
      </c>
      <c r="Q14" s="403">
        <v>248</v>
      </c>
      <c r="R14" s="403">
        <v>0</v>
      </c>
      <c r="S14" s="403">
        <v>93</v>
      </c>
      <c r="T14" s="403">
        <v>0</v>
      </c>
      <c r="U14" s="174">
        <v>4945</v>
      </c>
      <c r="V14" s="174">
        <v>2181</v>
      </c>
      <c r="W14" s="173">
        <v>7126</v>
      </c>
    </row>
    <row r="15" spans="1:23" ht="15.75" x14ac:dyDescent="0.25">
      <c r="A15" s="175">
        <v>1991</v>
      </c>
      <c r="B15" s="156">
        <v>193</v>
      </c>
      <c r="C15" s="174">
        <v>3203</v>
      </c>
      <c r="D15" s="156">
        <v>44</v>
      </c>
      <c r="E15" s="156">
        <v>10</v>
      </c>
      <c r="F15" s="156">
        <v>0</v>
      </c>
      <c r="G15" s="156">
        <v>0</v>
      </c>
      <c r="H15" s="174">
        <f t="shared" si="1"/>
        <v>3257</v>
      </c>
      <c r="I15" s="174">
        <f>'Master escapements'!H24</f>
        <v>2761</v>
      </c>
      <c r="J15" s="173">
        <f t="shared" si="2"/>
        <v>6018</v>
      </c>
      <c r="K15" s="147">
        <f t="shared" si="0"/>
        <v>54</v>
      </c>
      <c r="M15" s="173"/>
      <c r="N15" s="175"/>
      <c r="O15" s="403">
        <v>174</v>
      </c>
      <c r="P15" s="174">
        <v>2982</v>
      </c>
      <c r="Q15" s="403">
        <v>100</v>
      </c>
      <c r="R15" s="403">
        <v>0</v>
      </c>
      <c r="S15" s="403">
        <v>0</v>
      </c>
      <c r="T15" s="403">
        <v>0</v>
      </c>
      <c r="U15" s="174">
        <v>3082</v>
      </c>
      <c r="V15" s="174">
        <v>2192</v>
      </c>
      <c r="W15" s="173">
        <v>5274</v>
      </c>
    </row>
    <row r="16" spans="1:23" ht="15.75" x14ac:dyDescent="0.25">
      <c r="A16" s="175">
        <v>1992</v>
      </c>
      <c r="B16" s="156">
        <v>199</v>
      </c>
      <c r="C16" s="174">
        <v>5252</v>
      </c>
      <c r="D16" s="156">
        <v>233</v>
      </c>
      <c r="E16" s="156">
        <v>0</v>
      </c>
      <c r="F16" s="156">
        <v>0</v>
      </c>
      <c r="G16" s="156">
        <v>0</v>
      </c>
      <c r="H16" s="174">
        <f t="shared" si="1"/>
        <v>5485</v>
      </c>
      <c r="I16" s="174">
        <f>'Master escapements'!H25</f>
        <v>3866</v>
      </c>
      <c r="J16" s="173">
        <f t="shared" si="2"/>
        <v>9351</v>
      </c>
      <c r="K16" s="147">
        <f t="shared" si="0"/>
        <v>233</v>
      </c>
      <c r="M16" s="173"/>
      <c r="N16" s="175"/>
      <c r="O16" s="403">
        <v>131</v>
      </c>
      <c r="P16" s="174">
        <v>5821</v>
      </c>
      <c r="Q16" s="403">
        <v>115</v>
      </c>
      <c r="R16" s="403">
        <v>0</v>
      </c>
      <c r="S16" s="403">
        <v>480</v>
      </c>
      <c r="T16" s="403">
        <v>0</v>
      </c>
      <c r="U16" s="174">
        <v>6416</v>
      </c>
      <c r="V16" s="174">
        <v>2209</v>
      </c>
      <c r="W16" s="173">
        <v>8625</v>
      </c>
    </row>
    <row r="17" spans="1:23" ht="15.75" x14ac:dyDescent="0.25">
      <c r="A17" s="175">
        <v>1993</v>
      </c>
      <c r="B17" s="156">
        <v>349</v>
      </c>
      <c r="C17" s="174">
        <v>7749</v>
      </c>
      <c r="D17" s="156">
        <v>434</v>
      </c>
      <c r="E17" s="156">
        <v>0</v>
      </c>
      <c r="F17" s="156">
        <v>176</v>
      </c>
      <c r="G17" s="156">
        <v>0</v>
      </c>
      <c r="H17" s="174">
        <f t="shared" si="1"/>
        <v>8359</v>
      </c>
      <c r="I17" s="174">
        <f>'Master escapements'!H26</f>
        <v>4202</v>
      </c>
      <c r="J17" s="173">
        <f t="shared" si="2"/>
        <v>12561</v>
      </c>
      <c r="K17" s="147">
        <f t="shared" si="0"/>
        <v>434</v>
      </c>
      <c r="M17" s="173"/>
      <c r="N17" s="175"/>
      <c r="O17" s="403">
        <v>117</v>
      </c>
      <c r="P17" s="174">
        <v>2884</v>
      </c>
      <c r="Q17" s="403">
        <v>862</v>
      </c>
      <c r="R17" s="403">
        <v>0</v>
      </c>
      <c r="S17" s="403">
        <v>151</v>
      </c>
      <c r="T17" s="403">
        <v>0</v>
      </c>
      <c r="U17" s="174">
        <v>3897</v>
      </c>
      <c r="V17" s="174">
        <v>2282</v>
      </c>
      <c r="W17" s="173">
        <v>6179</v>
      </c>
    </row>
    <row r="18" spans="1:23" ht="15.75" x14ac:dyDescent="0.25">
      <c r="A18" s="175">
        <v>1994</v>
      </c>
      <c r="B18" s="156">
        <v>236</v>
      </c>
      <c r="C18" s="174">
        <v>6856</v>
      </c>
      <c r="D18" s="156">
        <v>1020</v>
      </c>
      <c r="E18" s="156">
        <v>0</v>
      </c>
      <c r="F18" s="156">
        <v>384</v>
      </c>
      <c r="G18" s="156">
        <v>0</v>
      </c>
      <c r="H18" s="174">
        <f t="shared" si="1"/>
        <v>8260</v>
      </c>
      <c r="I18" s="174">
        <f>'Master escapements'!H27</f>
        <v>3227</v>
      </c>
      <c r="J18" s="173">
        <f t="shared" si="2"/>
        <v>11487</v>
      </c>
      <c r="K18" s="147">
        <f t="shared" si="0"/>
        <v>1020</v>
      </c>
      <c r="M18" s="173"/>
      <c r="N18" s="175"/>
      <c r="O18" s="403">
        <v>193</v>
      </c>
      <c r="P18" s="174">
        <v>4604</v>
      </c>
      <c r="Q18" s="403">
        <v>916</v>
      </c>
      <c r="R18" s="403">
        <v>14</v>
      </c>
      <c r="S18" s="403">
        <v>211</v>
      </c>
      <c r="T18" s="403">
        <v>0</v>
      </c>
      <c r="U18" s="174">
        <v>5745</v>
      </c>
      <c r="V18" s="174">
        <v>2304</v>
      </c>
      <c r="W18" s="173">
        <v>8049</v>
      </c>
    </row>
    <row r="19" spans="1:23" ht="15.75" x14ac:dyDescent="0.25">
      <c r="A19" s="175">
        <v>1995</v>
      </c>
      <c r="B19" s="156">
        <v>82</v>
      </c>
      <c r="C19" s="174">
        <v>3582</v>
      </c>
      <c r="D19" s="156">
        <v>759</v>
      </c>
      <c r="E19" s="156">
        <v>0</v>
      </c>
      <c r="F19" s="156">
        <v>0</v>
      </c>
      <c r="G19" s="156">
        <v>0</v>
      </c>
      <c r="H19" s="174">
        <f t="shared" si="1"/>
        <v>4341</v>
      </c>
      <c r="I19" s="174">
        <f>'Master escapements'!H28</f>
        <v>2446</v>
      </c>
      <c r="J19" s="173">
        <f t="shared" si="2"/>
        <v>6787</v>
      </c>
      <c r="K19" s="147">
        <f t="shared" si="0"/>
        <v>759</v>
      </c>
      <c r="M19" s="173"/>
      <c r="N19" s="175"/>
      <c r="O19" s="403">
        <v>49</v>
      </c>
      <c r="P19" s="174">
        <v>2482</v>
      </c>
      <c r="Q19" s="403">
        <v>0</v>
      </c>
      <c r="R19" s="403">
        <v>0</v>
      </c>
      <c r="S19" s="403">
        <v>0</v>
      </c>
      <c r="T19" s="403">
        <v>0</v>
      </c>
      <c r="U19" s="174">
        <v>2482</v>
      </c>
      <c r="V19" s="174">
        <v>2324</v>
      </c>
      <c r="W19" s="173">
        <v>4806</v>
      </c>
    </row>
    <row r="20" spans="1:23" ht="15.75" x14ac:dyDescent="0.25">
      <c r="A20" s="175">
        <v>1996</v>
      </c>
      <c r="B20" s="156">
        <v>64</v>
      </c>
      <c r="C20" s="174">
        <v>3083</v>
      </c>
      <c r="D20" s="156">
        <v>0</v>
      </c>
      <c r="E20" s="156">
        <v>0</v>
      </c>
      <c r="F20" s="156">
        <v>281</v>
      </c>
      <c r="G20" s="156">
        <v>0</v>
      </c>
      <c r="H20" s="174">
        <f t="shared" si="1"/>
        <v>3364</v>
      </c>
      <c r="I20" s="174">
        <f>'Master escapements'!H29</f>
        <v>2500</v>
      </c>
      <c r="J20" s="173">
        <f t="shared" si="2"/>
        <v>5864</v>
      </c>
      <c r="K20" s="147">
        <f t="shared" si="0"/>
        <v>0</v>
      </c>
      <c r="M20" s="173"/>
      <c r="N20" s="175"/>
      <c r="O20" s="403">
        <v>82</v>
      </c>
      <c r="P20" s="174">
        <v>3582</v>
      </c>
      <c r="Q20" s="403">
        <v>759</v>
      </c>
      <c r="R20" s="403">
        <v>0</v>
      </c>
      <c r="S20" s="403">
        <v>0</v>
      </c>
      <c r="T20" s="403">
        <v>0</v>
      </c>
      <c r="U20" s="174">
        <v>4341</v>
      </c>
      <c r="V20" s="174">
        <v>2446</v>
      </c>
      <c r="W20" s="173">
        <v>6787</v>
      </c>
    </row>
    <row r="21" spans="1:23" ht="15.75" x14ac:dyDescent="0.25">
      <c r="A21" s="175">
        <v>1997</v>
      </c>
      <c r="B21" s="156">
        <v>242</v>
      </c>
      <c r="C21" s="174">
        <v>4702</v>
      </c>
      <c r="D21" s="156">
        <v>0</v>
      </c>
      <c r="E21" s="156">
        <v>0</v>
      </c>
      <c r="F21" s="156">
        <v>351</v>
      </c>
      <c r="G21" s="156">
        <v>0</v>
      </c>
      <c r="H21" s="174">
        <f t="shared" si="1"/>
        <v>5053</v>
      </c>
      <c r="I21" s="174">
        <f>'Master escapements'!H30</f>
        <v>4718</v>
      </c>
      <c r="J21" s="173">
        <f t="shared" si="2"/>
        <v>9771</v>
      </c>
      <c r="K21" s="147">
        <f t="shared" si="0"/>
        <v>0</v>
      </c>
      <c r="M21" s="173"/>
      <c r="N21" s="175"/>
      <c r="O21" s="403">
        <v>64</v>
      </c>
      <c r="P21" s="174">
        <v>3083</v>
      </c>
      <c r="Q21" s="403">
        <v>0</v>
      </c>
      <c r="R21" s="403">
        <v>0</v>
      </c>
      <c r="S21" s="403">
        <v>281</v>
      </c>
      <c r="T21" s="403">
        <v>0</v>
      </c>
      <c r="U21" s="174">
        <v>3364</v>
      </c>
      <c r="V21" s="174">
        <v>2500</v>
      </c>
      <c r="W21" s="173">
        <v>5864</v>
      </c>
    </row>
    <row r="22" spans="1:23" ht="15.75" x14ac:dyDescent="0.25">
      <c r="A22" s="175">
        <v>1998</v>
      </c>
      <c r="B22" s="156">
        <v>320</v>
      </c>
      <c r="C22" s="174">
        <v>7835</v>
      </c>
      <c r="D22" s="156">
        <v>435</v>
      </c>
      <c r="E22" s="156">
        <v>20</v>
      </c>
      <c r="F22" s="156">
        <v>785</v>
      </c>
      <c r="G22" s="156">
        <v>0</v>
      </c>
      <c r="H22" s="174">
        <f t="shared" si="1"/>
        <v>9075</v>
      </c>
      <c r="I22" s="174">
        <f>'Master escapements'!H31</f>
        <v>7049</v>
      </c>
      <c r="J22" s="173">
        <f t="shared" si="2"/>
        <v>16124</v>
      </c>
      <c r="K22" s="147">
        <f t="shared" si="0"/>
        <v>455</v>
      </c>
      <c r="M22" s="173"/>
      <c r="N22" s="175"/>
      <c r="O22" s="403">
        <v>188</v>
      </c>
      <c r="P22" s="174">
        <v>5673</v>
      </c>
      <c r="Q22" s="403">
        <v>217</v>
      </c>
      <c r="R22" s="403">
        <v>7</v>
      </c>
      <c r="S22" s="403">
        <v>202</v>
      </c>
      <c r="T22" s="403">
        <v>0</v>
      </c>
      <c r="U22" s="174">
        <v>6099</v>
      </c>
      <c r="V22" s="174">
        <v>2567</v>
      </c>
      <c r="W22" s="173">
        <v>8666</v>
      </c>
    </row>
    <row r="23" spans="1:23" ht="15.75" x14ac:dyDescent="0.25">
      <c r="A23" s="175">
        <v>1999</v>
      </c>
      <c r="B23" s="156">
        <v>146</v>
      </c>
      <c r="C23" s="174">
        <v>5893</v>
      </c>
      <c r="D23" s="156">
        <v>66</v>
      </c>
      <c r="E23" s="156">
        <v>0</v>
      </c>
      <c r="F23" s="156">
        <v>436</v>
      </c>
      <c r="G23" s="156">
        <v>0</v>
      </c>
      <c r="H23" s="174">
        <f t="shared" si="1"/>
        <v>6395</v>
      </c>
      <c r="I23" s="174">
        <f>'Master escapements'!H32</f>
        <v>3800</v>
      </c>
      <c r="J23" s="173">
        <f t="shared" si="2"/>
        <v>10195</v>
      </c>
      <c r="K23" s="147">
        <f t="shared" si="0"/>
        <v>66</v>
      </c>
      <c r="M23" s="173"/>
      <c r="N23" s="175"/>
      <c r="O23" s="403">
        <v>38</v>
      </c>
      <c r="P23" s="174">
        <v>1927</v>
      </c>
      <c r="Q23" s="403">
        <v>106</v>
      </c>
      <c r="R23" s="403">
        <v>0</v>
      </c>
      <c r="S23" s="403">
        <v>0</v>
      </c>
      <c r="T23" s="403">
        <v>0</v>
      </c>
      <c r="U23" s="174">
        <v>2033</v>
      </c>
      <c r="V23" s="174">
        <v>2655</v>
      </c>
      <c r="W23" s="173">
        <v>4688</v>
      </c>
    </row>
    <row r="24" spans="1:23" ht="15.75" x14ac:dyDescent="0.25">
      <c r="A24" s="175">
        <v>2000</v>
      </c>
      <c r="B24" s="156">
        <v>193</v>
      </c>
      <c r="C24" s="174">
        <v>4604</v>
      </c>
      <c r="D24" s="156">
        <v>916</v>
      </c>
      <c r="E24" s="156">
        <v>14</v>
      </c>
      <c r="F24" s="156">
        <v>211</v>
      </c>
      <c r="G24" s="156">
        <v>0</v>
      </c>
      <c r="H24" s="174">
        <f t="shared" si="1"/>
        <v>5745</v>
      </c>
      <c r="I24" s="174">
        <f>'Master escapements'!H33</f>
        <v>2304</v>
      </c>
      <c r="J24" s="173">
        <f t="shared" si="2"/>
        <v>8049</v>
      </c>
      <c r="K24" s="147">
        <f t="shared" si="0"/>
        <v>930</v>
      </c>
      <c r="M24" s="173"/>
      <c r="N24" s="175"/>
      <c r="O24" s="403">
        <v>193</v>
      </c>
      <c r="P24" s="174">
        <v>3203</v>
      </c>
      <c r="Q24" s="403">
        <v>44</v>
      </c>
      <c r="R24" s="403">
        <v>10</v>
      </c>
      <c r="S24" s="403">
        <v>0</v>
      </c>
      <c r="T24" s="403">
        <v>0</v>
      </c>
      <c r="U24" s="174">
        <v>3257</v>
      </c>
      <c r="V24" s="174">
        <v>2761</v>
      </c>
      <c r="W24" s="173">
        <v>6018</v>
      </c>
    </row>
    <row r="25" spans="1:23" ht="15.75" x14ac:dyDescent="0.25">
      <c r="A25" s="175">
        <v>2001</v>
      </c>
      <c r="B25" s="156">
        <v>131</v>
      </c>
      <c r="C25" s="174">
        <v>5821</v>
      </c>
      <c r="D25" s="156">
        <v>115</v>
      </c>
      <c r="E25" s="156">
        <v>0</v>
      </c>
      <c r="F25" s="156">
        <v>480</v>
      </c>
      <c r="G25" s="156">
        <v>0</v>
      </c>
      <c r="H25" s="174">
        <f t="shared" si="1"/>
        <v>6416</v>
      </c>
      <c r="I25" s="174">
        <f>'Master escapements'!H34</f>
        <v>2209</v>
      </c>
      <c r="J25" s="173">
        <f t="shared" si="2"/>
        <v>8625</v>
      </c>
      <c r="K25" s="147">
        <f t="shared" si="0"/>
        <v>115</v>
      </c>
      <c r="M25" s="173"/>
      <c r="N25" s="175"/>
      <c r="O25" s="403">
        <v>103</v>
      </c>
      <c r="P25" s="174">
        <v>4927</v>
      </c>
      <c r="Q25" s="403">
        <v>2397</v>
      </c>
      <c r="R25" s="403">
        <v>0</v>
      </c>
      <c r="S25" s="403">
        <v>330</v>
      </c>
      <c r="T25" s="403">
        <v>0</v>
      </c>
      <c r="U25" s="174">
        <v>7654</v>
      </c>
      <c r="V25" s="174">
        <v>3025</v>
      </c>
      <c r="W25" s="173">
        <v>10679</v>
      </c>
    </row>
    <row r="26" spans="1:23" ht="15.75" x14ac:dyDescent="0.25">
      <c r="A26" s="175">
        <v>2002</v>
      </c>
      <c r="B26" s="156">
        <v>246</v>
      </c>
      <c r="C26" s="174">
        <v>5751</v>
      </c>
      <c r="D26" s="156">
        <v>1260</v>
      </c>
      <c r="E26" s="156">
        <v>0</v>
      </c>
      <c r="F26" s="156">
        <v>998</v>
      </c>
      <c r="G26" s="156">
        <v>0</v>
      </c>
      <c r="H26" s="174">
        <f t="shared" si="1"/>
        <v>8009</v>
      </c>
      <c r="I26" s="174">
        <f>'Master escapements'!H35</f>
        <v>7109</v>
      </c>
      <c r="J26" s="173">
        <f t="shared" si="2"/>
        <v>15118</v>
      </c>
      <c r="K26" s="147">
        <f t="shared" si="0"/>
        <v>1260</v>
      </c>
      <c r="M26" s="173"/>
      <c r="N26" s="175"/>
      <c r="O26" s="403">
        <v>151</v>
      </c>
      <c r="P26" s="174">
        <v>2816</v>
      </c>
      <c r="Q26" s="403">
        <v>46</v>
      </c>
      <c r="R26" s="403">
        <v>0</v>
      </c>
      <c r="S26" s="403">
        <v>0</v>
      </c>
      <c r="T26" s="403">
        <v>31</v>
      </c>
      <c r="U26" s="174">
        <v>2893</v>
      </c>
      <c r="V26" s="174">
        <v>3119</v>
      </c>
      <c r="W26" s="173">
        <v>6012</v>
      </c>
    </row>
    <row r="27" spans="1:23" ht="15.75" x14ac:dyDescent="0.25">
      <c r="A27" s="175">
        <v>2003</v>
      </c>
      <c r="B27" s="156">
        <v>225</v>
      </c>
      <c r="C27" s="174">
        <v>4154</v>
      </c>
      <c r="D27" s="156">
        <v>504</v>
      </c>
      <c r="E27" s="156">
        <v>0</v>
      </c>
      <c r="F27" s="156">
        <v>1770</v>
      </c>
      <c r="G27" s="156">
        <v>0</v>
      </c>
      <c r="H27" s="174">
        <f t="shared" si="1"/>
        <v>6428</v>
      </c>
      <c r="I27" s="174">
        <f>'Master escapements'!H36</f>
        <v>6789</v>
      </c>
      <c r="J27" s="173">
        <f t="shared" si="2"/>
        <v>13217</v>
      </c>
      <c r="K27" s="147">
        <f t="shared" si="0"/>
        <v>504</v>
      </c>
      <c r="M27" s="173"/>
      <c r="N27" s="175"/>
      <c r="O27" s="403">
        <v>236</v>
      </c>
      <c r="P27" s="174">
        <v>6856</v>
      </c>
      <c r="Q27" s="403">
        <v>1020</v>
      </c>
      <c r="R27" s="403">
        <v>0</v>
      </c>
      <c r="S27" s="403">
        <v>384</v>
      </c>
      <c r="T27" s="403">
        <v>0</v>
      </c>
      <c r="U27" s="174">
        <v>8260</v>
      </c>
      <c r="V27" s="174">
        <v>3227</v>
      </c>
      <c r="W27" s="173">
        <v>11487</v>
      </c>
    </row>
    <row r="28" spans="1:23" ht="15.75" x14ac:dyDescent="0.25">
      <c r="A28" s="175">
        <v>2004</v>
      </c>
      <c r="B28" s="156">
        <v>153</v>
      </c>
      <c r="C28" s="174">
        <v>7722</v>
      </c>
      <c r="D28" s="156">
        <v>524</v>
      </c>
      <c r="E28" s="156">
        <v>0</v>
      </c>
      <c r="F28" s="156">
        <v>319</v>
      </c>
      <c r="G28" s="156">
        <v>0</v>
      </c>
      <c r="H28" s="174">
        <f t="shared" si="1"/>
        <v>8565</v>
      </c>
      <c r="I28" s="174">
        <f>'Master escapements'!H37</f>
        <v>3539</v>
      </c>
      <c r="J28" s="173">
        <f t="shared" si="2"/>
        <v>12104</v>
      </c>
      <c r="K28" s="147">
        <f t="shared" si="0"/>
        <v>524</v>
      </c>
      <c r="M28" s="173"/>
      <c r="N28" s="175"/>
      <c r="O28" s="403">
        <v>71</v>
      </c>
      <c r="P28" s="174">
        <v>3078</v>
      </c>
      <c r="Q28" s="403">
        <v>380</v>
      </c>
      <c r="R28" s="403">
        <v>0</v>
      </c>
      <c r="S28" s="403">
        <v>118</v>
      </c>
      <c r="T28" s="403">
        <v>0</v>
      </c>
      <c r="U28" s="174">
        <v>3576</v>
      </c>
      <c r="V28" s="174">
        <v>3281</v>
      </c>
      <c r="W28" s="173">
        <v>6857</v>
      </c>
    </row>
    <row r="29" spans="1:23" ht="15.75" x14ac:dyDescent="0.25">
      <c r="A29" s="175">
        <v>2005</v>
      </c>
      <c r="B29" s="156">
        <v>81</v>
      </c>
      <c r="C29" s="174">
        <v>5134</v>
      </c>
      <c r="D29" s="156">
        <v>60</v>
      </c>
      <c r="E29" s="156">
        <v>0</v>
      </c>
      <c r="F29" s="156">
        <v>672</v>
      </c>
      <c r="G29" s="156">
        <v>0</v>
      </c>
      <c r="H29" s="174">
        <f t="shared" si="1"/>
        <v>5866</v>
      </c>
      <c r="I29" s="174">
        <f>'Master escapements'!H38</f>
        <v>4257</v>
      </c>
      <c r="J29" s="173">
        <f t="shared" si="2"/>
        <v>10123</v>
      </c>
      <c r="K29" s="147">
        <f t="shared" si="0"/>
        <v>60</v>
      </c>
      <c r="M29" s="173"/>
      <c r="N29" s="175"/>
      <c r="O29" s="403">
        <v>153</v>
      </c>
      <c r="P29" s="174">
        <v>7722</v>
      </c>
      <c r="Q29" s="403">
        <v>524</v>
      </c>
      <c r="R29" s="403">
        <v>0</v>
      </c>
      <c r="S29" s="403">
        <v>319</v>
      </c>
      <c r="T29" s="403">
        <v>0</v>
      </c>
      <c r="U29" s="174">
        <v>8565</v>
      </c>
      <c r="V29" s="174">
        <v>3539</v>
      </c>
      <c r="W29" s="173">
        <v>12104</v>
      </c>
    </row>
    <row r="30" spans="1:23" ht="15.75" x14ac:dyDescent="0.25">
      <c r="A30" s="175">
        <v>2006</v>
      </c>
      <c r="B30" s="156">
        <v>137</v>
      </c>
      <c r="C30" s="174">
        <v>3866</v>
      </c>
      <c r="D30" s="156">
        <v>367</v>
      </c>
      <c r="E30" s="156">
        <v>0</v>
      </c>
      <c r="F30" s="156">
        <v>844</v>
      </c>
      <c r="G30" s="156">
        <v>0</v>
      </c>
      <c r="H30" s="174">
        <f t="shared" si="1"/>
        <v>5077</v>
      </c>
      <c r="I30" s="174">
        <f>'Master escapements'!H39</f>
        <v>4737</v>
      </c>
      <c r="J30" s="173">
        <f t="shared" si="2"/>
        <v>9814</v>
      </c>
      <c r="K30" s="147">
        <f t="shared" si="0"/>
        <v>367</v>
      </c>
      <c r="M30" s="173"/>
      <c r="N30" s="175"/>
      <c r="O30" s="403">
        <v>146</v>
      </c>
      <c r="P30" s="174">
        <v>5893</v>
      </c>
      <c r="Q30" s="403">
        <v>66</v>
      </c>
      <c r="R30" s="403">
        <v>0</v>
      </c>
      <c r="S30" s="403">
        <v>436</v>
      </c>
      <c r="T30" s="403">
        <v>0</v>
      </c>
      <c r="U30" s="174">
        <v>6395</v>
      </c>
      <c r="V30" s="174">
        <v>3800</v>
      </c>
      <c r="W30" s="173">
        <v>10195</v>
      </c>
    </row>
    <row r="31" spans="1:23" ht="15.75" x14ac:dyDescent="0.25">
      <c r="A31" s="175">
        <v>2007</v>
      </c>
      <c r="B31" s="156">
        <v>188</v>
      </c>
      <c r="C31" s="174">
        <v>5673</v>
      </c>
      <c r="D31" s="156">
        <v>217</v>
      </c>
      <c r="E31" s="156">
        <v>7</v>
      </c>
      <c r="F31" s="156">
        <v>202</v>
      </c>
      <c r="G31" s="156">
        <v>0</v>
      </c>
      <c r="H31" s="174">
        <f t="shared" si="1"/>
        <v>6099</v>
      </c>
      <c r="I31" s="174">
        <f>'Master escapements'!H40</f>
        <v>2567</v>
      </c>
      <c r="J31" s="173">
        <f t="shared" si="2"/>
        <v>8666</v>
      </c>
      <c r="K31" s="147">
        <f t="shared" si="0"/>
        <v>224</v>
      </c>
      <c r="M31" s="173"/>
      <c r="N31" s="175"/>
      <c r="O31" s="403">
        <v>199</v>
      </c>
      <c r="P31" s="174">
        <v>5252</v>
      </c>
      <c r="Q31" s="403">
        <v>233</v>
      </c>
      <c r="R31" s="403">
        <v>0</v>
      </c>
      <c r="S31" s="403">
        <v>0</v>
      </c>
      <c r="T31" s="403">
        <v>0</v>
      </c>
      <c r="U31" s="174">
        <v>5485</v>
      </c>
      <c r="V31" s="174">
        <v>3866</v>
      </c>
      <c r="W31" s="173">
        <v>9351</v>
      </c>
    </row>
    <row r="32" spans="1:23" ht="15.75" x14ac:dyDescent="0.25">
      <c r="A32" s="175">
        <v>2008</v>
      </c>
      <c r="B32" s="156">
        <v>231</v>
      </c>
      <c r="C32" s="174">
        <v>4563</v>
      </c>
      <c r="D32" s="156">
        <v>1047</v>
      </c>
      <c r="E32" s="156">
        <v>0</v>
      </c>
      <c r="F32" s="156">
        <v>277</v>
      </c>
      <c r="G32" s="156">
        <v>0</v>
      </c>
      <c r="H32" s="174">
        <f t="shared" si="1"/>
        <v>5887</v>
      </c>
      <c r="I32" s="174">
        <f>'Master escapements'!H41</f>
        <v>5173</v>
      </c>
      <c r="J32" s="173">
        <f t="shared" si="2"/>
        <v>11060</v>
      </c>
      <c r="K32" s="147">
        <f t="shared" si="0"/>
        <v>1047</v>
      </c>
      <c r="M32" s="173"/>
      <c r="N32" s="175"/>
      <c r="O32" s="403">
        <v>349</v>
      </c>
      <c r="P32" s="174">
        <v>7749</v>
      </c>
      <c r="Q32" s="403">
        <v>434</v>
      </c>
      <c r="R32" s="403">
        <v>0</v>
      </c>
      <c r="S32" s="403">
        <v>176</v>
      </c>
      <c r="T32" s="403">
        <v>0</v>
      </c>
      <c r="U32" s="174">
        <v>8359</v>
      </c>
      <c r="V32" s="174">
        <v>4202</v>
      </c>
      <c r="W32" s="173">
        <v>12561</v>
      </c>
    </row>
    <row r="33" spans="1:23" ht="15.75" x14ac:dyDescent="0.25">
      <c r="A33" s="175">
        <v>2009</v>
      </c>
      <c r="B33" s="156">
        <v>156</v>
      </c>
      <c r="C33" s="174">
        <v>4604</v>
      </c>
      <c r="D33" s="156">
        <v>248</v>
      </c>
      <c r="E33" s="156">
        <v>0</v>
      </c>
      <c r="F33" s="156">
        <v>93</v>
      </c>
      <c r="G33" s="156">
        <v>0</v>
      </c>
      <c r="H33" s="174">
        <f t="shared" si="1"/>
        <v>4945</v>
      </c>
      <c r="I33" s="174">
        <f>'Master escapements'!H42</f>
        <v>2181</v>
      </c>
      <c r="J33" s="173">
        <f t="shared" si="2"/>
        <v>7126</v>
      </c>
      <c r="K33" s="147">
        <f t="shared" si="0"/>
        <v>248</v>
      </c>
      <c r="M33" s="173"/>
      <c r="N33" s="175"/>
      <c r="O33" s="403">
        <v>81</v>
      </c>
      <c r="P33" s="174">
        <v>5134</v>
      </c>
      <c r="Q33" s="403">
        <v>60</v>
      </c>
      <c r="R33" s="403">
        <v>0</v>
      </c>
      <c r="S33" s="403">
        <v>672</v>
      </c>
      <c r="T33" s="403">
        <v>0</v>
      </c>
      <c r="U33" s="174">
        <v>5866</v>
      </c>
      <c r="V33" s="174">
        <v>4257</v>
      </c>
      <c r="W33" s="173">
        <v>10123</v>
      </c>
    </row>
    <row r="34" spans="1:23" ht="15.75" x14ac:dyDescent="0.25">
      <c r="A34" s="175">
        <v>2010</v>
      </c>
      <c r="B34" s="156">
        <v>96</v>
      </c>
      <c r="C34" s="174">
        <v>2151</v>
      </c>
      <c r="D34" s="156">
        <v>570</v>
      </c>
      <c r="E34" s="156">
        <v>0</v>
      </c>
      <c r="F34" s="156">
        <v>132</v>
      </c>
      <c r="G34" s="156">
        <v>0</v>
      </c>
      <c r="H34" s="174">
        <f t="shared" si="1"/>
        <v>2853</v>
      </c>
      <c r="I34" s="174">
        <f>'Master escapements'!H43</f>
        <v>1610</v>
      </c>
      <c r="J34" s="173">
        <f t="shared" si="2"/>
        <v>4463</v>
      </c>
      <c r="K34" s="147">
        <f t="shared" si="0"/>
        <v>570</v>
      </c>
      <c r="M34" s="173"/>
      <c r="N34" s="175"/>
      <c r="O34" s="403">
        <v>242</v>
      </c>
      <c r="P34" s="174">
        <v>4702</v>
      </c>
      <c r="Q34" s="403">
        <v>0</v>
      </c>
      <c r="R34" s="403">
        <v>0</v>
      </c>
      <c r="S34" s="403">
        <v>351</v>
      </c>
      <c r="T34" s="403">
        <v>0</v>
      </c>
      <c r="U34" s="174">
        <v>5053</v>
      </c>
      <c r="V34" s="174">
        <v>4718</v>
      </c>
      <c r="W34" s="173">
        <v>9771</v>
      </c>
    </row>
    <row r="35" spans="1:23" ht="15.75" x14ac:dyDescent="0.25">
      <c r="A35" s="175">
        <v>2011</v>
      </c>
      <c r="B35" s="156">
        <v>52</v>
      </c>
      <c r="C35" s="174">
        <v>2613</v>
      </c>
      <c r="D35" s="156">
        <v>6238</v>
      </c>
      <c r="E35" s="156">
        <v>0</v>
      </c>
      <c r="F35" s="156">
        <v>79</v>
      </c>
      <c r="G35" s="156">
        <v>0</v>
      </c>
      <c r="H35" s="174">
        <f t="shared" si="1"/>
        <v>8930</v>
      </c>
      <c r="I35" s="174">
        <f>'Master escapements'!H44</f>
        <v>1908</v>
      </c>
      <c r="J35" s="173">
        <f t="shared" si="2"/>
        <v>10838</v>
      </c>
      <c r="K35" s="147">
        <f t="shared" si="0"/>
        <v>6238</v>
      </c>
      <c r="M35" s="173"/>
      <c r="N35" s="175"/>
      <c r="O35" s="403">
        <v>137</v>
      </c>
      <c r="P35" s="174">
        <v>3866</v>
      </c>
      <c r="Q35" s="403">
        <v>367</v>
      </c>
      <c r="R35" s="403">
        <v>0</v>
      </c>
      <c r="S35" s="403">
        <v>844</v>
      </c>
      <c r="T35" s="403">
        <v>0</v>
      </c>
      <c r="U35" s="174">
        <v>5077</v>
      </c>
      <c r="V35" s="174">
        <v>4737</v>
      </c>
      <c r="W35" s="173">
        <v>9814</v>
      </c>
    </row>
    <row r="36" spans="1:23" ht="15.75" x14ac:dyDescent="0.25">
      <c r="A36" s="175">
        <v>2012</v>
      </c>
      <c r="B36" s="156">
        <v>117</v>
      </c>
      <c r="C36" s="174">
        <v>2884</v>
      </c>
      <c r="D36" s="156">
        <v>862</v>
      </c>
      <c r="E36" s="156">
        <v>0</v>
      </c>
      <c r="F36" s="156">
        <v>151</v>
      </c>
      <c r="G36" s="156">
        <v>0</v>
      </c>
      <c r="H36" s="174">
        <f t="shared" si="1"/>
        <v>3897</v>
      </c>
      <c r="I36" s="174">
        <f>'Master escapements'!H45</f>
        <v>2282</v>
      </c>
      <c r="J36" s="173">
        <f t="shared" si="2"/>
        <v>6179</v>
      </c>
      <c r="K36" s="147">
        <f t="shared" si="0"/>
        <v>862</v>
      </c>
      <c r="M36" s="173"/>
      <c r="N36" s="175"/>
      <c r="O36" s="403">
        <v>231</v>
      </c>
      <c r="P36" s="174">
        <v>4563</v>
      </c>
      <c r="Q36" s="403">
        <v>1047</v>
      </c>
      <c r="R36" s="403">
        <v>0</v>
      </c>
      <c r="S36" s="403">
        <v>277</v>
      </c>
      <c r="T36" s="403">
        <v>0</v>
      </c>
      <c r="U36" s="174">
        <v>5887</v>
      </c>
      <c r="V36" s="174">
        <v>5173</v>
      </c>
      <c r="W36" s="173">
        <v>11060</v>
      </c>
    </row>
    <row r="37" spans="1:23" ht="15.75" x14ac:dyDescent="0.25">
      <c r="A37" s="175">
        <v>2013</v>
      </c>
      <c r="B37" s="156">
        <v>122</v>
      </c>
      <c r="C37" s="174">
        <v>3426</v>
      </c>
      <c r="D37" s="156">
        <v>2069</v>
      </c>
      <c r="E37" s="156">
        <v>0</v>
      </c>
      <c r="F37" s="156">
        <v>103</v>
      </c>
      <c r="G37" s="156">
        <v>0</v>
      </c>
      <c r="H37" s="174">
        <f t="shared" si="1"/>
        <v>5598</v>
      </c>
      <c r="I37" s="174">
        <f>'Master escapements'!H46</f>
        <v>1573</v>
      </c>
      <c r="J37" s="173">
        <f t="shared" si="2"/>
        <v>7171</v>
      </c>
      <c r="K37" s="147">
        <f t="shared" si="0"/>
        <v>2069</v>
      </c>
      <c r="M37" s="173"/>
      <c r="N37" s="175"/>
      <c r="O37" s="403">
        <v>225</v>
      </c>
      <c r="P37" s="174">
        <v>4154</v>
      </c>
      <c r="Q37" s="403">
        <v>504</v>
      </c>
      <c r="R37" s="403">
        <v>0</v>
      </c>
      <c r="S37" s="403">
        <v>1770</v>
      </c>
      <c r="T37" s="403">
        <v>0</v>
      </c>
      <c r="U37" s="174">
        <v>6428</v>
      </c>
      <c r="V37" s="174">
        <v>6789</v>
      </c>
      <c r="W37" s="173">
        <v>13217</v>
      </c>
    </row>
    <row r="38" spans="1:23" ht="15.75" x14ac:dyDescent="0.25">
      <c r="A38" s="175">
        <v>2014</v>
      </c>
      <c r="B38" s="156">
        <v>103</v>
      </c>
      <c r="C38" s="174">
        <v>4927</v>
      </c>
      <c r="D38" s="156">
        <v>2397</v>
      </c>
      <c r="E38" s="156">
        <v>0</v>
      </c>
      <c r="F38" s="156">
        <v>330</v>
      </c>
      <c r="G38" s="156">
        <v>0</v>
      </c>
      <c r="H38" s="174">
        <f t="shared" si="1"/>
        <v>7654</v>
      </c>
      <c r="I38" s="174">
        <f>'Master escapements'!H47</f>
        <v>3025</v>
      </c>
      <c r="J38" s="173">
        <f t="shared" si="2"/>
        <v>10679</v>
      </c>
      <c r="K38" s="147">
        <f t="shared" si="0"/>
        <v>2397</v>
      </c>
      <c r="M38" s="173"/>
      <c r="N38" s="175"/>
      <c r="O38" s="403">
        <v>320</v>
      </c>
      <c r="P38" s="174">
        <v>7835</v>
      </c>
      <c r="Q38" s="403">
        <v>435</v>
      </c>
      <c r="R38" s="403">
        <v>20</v>
      </c>
      <c r="S38" s="403">
        <v>785</v>
      </c>
      <c r="T38" s="403">
        <v>0</v>
      </c>
      <c r="U38" s="174">
        <v>9075</v>
      </c>
      <c r="V38" s="174">
        <v>7049</v>
      </c>
      <c r="W38" s="173">
        <v>16124</v>
      </c>
    </row>
    <row r="39" spans="1:23" ht="15.75" x14ac:dyDescent="0.25">
      <c r="A39" s="175">
        <v>2015</v>
      </c>
      <c r="B39" s="156">
        <v>71</v>
      </c>
      <c r="C39" s="174">
        <v>3078</v>
      </c>
      <c r="D39" s="156">
        <v>380</v>
      </c>
      <c r="E39" s="156">
        <v>0</v>
      </c>
      <c r="F39" s="156">
        <v>118</v>
      </c>
      <c r="G39" s="156">
        <v>0</v>
      </c>
      <c r="H39" s="174">
        <f t="shared" si="1"/>
        <v>3576</v>
      </c>
      <c r="I39" s="174">
        <f>'Master escapements'!H48</f>
        <v>3281</v>
      </c>
      <c r="J39" s="173">
        <f t="shared" si="2"/>
        <v>6857</v>
      </c>
      <c r="K39" s="147">
        <f t="shared" si="0"/>
        <v>380</v>
      </c>
      <c r="L39" s="147">
        <f>MIN(I6:I39)</f>
        <v>1552</v>
      </c>
      <c r="M39" s="173"/>
      <c r="N39" s="175"/>
      <c r="O39" s="403">
        <v>246</v>
      </c>
      <c r="P39" s="174">
        <v>5751</v>
      </c>
      <c r="Q39" s="403">
        <v>1260</v>
      </c>
      <c r="R39" s="403">
        <v>0</v>
      </c>
      <c r="S39" s="403">
        <v>998</v>
      </c>
      <c r="T39" s="403">
        <v>0</v>
      </c>
      <c r="U39" s="174">
        <v>8009</v>
      </c>
      <c r="V39" s="174">
        <v>7109</v>
      </c>
      <c r="W39" s="173">
        <v>15118</v>
      </c>
    </row>
    <row r="40" spans="1:23" ht="15.75" x14ac:dyDescent="0.25">
      <c r="A40" s="172" t="s">
        <v>32</v>
      </c>
      <c r="B40" s="152"/>
      <c r="C40" s="172">
        <f>(AVERAGEA(C6:C39))</f>
        <v>4129.911764705882</v>
      </c>
      <c r="D40" s="152">
        <f t="shared" ref="D40:J40" si="3">(AVERAGEA(D6:D39))</f>
        <v>654.64705882352939</v>
      </c>
      <c r="E40" s="152">
        <f t="shared" si="3"/>
        <v>1.5</v>
      </c>
      <c r="F40" s="152">
        <f t="shared" si="3"/>
        <v>270.35294117647061</v>
      </c>
      <c r="G40" s="152">
        <f t="shared" si="3"/>
        <v>0.91176470588235292</v>
      </c>
      <c r="H40" s="172">
        <f>(AVERAGEA(H6:H39))</f>
        <v>5057.3235294117649</v>
      </c>
      <c r="I40" s="172">
        <f t="shared" si="3"/>
        <v>3139.8823529411766</v>
      </c>
      <c r="J40" s="171">
        <f t="shared" si="3"/>
        <v>8445.6060606060601</v>
      </c>
      <c r="L40" s="174"/>
      <c r="M40" s="174"/>
      <c r="N40" s="174"/>
    </row>
    <row r="41" spans="1:23" x14ac:dyDescent="0.2">
      <c r="A41" s="170"/>
      <c r="B41" s="168"/>
      <c r="C41" s="168"/>
      <c r="D41" s="168"/>
      <c r="E41" s="168"/>
      <c r="F41" s="168"/>
      <c r="G41" s="168"/>
      <c r="H41" s="169"/>
      <c r="I41" s="168"/>
      <c r="J41" s="168"/>
      <c r="V41" s="147">
        <f>COUNT(V7:V39)</f>
        <v>33</v>
      </c>
      <c r="W41" s="411">
        <f>V7/1300</f>
        <v>1.1938461538461538</v>
      </c>
    </row>
    <row r="42" spans="1:23" ht="13.15" customHeight="1" x14ac:dyDescent="0.25">
      <c r="A42" s="167" t="s">
        <v>83</v>
      </c>
      <c r="B42" s="166"/>
      <c r="C42" s="164"/>
      <c r="D42" s="164"/>
      <c r="E42" s="164"/>
      <c r="F42" s="164"/>
      <c r="G42" s="164"/>
      <c r="H42" s="165"/>
      <c r="I42" s="164"/>
      <c r="J42" s="164"/>
      <c r="V42" s="147">
        <f>COUNT(V25:V39)</f>
        <v>15</v>
      </c>
    </row>
    <row r="43" spans="1:23" ht="13.15" customHeight="1" x14ac:dyDescent="0.2">
      <c r="V43" s="147">
        <f>V41-V42</f>
        <v>18</v>
      </c>
    </row>
    <row r="44" spans="1:23" ht="13.15" customHeight="1" x14ac:dyDescent="0.2">
      <c r="M44" s="147">
        <f>AVERAGE(W17)</f>
        <v>6179</v>
      </c>
    </row>
    <row r="45" spans="1:23" ht="13.15" customHeight="1" x14ac:dyDescent="0.25">
      <c r="A45" s="163"/>
      <c r="B45" s="163" t="s">
        <v>33</v>
      </c>
      <c r="C45" s="161"/>
      <c r="D45" s="161"/>
      <c r="E45" s="161"/>
      <c r="F45" s="161" t="s">
        <v>65</v>
      </c>
      <c r="G45" s="162"/>
      <c r="H45" s="162"/>
      <c r="I45" s="161"/>
      <c r="J45" s="161"/>
    </row>
    <row r="46" spans="1:23" ht="13.15" customHeight="1" x14ac:dyDescent="0.25">
      <c r="A46" s="160"/>
      <c r="B46" s="160" t="s">
        <v>63</v>
      </c>
      <c r="C46" s="159"/>
      <c r="D46" s="159"/>
      <c r="E46" s="159" t="s">
        <v>82</v>
      </c>
      <c r="F46" s="159"/>
      <c r="G46" s="159" t="s">
        <v>81</v>
      </c>
      <c r="H46" s="159" t="s">
        <v>29</v>
      </c>
      <c r="I46" s="159"/>
      <c r="J46" s="159" t="s">
        <v>26</v>
      </c>
    </row>
    <row r="47" spans="1:23" ht="13.15" customHeight="1" x14ac:dyDescent="0.25">
      <c r="A47" s="158" t="s">
        <v>3</v>
      </c>
      <c r="B47" s="158" t="s">
        <v>80</v>
      </c>
      <c r="C47" s="158" t="s">
        <v>4</v>
      </c>
      <c r="D47" s="158" t="s">
        <v>79</v>
      </c>
      <c r="E47" s="158" t="s">
        <v>16</v>
      </c>
      <c r="F47" s="158" t="s">
        <v>17</v>
      </c>
      <c r="G47" s="158" t="s">
        <v>4</v>
      </c>
      <c r="H47" s="158" t="s">
        <v>23</v>
      </c>
      <c r="I47" s="158" t="s">
        <v>40</v>
      </c>
      <c r="J47" s="158" t="s">
        <v>78</v>
      </c>
    </row>
    <row r="48" spans="1:23" ht="15.75" x14ac:dyDescent="0.25">
      <c r="A48" s="157">
        <v>1982</v>
      </c>
      <c r="B48" s="156">
        <v>38</v>
      </c>
      <c r="C48" s="154">
        <f t="shared" ref="C48:J49" si="4">C6/$J6*100</f>
        <v>41.104948805460751</v>
      </c>
      <c r="D48" s="155">
        <f t="shared" si="4"/>
        <v>2.2610921501706485</v>
      </c>
      <c r="E48" s="154">
        <f t="shared" si="4"/>
        <v>0</v>
      </c>
      <c r="F48" s="155">
        <f t="shared" si="4"/>
        <v>0</v>
      </c>
      <c r="G48" s="154">
        <f t="shared" si="4"/>
        <v>0</v>
      </c>
      <c r="H48" s="154">
        <f t="shared" si="4"/>
        <v>43.366040955631405</v>
      </c>
      <c r="I48" s="154">
        <f t="shared" si="4"/>
        <v>56.633959044368595</v>
      </c>
      <c r="J48" s="154">
        <f t="shared" si="4"/>
        <v>100</v>
      </c>
      <c r="K48" s="411">
        <f t="shared" ref="K48:K75" si="5">D48/(I48+D48)</f>
        <v>3.8391886997464694E-2</v>
      </c>
      <c r="L48" s="147">
        <f>SUM(C48:E48)</f>
        <v>43.366040955631398</v>
      </c>
    </row>
    <row r="49" spans="1:15" ht="15.75" x14ac:dyDescent="0.25">
      <c r="A49" s="157">
        <v>1983</v>
      </c>
      <c r="B49" s="156">
        <v>93</v>
      </c>
      <c r="C49" s="154">
        <f t="shared" si="4"/>
        <v>54.048812025214154</v>
      </c>
      <c r="D49" s="155">
        <f t="shared" si="4"/>
        <v>14.740585097785679</v>
      </c>
      <c r="E49" s="154">
        <f t="shared" si="4"/>
        <v>0</v>
      </c>
      <c r="F49" s="155">
        <f t="shared" si="4"/>
        <v>0</v>
      </c>
      <c r="G49" s="154">
        <f t="shared" si="4"/>
        <v>0</v>
      </c>
      <c r="H49" s="154">
        <f t="shared" si="4"/>
        <v>68.789397122999844</v>
      </c>
      <c r="I49" s="154">
        <f t="shared" si="4"/>
        <v>31.210602877000159</v>
      </c>
      <c r="J49" s="154">
        <f t="shared" si="4"/>
        <v>100</v>
      </c>
      <c r="K49" s="411">
        <f t="shared" si="5"/>
        <v>0.32078790010552233</v>
      </c>
      <c r="L49" s="147">
        <f>SUM(C49:E49)</f>
        <v>68.78939712299983</v>
      </c>
    </row>
    <row r="50" spans="1:15" ht="15.75" x14ac:dyDescent="0.25">
      <c r="A50" s="157">
        <v>1984</v>
      </c>
      <c r="B50" s="156"/>
      <c r="C50" s="154"/>
      <c r="D50" s="155"/>
      <c r="E50" s="154"/>
      <c r="F50" s="155"/>
      <c r="G50" s="154"/>
      <c r="H50" s="154"/>
      <c r="I50" s="154"/>
      <c r="J50" s="154"/>
      <c r="K50" s="411"/>
    </row>
    <row r="51" spans="1:15" ht="15.75" x14ac:dyDescent="0.25">
      <c r="A51" s="157">
        <v>1985</v>
      </c>
      <c r="B51" s="156">
        <v>49</v>
      </c>
      <c r="C51" s="154">
        <f t="shared" ref="C51:J60" si="6">C9/$J9*100</f>
        <v>51.643778610070747</v>
      </c>
      <c r="D51" s="155">
        <f t="shared" si="6"/>
        <v>0</v>
      </c>
      <c r="E51" s="154">
        <f t="shared" si="6"/>
        <v>0</v>
      </c>
      <c r="F51" s="155">
        <f t="shared" si="6"/>
        <v>0</v>
      </c>
      <c r="G51" s="154">
        <f t="shared" si="6"/>
        <v>0</v>
      </c>
      <c r="H51" s="154">
        <f t="shared" si="6"/>
        <v>51.643778610070747</v>
      </c>
      <c r="I51" s="154">
        <f t="shared" si="6"/>
        <v>48.356221389929253</v>
      </c>
      <c r="J51" s="154">
        <f t="shared" si="6"/>
        <v>100</v>
      </c>
      <c r="K51" s="411">
        <f t="shared" si="5"/>
        <v>0</v>
      </c>
      <c r="L51" s="147">
        <f t="shared" ref="L51:L81" si="7">SUM(C51:E51)</f>
        <v>51.643778610070747</v>
      </c>
    </row>
    <row r="52" spans="1:15" ht="15.75" x14ac:dyDescent="0.25">
      <c r="A52" s="157">
        <v>1986</v>
      </c>
      <c r="B52" s="156">
        <v>87</v>
      </c>
      <c r="C52" s="154">
        <f t="shared" si="6"/>
        <v>60.590531966813074</v>
      </c>
      <c r="D52" s="155">
        <f t="shared" si="6"/>
        <v>1.5373352855051245</v>
      </c>
      <c r="E52" s="154">
        <f t="shared" si="6"/>
        <v>0</v>
      </c>
      <c r="F52" s="155">
        <f t="shared" si="6"/>
        <v>0</v>
      </c>
      <c r="G52" s="154">
        <f t="shared" si="6"/>
        <v>0</v>
      </c>
      <c r="H52" s="154">
        <f t="shared" si="6"/>
        <v>62.127867252318204</v>
      </c>
      <c r="I52" s="154">
        <f t="shared" si="6"/>
        <v>37.872132747681796</v>
      </c>
      <c r="J52" s="154">
        <f t="shared" si="6"/>
        <v>100</v>
      </c>
      <c r="K52" s="411">
        <f t="shared" si="5"/>
        <v>3.9009287925696599E-2</v>
      </c>
      <c r="L52" s="147">
        <f t="shared" si="7"/>
        <v>62.127867252318197</v>
      </c>
    </row>
    <row r="53" spans="1:15" ht="15.75" x14ac:dyDescent="0.25">
      <c r="A53" s="157">
        <v>1987</v>
      </c>
      <c r="B53" s="156">
        <v>71</v>
      </c>
      <c r="C53" s="154">
        <f t="shared" si="6"/>
        <v>45.097432725023204</v>
      </c>
      <c r="D53" s="155">
        <f t="shared" si="6"/>
        <v>2.5054129291679552</v>
      </c>
      <c r="E53" s="154">
        <f t="shared" si="6"/>
        <v>0</v>
      </c>
      <c r="F53" s="155">
        <f t="shared" si="6"/>
        <v>0</v>
      </c>
      <c r="G53" s="154">
        <f t="shared" si="6"/>
        <v>0</v>
      </c>
      <c r="H53" s="154">
        <f t="shared" si="6"/>
        <v>47.602845654191157</v>
      </c>
      <c r="I53" s="154">
        <f t="shared" si="6"/>
        <v>52.39715434580885</v>
      </c>
      <c r="J53" s="154">
        <f t="shared" si="6"/>
        <v>100</v>
      </c>
      <c r="K53" s="411">
        <f t="shared" si="5"/>
        <v>4.5633802816901402E-2</v>
      </c>
      <c r="L53" s="147">
        <f t="shared" si="7"/>
        <v>47.602845654191157</v>
      </c>
    </row>
    <row r="54" spans="1:15" ht="15.75" x14ac:dyDescent="0.25">
      <c r="A54" s="157">
        <v>1988</v>
      </c>
      <c r="B54" s="156">
        <v>151</v>
      </c>
      <c r="C54" s="154">
        <f t="shared" si="6"/>
        <v>46.839654025282769</v>
      </c>
      <c r="D54" s="155">
        <f t="shared" si="6"/>
        <v>0.76513639387890886</v>
      </c>
      <c r="E54" s="154">
        <f t="shared" si="6"/>
        <v>0</v>
      </c>
      <c r="F54" s="155">
        <f t="shared" si="6"/>
        <v>0</v>
      </c>
      <c r="G54" s="154">
        <f t="shared" si="6"/>
        <v>0.5156353958749168</v>
      </c>
      <c r="H54" s="154">
        <f t="shared" si="6"/>
        <v>48.120425815036597</v>
      </c>
      <c r="I54" s="154">
        <f t="shared" si="6"/>
        <v>51.879574184963403</v>
      </c>
      <c r="J54" s="154">
        <f t="shared" si="6"/>
        <v>100</v>
      </c>
      <c r="K54" s="411">
        <f t="shared" si="5"/>
        <v>1.4533965244865719E-2</v>
      </c>
      <c r="L54" s="147">
        <f t="shared" si="7"/>
        <v>47.604790419161681</v>
      </c>
      <c r="O54" s="317"/>
    </row>
    <row r="55" spans="1:15" ht="15.75" x14ac:dyDescent="0.25">
      <c r="A55" s="157">
        <v>1989</v>
      </c>
      <c r="B55" s="156">
        <v>221</v>
      </c>
      <c r="C55" s="154">
        <f t="shared" si="6"/>
        <v>61.672077922077918</v>
      </c>
      <c r="D55" s="155">
        <f t="shared" si="6"/>
        <v>3.0032467532467533</v>
      </c>
      <c r="E55" s="154">
        <f t="shared" si="6"/>
        <v>0</v>
      </c>
      <c r="F55" s="155">
        <f t="shared" si="6"/>
        <v>0</v>
      </c>
      <c r="G55" s="154">
        <f t="shared" si="6"/>
        <v>0</v>
      </c>
      <c r="H55" s="154">
        <f t="shared" si="6"/>
        <v>64.675324675324674</v>
      </c>
      <c r="I55" s="154">
        <f t="shared" si="6"/>
        <v>35.324675324675326</v>
      </c>
      <c r="J55" s="154">
        <f t="shared" si="6"/>
        <v>100</v>
      </c>
      <c r="K55" s="411">
        <f t="shared" si="5"/>
        <v>7.8356628547225748E-2</v>
      </c>
      <c r="L55" s="147">
        <f t="shared" si="7"/>
        <v>64.675324675324674</v>
      </c>
      <c r="O55" s="317"/>
    </row>
    <row r="56" spans="1:15" ht="15.75" x14ac:dyDescent="0.25">
      <c r="A56" s="157">
        <v>1990</v>
      </c>
      <c r="B56" s="156">
        <v>174</v>
      </c>
      <c r="C56" s="154">
        <f t="shared" si="6"/>
        <v>56.5415244596132</v>
      </c>
      <c r="D56" s="155">
        <f t="shared" si="6"/>
        <v>1.8960940462646947</v>
      </c>
      <c r="E56" s="154">
        <f t="shared" si="6"/>
        <v>0</v>
      </c>
      <c r="F56" s="155">
        <f t="shared" si="6"/>
        <v>0</v>
      </c>
      <c r="G56" s="154">
        <f t="shared" si="6"/>
        <v>0</v>
      </c>
      <c r="H56" s="154">
        <f t="shared" si="6"/>
        <v>58.437618505877886</v>
      </c>
      <c r="I56" s="154">
        <f t="shared" si="6"/>
        <v>41.562381494122107</v>
      </c>
      <c r="J56" s="154">
        <f t="shared" si="6"/>
        <v>100</v>
      </c>
      <c r="K56" s="411">
        <f t="shared" si="5"/>
        <v>4.3630017452006981E-2</v>
      </c>
      <c r="L56" s="147">
        <f t="shared" si="7"/>
        <v>58.437618505877893</v>
      </c>
      <c r="O56" s="317"/>
    </row>
    <row r="57" spans="1:15" ht="15.75" x14ac:dyDescent="0.25">
      <c r="A57" s="157">
        <v>1991</v>
      </c>
      <c r="B57" s="156">
        <v>193</v>
      </c>
      <c r="C57" s="154">
        <f t="shared" si="6"/>
        <v>53.223662346294454</v>
      </c>
      <c r="D57" s="155">
        <f t="shared" si="6"/>
        <v>0.7311399135925557</v>
      </c>
      <c r="E57" s="154">
        <f t="shared" si="6"/>
        <v>0.16616816218012628</v>
      </c>
      <c r="F57" s="155">
        <f t="shared" si="6"/>
        <v>0</v>
      </c>
      <c r="G57" s="154">
        <f t="shared" si="6"/>
        <v>0</v>
      </c>
      <c r="H57" s="154">
        <f t="shared" si="6"/>
        <v>54.120970422067124</v>
      </c>
      <c r="I57" s="154">
        <f t="shared" si="6"/>
        <v>45.879029577932869</v>
      </c>
      <c r="J57" s="154">
        <f t="shared" si="6"/>
        <v>100</v>
      </c>
      <c r="K57" s="411">
        <f t="shared" si="5"/>
        <v>1.5686274509803921E-2</v>
      </c>
      <c r="L57" s="147">
        <f t="shared" si="7"/>
        <v>54.120970422067138</v>
      </c>
      <c r="O57" s="317"/>
    </row>
    <row r="58" spans="1:15" ht="15.75" x14ac:dyDescent="0.25">
      <c r="A58" s="157">
        <v>1992</v>
      </c>
      <c r="B58" s="156">
        <v>199</v>
      </c>
      <c r="C58" s="154">
        <f t="shared" si="6"/>
        <v>56.165116030371088</v>
      </c>
      <c r="D58" s="155">
        <f t="shared" si="6"/>
        <v>2.4917121163511924</v>
      </c>
      <c r="E58" s="154">
        <f t="shared" si="6"/>
        <v>0</v>
      </c>
      <c r="F58" s="155">
        <f t="shared" si="6"/>
        <v>0</v>
      </c>
      <c r="G58" s="154">
        <f t="shared" si="6"/>
        <v>0</v>
      </c>
      <c r="H58" s="154">
        <f t="shared" si="6"/>
        <v>58.656828146722276</v>
      </c>
      <c r="I58" s="154">
        <f t="shared" si="6"/>
        <v>41.343171853277724</v>
      </c>
      <c r="J58" s="154">
        <f t="shared" si="6"/>
        <v>100</v>
      </c>
      <c r="K58" s="411">
        <f t="shared" si="5"/>
        <v>5.6843132471334469E-2</v>
      </c>
      <c r="L58" s="147">
        <f t="shared" si="7"/>
        <v>58.656828146722283</v>
      </c>
    </row>
    <row r="59" spans="1:15" ht="15.75" x14ac:dyDescent="0.25">
      <c r="A59" s="157">
        <v>1993</v>
      </c>
      <c r="B59" s="156">
        <v>349</v>
      </c>
      <c r="C59" s="154">
        <f t="shared" si="6"/>
        <v>61.690948172916173</v>
      </c>
      <c r="D59" s="155">
        <f t="shared" si="6"/>
        <v>3.4551389220603452</v>
      </c>
      <c r="E59" s="154">
        <f t="shared" si="6"/>
        <v>0</v>
      </c>
      <c r="F59" s="155">
        <f t="shared" si="6"/>
        <v>1.4011623278401402</v>
      </c>
      <c r="G59" s="154">
        <f t="shared" si="6"/>
        <v>0</v>
      </c>
      <c r="H59" s="154">
        <f t="shared" si="6"/>
        <v>66.547249422816662</v>
      </c>
      <c r="I59" s="154">
        <f t="shared" si="6"/>
        <v>33.452750577183345</v>
      </c>
      <c r="J59" s="154">
        <f t="shared" si="6"/>
        <v>100</v>
      </c>
      <c r="K59" s="411">
        <f t="shared" si="5"/>
        <v>9.3615185504745471E-2</v>
      </c>
      <c r="L59" s="147">
        <f t="shared" si="7"/>
        <v>65.146087094976522</v>
      </c>
    </row>
    <row r="60" spans="1:15" ht="15.75" x14ac:dyDescent="0.25">
      <c r="A60" s="157">
        <v>1994</v>
      </c>
      <c r="B60" s="156">
        <v>236</v>
      </c>
      <c r="C60" s="154">
        <f t="shared" si="6"/>
        <v>59.684861147383991</v>
      </c>
      <c r="D60" s="155">
        <f t="shared" si="6"/>
        <v>8.8796030295116228</v>
      </c>
      <c r="E60" s="154">
        <f t="shared" si="6"/>
        <v>0</v>
      </c>
      <c r="F60" s="155">
        <f t="shared" si="6"/>
        <v>3.3429093758161401</v>
      </c>
      <c r="G60" s="154">
        <f t="shared" si="6"/>
        <v>0</v>
      </c>
      <c r="H60" s="154">
        <f t="shared" si="6"/>
        <v>71.907373552711761</v>
      </c>
      <c r="I60" s="154">
        <f t="shared" si="6"/>
        <v>28.092626447288239</v>
      </c>
      <c r="J60" s="154">
        <f t="shared" si="6"/>
        <v>100</v>
      </c>
      <c r="K60" s="411">
        <f t="shared" si="5"/>
        <v>0.24016953143395342</v>
      </c>
      <c r="L60" s="147">
        <f t="shared" si="7"/>
        <v>68.564464176895612</v>
      </c>
    </row>
    <row r="61" spans="1:15" ht="15.75" x14ac:dyDescent="0.25">
      <c r="A61" s="157">
        <v>1995</v>
      </c>
      <c r="B61" s="156">
        <v>91</v>
      </c>
      <c r="C61" s="154">
        <f t="shared" ref="C61:J70" si="8">C19/$J19*100</f>
        <v>52.777368498600261</v>
      </c>
      <c r="D61" s="155">
        <f t="shared" si="8"/>
        <v>11.183144246353322</v>
      </c>
      <c r="E61" s="154">
        <f t="shared" si="8"/>
        <v>0</v>
      </c>
      <c r="F61" s="155">
        <f t="shared" si="8"/>
        <v>0</v>
      </c>
      <c r="G61" s="154">
        <f t="shared" si="8"/>
        <v>0</v>
      </c>
      <c r="H61" s="154">
        <f t="shared" si="8"/>
        <v>63.96051274495359</v>
      </c>
      <c r="I61" s="154">
        <f t="shared" si="8"/>
        <v>36.03948725504641</v>
      </c>
      <c r="J61" s="154">
        <f t="shared" si="8"/>
        <v>100</v>
      </c>
      <c r="K61" s="411">
        <f t="shared" si="5"/>
        <v>0.23681747269890796</v>
      </c>
      <c r="L61" s="147">
        <f t="shared" si="7"/>
        <v>63.960512744953583</v>
      </c>
    </row>
    <row r="62" spans="1:15" ht="15.75" x14ac:dyDescent="0.25">
      <c r="A62" s="157">
        <v>1996</v>
      </c>
      <c r="B62" s="156">
        <v>64</v>
      </c>
      <c r="C62" s="154">
        <f t="shared" si="8"/>
        <v>52.575034106412012</v>
      </c>
      <c r="D62" s="155">
        <f t="shared" si="8"/>
        <v>0</v>
      </c>
      <c r="E62" s="154">
        <f t="shared" si="8"/>
        <v>0</v>
      </c>
      <c r="F62" s="155">
        <f t="shared" si="8"/>
        <v>4.7919508867667115</v>
      </c>
      <c r="G62" s="154">
        <f t="shared" si="8"/>
        <v>0</v>
      </c>
      <c r="H62" s="154">
        <f t="shared" si="8"/>
        <v>57.366984993178718</v>
      </c>
      <c r="I62" s="154">
        <f t="shared" si="8"/>
        <v>42.633015006821282</v>
      </c>
      <c r="J62" s="154">
        <f t="shared" si="8"/>
        <v>100</v>
      </c>
      <c r="K62" s="411">
        <f t="shared" si="5"/>
        <v>0</v>
      </c>
      <c r="L62" s="147">
        <f t="shared" si="7"/>
        <v>52.575034106412012</v>
      </c>
    </row>
    <row r="63" spans="1:15" ht="15.75" x14ac:dyDescent="0.25">
      <c r="A63" s="157">
        <v>1997</v>
      </c>
      <c r="B63" s="156">
        <v>241</v>
      </c>
      <c r="C63" s="154">
        <f t="shared" si="8"/>
        <v>48.12199365469246</v>
      </c>
      <c r="D63" s="155">
        <f t="shared" si="8"/>
        <v>0</v>
      </c>
      <c r="E63" s="154">
        <f t="shared" si="8"/>
        <v>0</v>
      </c>
      <c r="F63" s="155">
        <f t="shared" si="8"/>
        <v>3.5922628185446732</v>
      </c>
      <c r="G63" s="154">
        <f t="shared" si="8"/>
        <v>0</v>
      </c>
      <c r="H63" s="154">
        <f t="shared" si="8"/>
        <v>51.714256473237128</v>
      </c>
      <c r="I63" s="154">
        <f t="shared" si="8"/>
        <v>48.285743526762872</v>
      </c>
      <c r="J63" s="154">
        <f t="shared" si="8"/>
        <v>100</v>
      </c>
      <c r="K63" s="411">
        <f t="shared" si="5"/>
        <v>0</v>
      </c>
      <c r="L63" s="147">
        <f t="shared" si="7"/>
        <v>48.12199365469246</v>
      </c>
    </row>
    <row r="64" spans="1:15" ht="15.75" x14ac:dyDescent="0.25">
      <c r="A64" s="157">
        <v>1998</v>
      </c>
      <c r="B64" s="156">
        <v>315</v>
      </c>
      <c r="C64" s="154">
        <f t="shared" si="8"/>
        <v>48.592160754155294</v>
      </c>
      <c r="D64" s="155">
        <f t="shared" si="8"/>
        <v>2.6978417266187051</v>
      </c>
      <c r="E64" s="154">
        <f t="shared" si="8"/>
        <v>0.12403870007442323</v>
      </c>
      <c r="F64" s="155">
        <f t="shared" si="8"/>
        <v>4.868518977921112</v>
      </c>
      <c r="G64" s="154">
        <f t="shared" si="8"/>
        <v>0</v>
      </c>
      <c r="H64" s="154">
        <f t="shared" si="8"/>
        <v>56.282560158769535</v>
      </c>
      <c r="I64" s="154">
        <f t="shared" si="8"/>
        <v>43.717439841230465</v>
      </c>
      <c r="J64" s="154">
        <f t="shared" si="8"/>
        <v>100</v>
      </c>
      <c r="K64" s="411">
        <f t="shared" si="5"/>
        <v>5.8123997862105828E-2</v>
      </c>
      <c r="L64" s="147">
        <f t="shared" si="7"/>
        <v>51.414041180848422</v>
      </c>
    </row>
    <row r="65" spans="1:12" ht="15.75" x14ac:dyDescent="0.25">
      <c r="A65" s="157">
        <v>1999</v>
      </c>
      <c r="B65" s="156">
        <v>145</v>
      </c>
      <c r="C65" s="154">
        <f t="shared" si="8"/>
        <v>57.802844531633156</v>
      </c>
      <c r="D65" s="155">
        <f t="shared" si="8"/>
        <v>0.64737616478666016</v>
      </c>
      <c r="E65" s="154">
        <f t="shared" si="8"/>
        <v>0</v>
      </c>
      <c r="F65" s="155">
        <f t="shared" si="8"/>
        <v>4.2766061794997547</v>
      </c>
      <c r="G65" s="154">
        <f t="shared" si="8"/>
        <v>0</v>
      </c>
      <c r="H65" s="154">
        <f t="shared" si="8"/>
        <v>62.726826875919571</v>
      </c>
      <c r="I65" s="154">
        <f t="shared" si="8"/>
        <v>37.273173124080436</v>
      </c>
      <c r="J65" s="154">
        <f t="shared" si="8"/>
        <v>100</v>
      </c>
      <c r="K65" s="411">
        <f t="shared" si="5"/>
        <v>1.7071908949818936E-2</v>
      </c>
      <c r="L65" s="147">
        <f t="shared" si="7"/>
        <v>58.450220696419812</v>
      </c>
    </row>
    <row r="66" spans="1:12" ht="15.75" x14ac:dyDescent="0.25">
      <c r="A66" s="157">
        <v>2000</v>
      </c>
      <c r="B66" s="156">
        <v>193</v>
      </c>
      <c r="C66" s="154">
        <f t="shared" si="8"/>
        <v>57.199652130699462</v>
      </c>
      <c r="D66" s="155">
        <f t="shared" si="8"/>
        <v>11.380295688905454</v>
      </c>
      <c r="E66" s="154">
        <f t="shared" si="8"/>
        <v>0.17393465026711391</v>
      </c>
      <c r="F66" s="155">
        <f t="shared" si="8"/>
        <v>2.6214436575972169</v>
      </c>
      <c r="G66" s="154">
        <f t="shared" si="8"/>
        <v>0</v>
      </c>
      <c r="H66" s="154">
        <f t="shared" si="8"/>
        <v>71.375326127469251</v>
      </c>
      <c r="I66" s="154">
        <f t="shared" si="8"/>
        <v>28.624673872530749</v>
      </c>
      <c r="J66" s="154">
        <f t="shared" si="8"/>
        <v>100</v>
      </c>
      <c r="K66" s="411">
        <f t="shared" si="5"/>
        <v>0.28447204968944095</v>
      </c>
      <c r="L66" s="147">
        <f t="shared" si="7"/>
        <v>68.753882469872025</v>
      </c>
    </row>
    <row r="67" spans="1:12" ht="15.75" x14ac:dyDescent="0.25">
      <c r="A67" s="157">
        <v>2001</v>
      </c>
      <c r="B67" s="156">
        <v>131</v>
      </c>
      <c r="C67" s="154">
        <f t="shared" si="8"/>
        <v>67.489855072463769</v>
      </c>
      <c r="D67" s="155">
        <f t="shared" si="8"/>
        <v>1.3333333333333335</v>
      </c>
      <c r="E67" s="154">
        <f t="shared" si="8"/>
        <v>0</v>
      </c>
      <c r="F67" s="155">
        <f t="shared" si="8"/>
        <v>5.5652173913043477</v>
      </c>
      <c r="G67" s="154">
        <f t="shared" si="8"/>
        <v>0</v>
      </c>
      <c r="H67" s="154">
        <f t="shared" si="8"/>
        <v>74.388405797101456</v>
      </c>
      <c r="I67" s="154">
        <f t="shared" si="8"/>
        <v>25.611594202898551</v>
      </c>
      <c r="J67" s="154">
        <f t="shared" si="8"/>
        <v>100</v>
      </c>
      <c r="K67" s="411">
        <f t="shared" si="5"/>
        <v>4.9483648881239246E-2</v>
      </c>
      <c r="L67" s="147">
        <f t="shared" si="7"/>
        <v>68.823188405797097</v>
      </c>
    </row>
    <row r="68" spans="1:12" ht="15.75" x14ac:dyDescent="0.25">
      <c r="A68" s="157">
        <v>2002</v>
      </c>
      <c r="B68" s="156">
        <v>246</v>
      </c>
      <c r="C68" s="154">
        <f t="shared" si="8"/>
        <v>38.040746130440532</v>
      </c>
      <c r="D68" s="155">
        <f t="shared" si="8"/>
        <v>8.3344357719275042</v>
      </c>
      <c r="E68" s="154">
        <f t="shared" si="8"/>
        <v>0</v>
      </c>
      <c r="F68" s="155">
        <f t="shared" si="8"/>
        <v>6.6014023018917847</v>
      </c>
      <c r="G68" s="154">
        <f t="shared" si="8"/>
        <v>0</v>
      </c>
      <c r="H68" s="154">
        <f t="shared" si="8"/>
        <v>52.976584204259822</v>
      </c>
      <c r="I68" s="154">
        <f t="shared" si="8"/>
        <v>47.023415795740178</v>
      </c>
      <c r="J68" s="154">
        <f t="shared" si="8"/>
        <v>100</v>
      </c>
      <c r="K68" s="411">
        <f t="shared" si="5"/>
        <v>0.15055562193810493</v>
      </c>
      <c r="L68" s="147">
        <f t="shared" si="7"/>
        <v>46.375181902368034</v>
      </c>
    </row>
    <row r="69" spans="1:12" ht="15.75" x14ac:dyDescent="0.25">
      <c r="A69" s="157">
        <v>2003</v>
      </c>
      <c r="B69" s="156">
        <f t="shared" ref="B69:B80" si="9">B27</f>
        <v>225</v>
      </c>
      <c r="C69" s="154">
        <f t="shared" si="8"/>
        <v>31.4292199440115</v>
      </c>
      <c r="D69" s="155">
        <f t="shared" si="8"/>
        <v>3.813270787622002</v>
      </c>
      <c r="E69" s="154">
        <f t="shared" si="8"/>
        <v>0</v>
      </c>
      <c r="F69" s="155">
        <f t="shared" si="8"/>
        <v>13.391843837482032</v>
      </c>
      <c r="G69" s="154">
        <f t="shared" si="8"/>
        <v>0</v>
      </c>
      <c r="H69" s="154">
        <f t="shared" si="8"/>
        <v>48.634334569115531</v>
      </c>
      <c r="I69" s="154">
        <f t="shared" si="8"/>
        <v>51.365665430884469</v>
      </c>
      <c r="J69" s="154">
        <f t="shared" si="8"/>
        <v>100</v>
      </c>
      <c r="K69" s="411">
        <f t="shared" si="5"/>
        <v>6.9107363225010279E-2</v>
      </c>
      <c r="L69" s="147">
        <f t="shared" si="7"/>
        <v>35.242490731633502</v>
      </c>
    </row>
    <row r="70" spans="1:12" ht="15.75" x14ac:dyDescent="0.25">
      <c r="A70" s="157">
        <v>2004</v>
      </c>
      <c r="B70" s="156">
        <f t="shared" si="9"/>
        <v>153</v>
      </c>
      <c r="C70" s="154">
        <f t="shared" si="8"/>
        <v>63.797091870456043</v>
      </c>
      <c r="D70" s="155">
        <f t="shared" si="8"/>
        <v>4.3291473892927961</v>
      </c>
      <c r="E70" s="154">
        <f t="shared" si="8"/>
        <v>0</v>
      </c>
      <c r="F70" s="155">
        <f t="shared" si="8"/>
        <v>2.6354923992068739</v>
      </c>
      <c r="G70" s="154">
        <f t="shared" si="8"/>
        <v>0</v>
      </c>
      <c r="H70" s="154">
        <f t="shared" si="8"/>
        <v>70.761731658955711</v>
      </c>
      <c r="I70" s="154">
        <f t="shared" si="8"/>
        <v>29.238268341044282</v>
      </c>
      <c r="J70" s="154">
        <f t="shared" si="8"/>
        <v>100</v>
      </c>
      <c r="K70" s="411">
        <f t="shared" si="5"/>
        <v>0.12896874230863897</v>
      </c>
      <c r="L70" s="147">
        <f t="shared" si="7"/>
        <v>68.126239259748843</v>
      </c>
    </row>
    <row r="71" spans="1:12" ht="15.75" x14ac:dyDescent="0.25">
      <c r="A71" s="157">
        <v>2005</v>
      </c>
      <c r="B71" s="156">
        <f t="shared" si="9"/>
        <v>81</v>
      </c>
      <c r="C71" s="154">
        <f t="shared" ref="C71:J80" si="10">C29/$J29*100</f>
        <v>50.716190852514075</v>
      </c>
      <c r="D71" s="155">
        <f t="shared" si="10"/>
        <v>0.59270967104613259</v>
      </c>
      <c r="E71" s="154">
        <f t="shared" si="10"/>
        <v>0</v>
      </c>
      <c r="F71" s="155">
        <f t="shared" si="10"/>
        <v>6.6383483157166845</v>
      </c>
      <c r="G71" s="154">
        <f t="shared" si="10"/>
        <v>0</v>
      </c>
      <c r="H71" s="154">
        <f t="shared" si="10"/>
        <v>57.947248839276902</v>
      </c>
      <c r="I71" s="154">
        <f t="shared" si="10"/>
        <v>42.052751160723105</v>
      </c>
      <c r="J71" s="154">
        <f t="shared" si="10"/>
        <v>100</v>
      </c>
      <c r="K71" s="411">
        <f t="shared" si="5"/>
        <v>1.3898540653231413E-2</v>
      </c>
      <c r="L71" s="147">
        <f t="shared" si="7"/>
        <v>51.308900523560204</v>
      </c>
    </row>
    <row r="72" spans="1:12" ht="15.75" x14ac:dyDescent="0.25">
      <c r="A72" s="157">
        <v>2006</v>
      </c>
      <c r="B72" s="156">
        <f t="shared" si="9"/>
        <v>137</v>
      </c>
      <c r="C72" s="154">
        <f t="shared" si="10"/>
        <v>39.39270429997962</v>
      </c>
      <c r="D72" s="155">
        <f t="shared" si="10"/>
        <v>3.7395557367026697</v>
      </c>
      <c r="E72" s="154">
        <f t="shared" si="10"/>
        <v>0</v>
      </c>
      <c r="F72" s="155">
        <f t="shared" si="10"/>
        <v>8.5999592418993274</v>
      </c>
      <c r="G72" s="154">
        <f t="shared" si="10"/>
        <v>0</v>
      </c>
      <c r="H72" s="154">
        <f t="shared" si="10"/>
        <v>51.732219278581617</v>
      </c>
      <c r="I72" s="154">
        <f t="shared" si="10"/>
        <v>48.267780721418383</v>
      </c>
      <c r="J72" s="154">
        <f t="shared" si="10"/>
        <v>100</v>
      </c>
      <c r="K72" s="411">
        <f t="shared" si="5"/>
        <v>7.1904388714733536E-2</v>
      </c>
      <c r="L72" s="147">
        <f t="shared" si="7"/>
        <v>43.13226003668229</v>
      </c>
    </row>
    <row r="73" spans="1:12" ht="15.75" x14ac:dyDescent="0.25">
      <c r="A73" s="157">
        <v>2007</v>
      </c>
      <c r="B73" s="156">
        <f t="shared" si="9"/>
        <v>188</v>
      </c>
      <c r="C73" s="154">
        <f t="shared" si="10"/>
        <v>65.462727902146327</v>
      </c>
      <c r="D73" s="155">
        <f t="shared" si="10"/>
        <v>2.5040387722132471</v>
      </c>
      <c r="E73" s="154">
        <f t="shared" si="10"/>
        <v>8.0775444264943458E-2</v>
      </c>
      <c r="F73" s="155">
        <f t="shared" si="10"/>
        <v>2.3309485345026539</v>
      </c>
      <c r="G73" s="154">
        <f t="shared" si="10"/>
        <v>0</v>
      </c>
      <c r="H73" s="154">
        <f t="shared" si="10"/>
        <v>70.378490653127173</v>
      </c>
      <c r="I73" s="154">
        <f t="shared" si="10"/>
        <v>29.621509346872838</v>
      </c>
      <c r="J73" s="154">
        <f t="shared" si="10"/>
        <v>100</v>
      </c>
      <c r="K73" s="411">
        <f t="shared" si="5"/>
        <v>7.7945402298850566E-2</v>
      </c>
      <c r="L73" s="147">
        <f t="shared" si="7"/>
        <v>68.04754211862452</v>
      </c>
    </row>
    <row r="74" spans="1:12" ht="15.75" x14ac:dyDescent="0.25">
      <c r="A74" s="157">
        <v>2008</v>
      </c>
      <c r="B74" s="156">
        <f t="shared" si="9"/>
        <v>231</v>
      </c>
      <c r="C74" s="154">
        <f t="shared" si="10"/>
        <v>41.256781193490056</v>
      </c>
      <c r="D74" s="155">
        <f t="shared" si="10"/>
        <v>9.4665461121157328</v>
      </c>
      <c r="E74" s="154">
        <f t="shared" si="10"/>
        <v>0</v>
      </c>
      <c r="F74" s="155">
        <f t="shared" si="10"/>
        <v>2.5045207956600359</v>
      </c>
      <c r="G74" s="154">
        <f t="shared" si="10"/>
        <v>0</v>
      </c>
      <c r="H74" s="154">
        <f t="shared" si="10"/>
        <v>53.22784810126582</v>
      </c>
      <c r="I74" s="154">
        <f t="shared" si="10"/>
        <v>46.77215189873418</v>
      </c>
      <c r="J74" s="154">
        <f t="shared" si="10"/>
        <v>100</v>
      </c>
      <c r="K74" s="411">
        <f t="shared" si="5"/>
        <v>0.16832797427652732</v>
      </c>
      <c r="L74" s="147">
        <f t="shared" si="7"/>
        <v>50.723327305605793</v>
      </c>
    </row>
    <row r="75" spans="1:12" ht="15.75" x14ac:dyDescent="0.25">
      <c r="A75" s="157">
        <v>2009</v>
      </c>
      <c r="B75" s="156">
        <f t="shared" si="9"/>
        <v>156</v>
      </c>
      <c r="C75" s="154">
        <f t="shared" si="10"/>
        <v>64.60847600336794</v>
      </c>
      <c r="D75" s="155">
        <f t="shared" si="10"/>
        <v>3.4802133033960145</v>
      </c>
      <c r="E75" s="154">
        <f t="shared" si="10"/>
        <v>0</v>
      </c>
      <c r="F75" s="155">
        <f t="shared" si="10"/>
        <v>1.3050799887735054</v>
      </c>
      <c r="G75" s="154">
        <f t="shared" si="10"/>
        <v>0</v>
      </c>
      <c r="H75" s="154">
        <f t="shared" si="10"/>
        <v>69.393769295537467</v>
      </c>
      <c r="I75" s="154">
        <f t="shared" si="10"/>
        <v>30.606230704462533</v>
      </c>
      <c r="J75" s="154">
        <f t="shared" si="10"/>
        <v>100</v>
      </c>
      <c r="K75" s="411">
        <f t="shared" si="5"/>
        <v>0.10209962947715109</v>
      </c>
      <c r="L75" s="147">
        <f t="shared" si="7"/>
        <v>68.088689306763953</v>
      </c>
    </row>
    <row r="76" spans="1:12" ht="15.75" x14ac:dyDescent="0.25">
      <c r="A76" s="157">
        <v>2010</v>
      </c>
      <c r="B76" s="156">
        <f t="shared" si="9"/>
        <v>96</v>
      </c>
      <c r="C76" s="154">
        <f t="shared" si="10"/>
        <v>48.196280528792293</v>
      </c>
      <c r="D76" s="155">
        <f t="shared" si="10"/>
        <v>12.771678243334081</v>
      </c>
      <c r="E76" s="154">
        <f t="shared" si="10"/>
        <v>0</v>
      </c>
      <c r="F76" s="155">
        <f t="shared" si="10"/>
        <v>2.9576518037194712</v>
      </c>
      <c r="G76" s="154">
        <f t="shared" si="10"/>
        <v>0</v>
      </c>
      <c r="H76" s="154">
        <f t="shared" si="10"/>
        <v>63.925610575845852</v>
      </c>
      <c r="I76" s="154">
        <f t="shared" si="10"/>
        <v>36.074389424154155</v>
      </c>
      <c r="J76" s="154">
        <f t="shared" si="10"/>
        <v>100</v>
      </c>
      <c r="K76" s="411">
        <f>D76/(I76+D76)</f>
        <v>0.26146788990825692</v>
      </c>
      <c r="L76" s="147">
        <f t="shared" si="7"/>
        <v>60.967958772126373</v>
      </c>
    </row>
    <row r="77" spans="1:12" ht="15.75" x14ac:dyDescent="0.25">
      <c r="A77" s="157">
        <v>2011</v>
      </c>
      <c r="B77" s="156">
        <f t="shared" si="9"/>
        <v>52</v>
      </c>
      <c r="C77" s="154">
        <f t="shared" si="10"/>
        <v>24.109614319985237</v>
      </c>
      <c r="D77" s="155">
        <f t="shared" si="10"/>
        <v>57.556744786861046</v>
      </c>
      <c r="E77" s="154">
        <f t="shared" si="10"/>
        <v>0</v>
      </c>
      <c r="F77" s="155">
        <f t="shared" si="10"/>
        <v>0.72891677431260382</v>
      </c>
      <c r="G77" s="154">
        <f t="shared" si="10"/>
        <v>0</v>
      </c>
      <c r="H77" s="154">
        <f t="shared" si="10"/>
        <v>82.395275881158881</v>
      </c>
      <c r="I77" s="154">
        <f t="shared" si="10"/>
        <v>17.604724118841116</v>
      </c>
      <c r="J77" s="154">
        <f t="shared" si="10"/>
        <v>100</v>
      </c>
      <c r="K77" s="411">
        <f>D77/(I77+D77)</f>
        <v>0.76577461330714458</v>
      </c>
      <c r="L77" s="147">
        <f t="shared" si="7"/>
        <v>81.666359106846286</v>
      </c>
    </row>
    <row r="78" spans="1:12" ht="15.75" x14ac:dyDescent="0.25">
      <c r="A78" s="157">
        <v>2012</v>
      </c>
      <c r="B78" s="156">
        <f t="shared" si="9"/>
        <v>117</v>
      </c>
      <c r="C78" s="154">
        <f t="shared" si="10"/>
        <v>46.674219129308945</v>
      </c>
      <c r="D78" s="155">
        <f t="shared" si="10"/>
        <v>13.950477423531316</v>
      </c>
      <c r="E78" s="154">
        <f t="shared" si="10"/>
        <v>0</v>
      </c>
      <c r="F78" s="155">
        <f t="shared" si="10"/>
        <v>2.4437611263958567</v>
      </c>
      <c r="G78" s="154">
        <f t="shared" si="10"/>
        <v>0</v>
      </c>
      <c r="H78" s="154">
        <f t="shared" si="10"/>
        <v>63.068457679236126</v>
      </c>
      <c r="I78" s="154">
        <f t="shared" si="10"/>
        <v>36.931542320763874</v>
      </c>
      <c r="J78" s="154">
        <f t="shared" si="10"/>
        <v>100</v>
      </c>
      <c r="K78" s="411">
        <f>D78/(I78+D78)</f>
        <v>0.2741730279898219</v>
      </c>
      <c r="L78" s="147">
        <f t="shared" si="7"/>
        <v>60.624696552840263</v>
      </c>
    </row>
    <row r="79" spans="1:12" ht="15.75" x14ac:dyDescent="0.25">
      <c r="A79" s="157">
        <v>2013</v>
      </c>
      <c r="B79" s="156">
        <f t="shared" si="9"/>
        <v>122</v>
      </c>
      <c r="C79" s="154">
        <f t="shared" si="10"/>
        <v>47.775763491842142</v>
      </c>
      <c r="D79" s="155">
        <f t="shared" si="10"/>
        <v>28.852321851903501</v>
      </c>
      <c r="E79" s="154">
        <f t="shared" si="10"/>
        <v>0</v>
      </c>
      <c r="F79" s="155">
        <f t="shared" si="10"/>
        <v>1.4363408171803096</v>
      </c>
      <c r="G79" s="154">
        <f t="shared" si="10"/>
        <v>0</v>
      </c>
      <c r="H79" s="154">
        <f t="shared" si="10"/>
        <v>78.064426160925947</v>
      </c>
      <c r="I79" s="154">
        <f t="shared" si="10"/>
        <v>21.935573839074049</v>
      </c>
      <c r="J79" s="154">
        <f t="shared" si="10"/>
        <v>100</v>
      </c>
      <c r="K79" s="411">
        <f>D79/(I79+D79)</f>
        <v>0.56809445359692479</v>
      </c>
      <c r="L79" s="147">
        <f t="shared" si="7"/>
        <v>76.628085343745639</v>
      </c>
    </row>
    <row r="80" spans="1:12" ht="15.75" x14ac:dyDescent="0.25">
      <c r="A80" s="157">
        <v>2014</v>
      </c>
      <c r="B80" s="156">
        <f t="shared" si="9"/>
        <v>103</v>
      </c>
      <c r="C80" s="154">
        <f t="shared" si="10"/>
        <v>46.13727877142054</v>
      </c>
      <c r="D80" s="155">
        <f t="shared" si="10"/>
        <v>22.445921902799888</v>
      </c>
      <c r="E80" s="154">
        <f t="shared" si="10"/>
        <v>0</v>
      </c>
      <c r="F80" s="155">
        <f t="shared" si="10"/>
        <v>3.0901769828635639</v>
      </c>
      <c r="G80" s="154">
        <f t="shared" si="10"/>
        <v>0</v>
      </c>
      <c r="H80" s="154">
        <f t="shared" si="10"/>
        <v>71.673377657083989</v>
      </c>
      <c r="I80" s="154">
        <f t="shared" si="10"/>
        <v>28.326622342916004</v>
      </c>
      <c r="J80" s="154">
        <f t="shared" si="10"/>
        <v>100</v>
      </c>
      <c r="K80" s="411">
        <f>D80/(I80+D80)</f>
        <v>0.44208779048321656</v>
      </c>
      <c r="L80" s="147">
        <f t="shared" si="7"/>
        <v>68.583200674220421</v>
      </c>
    </row>
    <row r="81" spans="1:15" ht="15.75" x14ac:dyDescent="0.25">
      <c r="A81" s="157">
        <v>2015</v>
      </c>
      <c r="B81" s="156">
        <v>71</v>
      </c>
      <c r="C81" s="154">
        <f t="shared" ref="C81:J81" si="11">C39/$J39*100</f>
        <v>44.88843517573283</v>
      </c>
      <c r="D81" s="155">
        <f t="shared" si="11"/>
        <v>5.5417821204608426</v>
      </c>
      <c r="E81" s="154">
        <f t="shared" si="11"/>
        <v>0</v>
      </c>
      <c r="F81" s="155">
        <f t="shared" si="11"/>
        <v>1.7208691847746829</v>
      </c>
      <c r="G81" s="154">
        <f t="shared" si="11"/>
        <v>0</v>
      </c>
      <c r="H81" s="154">
        <f t="shared" si="11"/>
        <v>52.15108648096836</v>
      </c>
      <c r="I81" s="154">
        <f t="shared" si="11"/>
        <v>47.84891351903164</v>
      </c>
      <c r="J81" s="154">
        <f t="shared" si="11"/>
        <v>100</v>
      </c>
      <c r="K81" s="411"/>
      <c r="L81" s="147">
        <f t="shared" si="7"/>
        <v>50.430217296193675</v>
      </c>
    </row>
    <row r="82" spans="1:15" ht="15.75" x14ac:dyDescent="0.25">
      <c r="A82" s="153" t="s">
        <v>32</v>
      </c>
      <c r="B82" s="152"/>
      <c r="C82" s="150">
        <f>(AVERAGEA(C48:C81))</f>
        <v>51.071145048444436</v>
      </c>
      <c r="D82" s="151">
        <f>(AVERAGEA(D48:D81))</f>
        <v>7.4814342930527182</v>
      </c>
      <c r="E82" s="150">
        <f t="shared" ref="E82:J82" si="12">(AVERAGEA(E48:E81))</f>
        <v>1.6512635054139604E-2</v>
      </c>
      <c r="F82" s="151">
        <f t="shared" si="12"/>
        <v>2.6316782945354396</v>
      </c>
      <c r="G82" s="150">
        <f t="shared" si="12"/>
        <v>1.562531502651263E-2</v>
      </c>
      <c r="H82" s="150">
        <f t="shared" si="12"/>
        <v>61.216395586113229</v>
      </c>
      <c r="I82" s="150">
        <f t="shared" si="12"/>
        <v>38.783604413886771</v>
      </c>
      <c r="J82" s="150">
        <f t="shared" si="12"/>
        <v>100</v>
      </c>
    </row>
    <row r="83" spans="1:15" x14ac:dyDescent="0.2">
      <c r="A83" s="148"/>
      <c r="C83" s="147">
        <f>AVERAGE(C55:C64)</f>
        <v>55.104474709251676</v>
      </c>
      <c r="H83" s="149"/>
      <c r="K83" s="411">
        <f>AVERAGE(K48:K75)</f>
        <v>8.9460531629010437E-2</v>
      </c>
    </row>
    <row r="84" spans="1:15" x14ac:dyDescent="0.2">
      <c r="A84" s="148"/>
      <c r="C84" s="147">
        <f>AVERAGE(C56:C65)</f>
        <v>54.717551370207204</v>
      </c>
      <c r="E84" s="147">
        <f t="shared" ref="E84:I84" si="13">AVERAGE(C55:C64)</f>
        <v>55.104474709251676</v>
      </c>
      <c r="F84" s="147">
        <f t="shared" si="13"/>
        <v>3.4337920753999192</v>
      </c>
      <c r="G84" s="147">
        <f t="shared" si="13"/>
        <v>2.902068622545495E-2</v>
      </c>
      <c r="H84" s="147">
        <f t="shared" si="13"/>
        <v>1.7996804386888776</v>
      </c>
      <c r="I84" s="147">
        <f t="shared" si="13"/>
        <v>0</v>
      </c>
      <c r="J84" s="147">
        <f>AVERAGE(H55:H64)</f>
        <v>60.366967909565936</v>
      </c>
    </row>
    <row r="85" spans="1:15" x14ac:dyDescent="0.2">
      <c r="A85" s="148"/>
      <c r="C85" s="147">
        <f>AVERAGE(C78:C81)</f>
        <v>46.368924142076118</v>
      </c>
      <c r="D85" s="147">
        <f>C85-C84</f>
        <v>-8.348627228131086</v>
      </c>
      <c r="E85" s="147">
        <f t="shared" ref="E85:I85" si="14">AVERAGE(C74:C81)</f>
        <v>45.455856076742492</v>
      </c>
      <c r="F85" s="147">
        <f t="shared" si="14"/>
        <v>19.258210718050304</v>
      </c>
      <c r="G85" s="147">
        <f t="shared" si="14"/>
        <v>0</v>
      </c>
      <c r="H85" s="147">
        <f t="shared" si="14"/>
        <v>2.0234146842100036</v>
      </c>
      <c r="I85" s="147">
        <f t="shared" si="14"/>
        <v>0</v>
      </c>
      <c r="J85" s="147">
        <f>AVERAGE(H74:H81)</f>
        <v>66.73748147900281</v>
      </c>
    </row>
    <row r="86" spans="1:15" x14ac:dyDescent="0.2">
      <c r="A86" s="148"/>
      <c r="D86" s="411">
        <f>D85/C84</f>
        <v>-0.15257676959347224</v>
      </c>
      <c r="K86" s="147">
        <f>L86/M86</f>
        <v>1.2635200386286818</v>
      </c>
      <c r="L86" s="147">
        <f>10467/0.5</f>
        <v>20934</v>
      </c>
      <c r="M86" s="147">
        <f>16568</f>
        <v>16568</v>
      </c>
      <c r="N86" s="147">
        <f>M86-L86</f>
        <v>-4366</v>
      </c>
      <c r="O86" s="483">
        <f>N86/L86</f>
        <v>-0.20856023693512946</v>
      </c>
    </row>
    <row r="87" spans="1:15" x14ac:dyDescent="0.2">
      <c r="A87" s="148"/>
      <c r="D87" s="147">
        <f>AVERAGE(D48:D75)</f>
        <v>3.9173483459944092</v>
      </c>
      <c r="K87" s="147">
        <f>L87/M87</f>
        <v>1.388420990635491</v>
      </c>
      <c r="L87" s="147">
        <f>35361/0.5</f>
        <v>70722</v>
      </c>
      <c r="M87" s="147">
        <v>50937</v>
      </c>
      <c r="N87" s="147">
        <f>M87-L87</f>
        <v>-19785</v>
      </c>
      <c r="O87" s="483">
        <f>N87/L87</f>
        <v>-0.27975735980317301</v>
      </c>
    </row>
    <row r="88" spans="1:15" x14ac:dyDescent="0.2">
      <c r="A88" s="148"/>
    </row>
    <row r="89" spans="1:15" x14ac:dyDescent="0.2">
      <c r="A89" s="148"/>
      <c r="C89" s="411"/>
    </row>
    <row r="90" spans="1:15" x14ac:dyDescent="0.2">
      <c r="A90" s="148"/>
      <c r="J90" s="147" t="s">
        <v>375</v>
      </c>
    </row>
    <row r="91" spans="1:15" x14ac:dyDescent="0.2">
      <c r="A91" s="148"/>
      <c r="I91" s="147" t="s">
        <v>184</v>
      </c>
      <c r="J91" s="147" t="s">
        <v>205</v>
      </c>
      <c r="K91" s="147" t="s">
        <v>205</v>
      </c>
      <c r="L91" s="147" t="s">
        <v>203</v>
      </c>
      <c r="M91" s="147" t="s">
        <v>248</v>
      </c>
    </row>
    <row r="92" spans="1:15" ht="15.75" x14ac:dyDescent="0.25">
      <c r="A92" s="148"/>
      <c r="H92" s="175">
        <v>1982</v>
      </c>
      <c r="I92" s="173">
        <v>4688</v>
      </c>
      <c r="K92" s="217">
        <v>32609.466443750003</v>
      </c>
      <c r="L92" s="115">
        <f>SUM(I92:K92)</f>
        <v>37297.466443750003</v>
      </c>
      <c r="M92" s="141">
        <v>6132.3981005882351</v>
      </c>
    </row>
    <row r="93" spans="1:15" ht="15.75" x14ac:dyDescent="0.25">
      <c r="A93" s="148"/>
      <c r="H93" s="175">
        <v>1983</v>
      </c>
      <c r="I93" s="173">
        <v>6187</v>
      </c>
      <c r="K93" s="217">
        <v>34414.496114285736</v>
      </c>
      <c r="L93" s="115">
        <f>SUM(I93:K93)</f>
        <v>40601.496114285736</v>
      </c>
      <c r="M93" s="141">
        <v>3874.6376055912779</v>
      </c>
    </row>
    <row r="94" spans="1:15" ht="15.75" x14ac:dyDescent="0.25">
      <c r="A94" s="148"/>
      <c r="H94" s="175">
        <v>1984</v>
      </c>
      <c r="I94" s="173"/>
      <c r="K94" s="217"/>
      <c r="L94" s="115"/>
      <c r="M94" s="141">
        <v>4023.6618032601609</v>
      </c>
    </row>
    <row r="95" spans="1:15" ht="15.75" x14ac:dyDescent="0.25">
      <c r="A95" s="148"/>
      <c r="H95" s="175">
        <v>1985</v>
      </c>
      <c r="I95" s="173">
        <v>4806</v>
      </c>
      <c r="K95" s="217">
        <v>24336.406934285711</v>
      </c>
      <c r="L95" s="115">
        <f t="shared" ref="L95:L127" si="15">SUM(I95:K95)</f>
        <v>29142.406934285711</v>
      </c>
      <c r="M95" s="141">
        <v>2440.06340221957</v>
      </c>
    </row>
    <row r="96" spans="1:15" ht="15.75" x14ac:dyDescent="0.25">
      <c r="A96" s="148"/>
      <c r="H96" s="175">
        <v>1986</v>
      </c>
      <c r="I96" s="173">
        <v>4098</v>
      </c>
      <c r="K96" s="217">
        <v>24687.243790666638</v>
      </c>
      <c r="L96" s="115">
        <f t="shared" si="15"/>
        <v>28785.243790666638</v>
      </c>
      <c r="M96" s="141">
        <v>4365.2427951680847</v>
      </c>
    </row>
    <row r="97" spans="1:13" ht="15.75" x14ac:dyDescent="0.25">
      <c r="A97" s="148"/>
      <c r="H97" s="175">
        <v>1987</v>
      </c>
      <c r="I97" s="173">
        <v>3233</v>
      </c>
      <c r="K97" s="217">
        <v>13954.139353870971</v>
      </c>
      <c r="L97" s="115">
        <f t="shared" si="15"/>
        <v>17187.139353870971</v>
      </c>
      <c r="M97" s="141">
        <v>2243.7333250769234</v>
      </c>
    </row>
    <row r="98" spans="1:13" ht="15.75" x14ac:dyDescent="0.25">
      <c r="A98" s="148"/>
      <c r="H98" s="175">
        <v>1988</v>
      </c>
      <c r="I98" s="173">
        <v>6012</v>
      </c>
      <c r="K98" s="217">
        <v>15148.339939375004</v>
      </c>
      <c r="L98" s="115">
        <f t="shared" si="15"/>
        <v>21160.339939375004</v>
      </c>
      <c r="M98" s="141">
        <v>1472.8414272727273</v>
      </c>
    </row>
    <row r="99" spans="1:13" ht="15.75" x14ac:dyDescent="0.25">
      <c r="A99" s="148"/>
      <c r="H99" s="175">
        <v>1989</v>
      </c>
      <c r="I99" s="173">
        <v>6160</v>
      </c>
      <c r="J99" s="173">
        <f>'Berners River'!K102</f>
        <v>21567.31947621622</v>
      </c>
      <c r="K99" s="217">
        <v>19756.31947621622</v>
      </c>
      <c r="L99" s="115">
        <f t="shared" si="15"/>
        <v>47483.63895243244</v>
      </c>
      <c r="M99" s="141">
        <v>2404.1482196078432</v>
      </c>
    </row>
    <row r="100" spans="1:13" ht="15.75" x14ac:dyDescent="0.25">
      <c r="A100" s="148"/>
      <c r="H100" s="175">
        <v>1990</v>
      </c>
      <c r="I100" s="173">
        <v>5274</v>
      </c>
      <c r="J100" s="173">
        <f>'Berners River'!K103</f>
        <v>36625.630254994816</v>
      </c>
      <c r="K100" s="217">
        <v>33960.630254994816</v>
      </c>
      <c r="L100" s="115">
        <f t="shared" si="15"/>
        <v>75860.260509989632</v>
      </c>
      <c r="M100" s="141">
        <v>4793.5998117647068</v>
      </c>
    </row>
    <row r="101" spans="1:13" ht="15.75" x14ac:dyDescent="0.25">
      <c r="A101" s="148"/>
      <c r="H101" s="175">
        <v>1991</v>
      </c>
      <c r="I101" s="173">
        <v>6018</v>
      </c>
      <c r="J101" s="173">
        <f>'Berners River'!K104</f>
        <v>37767.804854161077</v>
      </c>
      <c r="K101" s="217">
        <v>34986.804854161077</v>
      </c>
      <c r="L101" s="115">
        <f t="shared" si="15"/>
        <v>78772.609708322154</v>
      </c>
      <c r="M101" s="141">
        <v>5766.7673997076818</v>
      </c>
    </row>
    <row r="102" spans="1:13" ht="15.75" x14ac:dyDescent="0.25">
      <c r="A102" s="148"/>
      <c r="H102" s="175">
        <v>1992</v>
      </c>
      <c r="I102" s="173">
        <v>9351</v>
      </c>
      <c r="J102" s="173">
        <f>'Berners River'!K105</f>
        <v>49685.775120772909</v>
      </c>
      <c r="K102" s="217">
        <v>45994.775120772909</v>
      </c>
      <c r="L102" s="115">
        <f t="shared" si="15"/>
        <v>105031.55024154582</v>
      </c>
      <c r="M102" s="141">
        <v>4894.6816364759979</v>
      </c>
    </row>
    <row r="103" spans="1:13" ht="15.75" x14ac:dyDescent="0.25">
      <c r="A103" s="148"/>
      <c r="H103" s="175">
        <v>1993</v>
      </c>
      <c r="I103" s="173">
        <v>12561</v>
      </c>
      <c r="J103" s="173">
        <f>'Berners River'!K106</f>
        <v>53385.621649948291</v>
      </c>
      <c r="K103" s="217">
        <v>49605.621649948291</v>
      </c>
      <c r="L103" s="115">
        <f t="shared" si="15"/>
        <v>115552.2432998966</v>
      </c>
      <c r="M103" s="141">
        <v>4241.8022695348827</v>
      </c>
    </row>
    <row r="104" spans="1:13" ht="15.75" x14ac:dyDescent="0.25">
      <c r="A104" s="148"/>
      <c r="H104" s="175">
        <v>1994</v>
      </c>
      <c r="I104" s="173">
        <v>11487</v>
      </c>
      <c r="J104" s="173">
        <f>'Berners River'!K107</f>
        <v>77208.888401009244</v>
      </c>
      <c r="K104" s="217">
        <v>73368.888401009244</v>
      </c>
      <c r="L104" s="115">
        <f t="shared" si="15"/>
        <v>162064.77680201849</v>
      </c>
      <c r="M104" s="141">
        <v>9463.7586653711714</v>
      </c>
    </row>
    <row r="105" spans="1:13" ht="15.75" x14ac:dyDescent="0.25">
      <c r="A105" s="148"/>
      <c r="H105" s="175">
        <v>1995</v>
      </c>
      <c r="I105" s="173">
        <v>6787</v>
      </c>
      <c r="J105" s="173">
        <f>'Berners River'!K108</f>
        <v>30008.150686949062</v>
      </c>
      <c r="K105" s="217">
        <v>28815.150686949062</v>
      </c>
      <c r="L105" s="115">
        <f t="shared" si="15"/>
        <v>65610.301373898124</v>
      </c>
      <c r="M105" s="141">
        <v>6708.1908790374318</v>
      </c>
    </row>
    <row r="106" spans="1:13" ht="15.75" x14ac:dyDescent="0.25">
      <c r="A106" s="148"/>
      <c r="H106" s="175">
        <v>1996</v>
      </c>
      <c r="I106" s="173">
        <v>5864</v>
      </c>
      <c r="J106" s="173">
        <f>'Berners River'!K109</f>
        <v>25112.698673798015</v>
      </c>
      <c r="K106" s="217">
        <v>23653.698673798015</v>
      </c>
      <c r="L106" s="115">
        <f t="shared" si="15"/>
        <v>54630.39734759603</v>
      </c>
      <c r="M106" s="141">
        <v>3948.0198984923668</v>
      </c>
    </row>
    <row r="107" spans="1:13" ht="15.75" x14ac:dyDescent="0.25">
      <c r="A107" s="148"/>
      <c r="H107" s="175">
        <v>1997</v>
      </c>
      <c r="I107" s="173">
        <v>9771</v>
      </c>
      <c r="J107" s="173">
        <f>'Berners River'!K110</f>
        <v>17708.193293887598</v>
      </c>
      <c r="K107" s="217">
        <v>15284.193293887598</v>
      </c>
      <c r="L107" s="115">
        <f t="shared" si="15"/>
        <v>42763.386587775196</v>
      </c>
      <c r="M107" s="141">
        <v>2695.6040093386764</v>
      </c>
    </row>
    <row r="108" spans="1:13" ht="15.75" x14ac:dyDescent="0.25">
      <c r="A108" s="148"/>
      <c r="H108" s="175">
        <v>1998</v>
      </c>
      <c r="I108" s="173">
        <v>16124</v>
      </c>
      <c r="J108" s="173">
        <f>'Berners River'!K111</f>
        <v>24778.138818002408</v>
      </c>
      <c r="K108" s="217">
        <v>23137.138818002408</v>
      </c>
      <c r="L108" s="115">
        <f t="shared" si="15"/>
        <v>64039.277636004816</v>
      </c>
      <c r="M108" s="141">
        <v>4371.2672840690102</v>
      </c>
    </row>
    <row r="109" spans="1:13" ht="15.75" x14ac:dyDescent="0.25">
      <c r="A109" s="148"/>
      <c r="H109" s="175">
        <v>1999</v>
      </c>
      <c r="I109" s="173">
        <v>10195</v>
      </c>
      <c r="J109" s="173">
        <f>'Berners River'!K112</f>
        <v>35538.161085633677</v>
      </c>
      <c r="K109" s="217">
        <v>33145.161085633677</v>
      </c>
      <c r="L109" s="115">
        <f t="shared" si="15"/>
        <v>78878.322171267355</v>
      </c>
      <c r="M109" s="141">
        <v>4221.182284270074</v>
      </c>
    </row>
    <row r="110" spans="1:13" ht="15.75" x14ac:dyDescent="0.25">
      <c r="A110" s="148"/>
      <c r="H110" s="175">
        <v>2000</v>
      </c>
      <c r="I110" s="173">
        <v>8049</v>
      </c>
      <c r="J110" s="173">
        <f>'Berners River'!K113</f>
        <v>24033.712363482147</v>
      </c>
      <c r="K110" s="217">
        <v>21464.712363482147</v>
      </c>
      <c r="L110" s="115">
        <f t="shared" si="15"/>
        <v>53547.424726964295</v>
      </c>
      <c r="M110" s="141">
        <v>1346.429008854748</v>
      </c>
    </row>
    <row r="111" spans="1:13" ht="15.75" x14ac:dyDescent="0.25">
      <c r="A111" s="148"/>
      <c r="H111" s="175">
        <v>2001</v>
      </c>
      <c r="I111" s="173">
        <v>8625</v>
      </c>
      <c r="J111" s="173">
        <f>'Berners River'!K114</f>
        <v>36805.75112682458</v>
      </c>
      <c r="K111" s="217">
        <v>32152.75112682458</v>
      </c>
      <c r="L111" s="115">
        <f t="shared" si="15"/>
        <v>77583.50225364916</v>
      </c>
      <c r="M111" s="141">
        <v>3119.409837292078</v>
      </c>
    </row>
    <row r="112" spans="1:13" ht="15.75" x14ac:dyDescent="0.25">
      <c r="A112" s="148"/>
      <c r="H112" s="175">
        <v>2002</v>
      </c>
      <c r="I112" s="173">
        <v>15118</v>
      </c>
      <c r="J112" s="173">
        <f>'Berners River'!K115</f>
        <v>56500.421037951979</v>
      </c>
      <c r="K112" s="217">
        <v>49818.421037951979</v>
      </c>
      <c r="L112" s="115">
        <f t="shared" si="15"/>
        <v>121436.84207590396</v>
      </c>
      <c r="M112" s="141">
        <v>5405.94794976298</v>
      </c>
    </row>
    <row r="113" spans="1:13" ht="15.75" x14ac:dyDescent="0.25">
      <c r="A113" s="148"/>
      <c r="H113" s="175">
        <v>2003</v>
      </c>
      <c r="I113" s="173">
        <v>13217</v>
      </c>
      <c r="J113" s="173">
        <f>'Berners River'!K116</f>
        <v>31550.021630484258</v>
      </c>
      <c r="K113" s="217">
        <v>29111.021630484258</v>
      </c>
      <c r="L113" s="115">
        <f t="shared" si="15"/>
        <v>73878.043260968523</v>
      </c>
      <c r="M113" s="141">
        <v>3676.4022687281363</v>
      </c>
    </row>
    <row r="114" spans="1:13" ht="15.75" x14ac:dyDescent="0.25">
      <c r="A114" s="148"/>
      <c r="H114" s="175">
        <v>2004</v>
      </c>
      <c r="I114" s="173">
        <v>12104</v>
      </c>
      <c r="J114" s="173">
        <f>'Berners River'!K117</f>
        <v>36660.003930812047</v>
      </c>
      <c r="K114" s="217">
        <v>33174.003930812047</v>
      </c>
      <c r="L114" s="115">
        <f t="shared" si="15"/>
        <v>81938.007861624093</v>
      </c>
      <c r="M114" s="141">
        <v>2491.5583522095121</v>
      </c>
    </row>
    <row r="115" spans="1:13" ht="15.75" x14ac:dyDescent="0.25">
      <c r="A115" s="148"/>
      <c r="H115" s="175">
        <v>2005</v>
      </c>
      <c r="I115" s="173">
        <v>10123</v>
      </c>
      <c r="J115" s="173">
        <f>'Berners River'!K118</f>
        <v>14016.874942477865</v>
      </c>
      <c r="K115" s="217">
        <v>12757.874942477865</v>
      </c>
      <c r="L115" s="115">
        <f t="shared" si="15"/>
        <v>36897.749884955731</v>
      </c>
      <c r="M115" s="141">
        <v>3652.2158270975992</v>
      </c>
    </row>
    <row r="116" spans="1:13" ht="15.75" x14ac:dyDescent="0.25">
      <c r="A116" s="148"/>
      <c r="H116" s="175">
        <v>2006</v>
      </c>
      <c r="I116" s="173">
        <v>9814</v>
      </c>
      <c r="J116" s="173">
        <f>'Berners River'!K119</f>
        <v>17141.204102688618</v>
      </c>
      <c r="K116" s="217">
        <v>15822.204102688618</v>
      </c>
      <c r="L116" s="115">
        <f t="shared" si="15"/>
        <v>42777.408205377236</v>
      </c>
      <c r="M116" s="141">
        <v>1925.8812384513892</v>
      </c>
    </row>
    <row r="117" spans="1:13" ht="15.75" x14ac:dyDescent="0.25">
      <c r="A117" s="148"/>
      <c r="H117" s="175">
        <v>2007</v>
      </c>
      <c r="I117" s="173">
        <v>8666</v>
      </c>
      <c r="J117" s="173">
        <f>'Berners River'!K120</f>
        <v>9665.5504169317664</v>
      </c>
      <c r="K117" s="217">
        <v>8721.5504169317664</v>
      </c>
      <c r="L117" s="115">
        <f t="shared" si="15"/>
        <v>27053.100833863529</v>
      </c>
      <c r="M117" s="141">
        <v>3309.0560961507222</v>
      </c>
    </row>
    <row r="118" spans="1:13" ht="15.75" x14ac:dyDescent="0.25">
      <c r="A118" s="148"/>
      <c r="H118" s="175">
        <v>2008</v>
      </c>
      <c r="I118" s="173">
        <v>11060</v>
      </c>
      <c r="J118" s="173">
        <f>'Berners River'!K121</f>
        <v>16023.759212206873</v>
      </c>
      <c r="K118" s="217">
        <v>14366.759212206873</v>
      </c>
      <c r="L118" s="115">
        <f t="shared" si="15"/>
        <v>41450.518424413749</v>
      </c>
      <c r="M118" s="141">
        <v>3776</v>
      </c>
    </row>
    <row r="119" spans="1:13" ht="15.75" x14ac:dyDescent="0.25">
      <c r="A119" s="148"/>
      <c r="H119" s="175">
        <v>2009</v>
      </c>
      <c r="I119" s="173">
        <v>7126</v>
      </c>
      <c r="J119" s="173">
        <f>'Berners River'!K122</f>
        <v>10337.446114936709</v>
      </c>
      <c r="K119" s="217">
        <v>9317.4461149367089</v>
      </c>
      <c r="L119" s="115">
        <f t="shared" si="15"/>
        <v>26780.892229873418</v>
      </c>
      <c r="M119" s="141">
        <v>4383</v>
      </c>
    </row>
    <row r="120" spans="1:13" ht="15.75" x14ac:dyDescent="0.25">
      <c r="A120" s="148"/>
      <c r="H120" s="175">
        <v>2010</v>
      </c>
      <c r="I120" s="173">
        <v>4463</v>
      </c>
      <c r="J120" s="173">
        <f>'Berners River'!K123</f>
        <v>23630.53139184419</v>
      </c>
      <c r="K120" s="193">
        <v>21816.53139184419</v>
      </c>
      <c r="L120" s="115">
        <f t="shared" si="15"/>
        <v>49910.06278368838</v>
      </c>
      <c r="M120" s="141">
        <v>5417</v>
      </c>
    </row>
    <row r="121" spans="1:13" ht="15.75" x14ac:dyDescent="0.25">
      <c r="A121" s="148"/>
      <c r="H121" s="175">
        <v>2011</v>
      </c>
      <c r="I121" s="173">
        <v>10838</v>
      </c>
      <c r="J121" s="173">
        <f>'Berners River'!K124</f>
        <v>13488.060059090903</v>
      </c>
      <c r="K121" s="193">
        <v>12029.060059090903</v>
      </c>
      <c r="L121" s="115">
        <f t="shared" si="15"/>
        <v>36355.120118181803</v>
      </c>
      <c r="M121" s="141">
        <v>3937</v>
      </c>
    </row>
    <row r="122" spans="1:13" ht="15.75" x14ac:dyDescent="0.25">
      <c r="A122" s="148"/>
      <c r="H122" s="175">
        <v>2012</v>
      </c>
      <c r="I122" s="173">
        <v>6179</v>
      </c>
      <c r="J122" s="173">
        <f>'Berners River'!K125</f>
        <v>9852.5066227316747</v>
      </c>
      <c r="K122" s="193">
        <v>8530.5066227316747</v>
      </c>
      <c r="L122" s="115">
        <f t="shared" si="15"/>
        <v>24562.013245463349</v>
      </c>
      <c r="M122" s="141">
        <v>4163</v>
      </c>
    </row>
    <row r="123" spans="1:13" ht="15.75" x14ac:dyDescent="0.25">
      <c r="A123" s="148"/>
      <c r="H123" s="175">
        <v>2013</v>
      </c>
      <c r="I123" s="173">
        <v>7171</v>
      </c>
      <c r="J123" s="173">
        <f>'Berners River'!K126</f>
        <v>22582.581021634618</v>
      </c>
      <c r="K123" s="193">
        <v>21067.581021634618</v>
      </c>
      <c r="L123" s="115">
        <f t="shared" si="15"/>
        <v>50821.162043269236</v>
      </c>
      <c r="M123" s="141">
        <v>6906</v>
      </c>
    </row>
    <row r="124" spans="1:13" ht="15.75" x14ac:dyDescent="0.25">
      <c r="A124" s="148"/>
      <c r="H124" s="175">
        <v>2014</v>
      </c>
      <c r="I124" s="173">
        <v>10679</v>
      </c>
      <c r="J124" s="173">
        <f>'Berners River'!K127</f>
        <v>30382.29454920346</v>
      </c>
      <c r="K124" s="193">
        <v>26648.29454920346</v>
      </c>
      <c r="L124" s="115">
        <f t="shared" si="15"/>
        <v>67709.589098406926</v>
      </c>
      <c r="M124" s="141">
        <v>7707</v>
      </c>
    </row>
    <row r="125" spans="1:13" ht="15.75" x14ac:dyDescent="0.25">
      <c r="A125" s="148"/>
      <c r="H125" s="175">
        <v>2015</v>
      </c>
      <c r="I125" s="173">
        <v>6857</v>
      </c>
      <c r="J125" s="173">
        <f>'Berners River'!K128</f>
        <v>18047</v>
      </c>
      <c r="K125" s="193">
        <v>15649</v>
      </c>
      <c r="L125" s="115">
        <f t="shared" si="15"/>
        <v>40553</v>
      </c>
      <c r="M125" s="141">
        <v>1954</v>
      </c>
    </row>
    <row r="126" spans="1:13" ht="15.75" x14ac:dyDescent="0.25">
      <c r="A126" s="148"/>
      <c r="K126" s="193">
        <v>9948.2170047798718</v>
      </c>
      <c r="L126" s="423">
        <f t="shared" si="15"/>
        <v>9948.2170047798718</v>
      </c>
      <c r="M126" s="141">
        <v>2466</v>
      </c>
    </row>
    <row r="127" spans="1:13" ht="15.75" x14ac:dyDescent="0.25">
      <c r="A127" s="148"/>
      <c r="K127" s="193">
        <v>14298</v>
      </c>
      <c r="L127" s="423">
        <f t="shared" si="15"/>
        <v>14298</v>
      </c>
      <c r="M127" s="141">
        <v>2425</v>
      </c>
    </row>
    <row r="128" spans="1:13" x14ac:dyDescent="0.2">
      <c r="A128" s="148"/>
    </row>
    <row r="129" spans="1:1" x14ac:dyDescent="0.2">
      <c r="A129" s="148"/>
    </row>
    <row r="130" spans="1:1" x14ac:dyDescent="0.2">
      <c r="A130" s="148"/>
    </row>
    <row r="131" spans="1:1" x14ac:dyDescent="0.2">
      <c r="A131" s="148"/>
    </row>
    <row r="132" spans="1:1" x14ac:dyDescent="0.2">
      <c r="A132" s="148"/>
    </row>
    <row r="133" spans="1:1" x14ac:dyDescent="0.2">
      <c r="A133" s="148"/>
    </row>
    <row r="134" spans="1:1" x14ac:dyDescent="0.2">
      <c r="A134" s="148"/>
    </row>
    <row r="135" spans="1:1" x14ac:dyDescent="0.2">
      <c r="A135" s="148"/>
    </row>
    <row r="136" spans="1:1" x14ac:dyDescent="0.2">
      <c r="A136" s="148"/>
    </row>
    <row r="137" spans="1:1" x14ac:dyDescent="0.2">
      <c r="A137" s="148"/>
    </row>
    <row r="150" spans="10:10" x14ac:dyDescent="0.2">
      <c r="J150" s="482">
        <f>SQRT(0.307522)</f>
        <v>0.55454666169764288</v>
      </c>
    </row>
    <row r="151" spans="10:10" x14ac:dyDescent="0.2">
      <c r="J151" s="482">
        <f>SQRT(0.101586)</f>
        <v>0.31872558730042366</v>
      </c>
    </row>
    <row r="152" spans="10:10" x14ac:dyDescent="0.2">
      <c r="J152" s="482">
        <f>SQRT(0.123661)</f>
        <v>0.35165466014258934</v>
      </c>
    </row>
    <row r="153" spans="10:10" x14ac:dyDescent="0.2">
      <c r="J153" s="482">
        <f>SQRT(0.016312)</f>
        <v>0.12771844032871682</v>
      </c>
    </row>
  </sheetData>
  <sortState ref="M7:M39">
    <sortCondition ref="M7:M39"/>
  </sortState>
  <printOptions horizontalCentered="1" gridLines="1" gridLinesSet="0"/>
  <pageMargins left="0.65" right="0.57999999999999996" top="0.75" bottom="0.75" header="0.5" footer="0.5"/>
  <pageSetup orientation="portrait" verticalDpi="300" r:id="rId1"/>
  <headerFooter alignWithMargins="0">
    <oddFooter>&amp;C&amp;"Times New Roman,Regular"&amp;11 52</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P191"/>
  <sheetViews>
    <sheetView topLeftCell="A46" zoomScaleNormal="100" workbookViewId="0">
      <selection activeCell="C51" sqref="C51:C87"/>
    </sheetView>
  </sheetViews>
  <sheetFormatPr defaultColWidth="8" defaultRowHeight="11.25" x14ac:dyDescent="0.2"/>
  <cols>
    <col min="1" max="1" width="4.7109375" style="117" customWidth="1"/>
    <col min="2" max="2" width="6.140625" style="117" customWidth="1"/>
    <col min="3" max="3" width="6.7109375" style="117" customWidth="1"/>
    <col min="4" max="4" width="6.28515625" style="117" customWidth="1"/>
    <col min="5" max="5" width="6.5703125" style="117" customWidth="1"/>
    <col min="6" max="6" width="5.42578125" style="117" customWidth="1"/>
    <col min="7" max="7" width="6.5703125" style="117" customWidth="1"/>
    <col min="8" max="8" width="5.85546875" style="117" customWidth="1"/>
    <col min="9" max="9" width="5.28515625" style="117" customWidth="1"/>
    <col min="10" max="10" width="6" style="117" customWidth="1"/>
    <col min="11" max="11" width="7.5703125" style="117" customWidth="1"/>
    <col min="12" max="12" width="10.7109375" style="117" customWidth="1"/>
    <col min="13" max="13" width="7.42578125" style="117" customWidth="1"/>
    <col min="14" max="16384" width="8" style="117"/>
  </cols>
  <sheetData>
    <row r="1" spans="1:42" ht="15" x14ac:dyDescent="0.25">
      <c r="A1" s="146" t="s">
        <v>354</v>
      </c>
      <c r="B1" s="133"/>
      <c r="C1" s="133"/>
      <c r="D1" s="133"/>
      <c r="E1" s="133"/>
      <c r="F1" s="133"/>
      <c r="G1" s="133"/>
      <c r="H1" s="133"/>
      <c r="I1" s="133"/>
      <c r="J1" s="133"/>
      <c r="K1" s="133"/>
      <c r="L1" s="133"/>
      <c r="M1" s="133"/>
    </row>
    <row r="2" spans="1:42" ht="15" x14ac:dyDescent="0.25">
      <c r="A2" s="146"/>
      <c r="B2" s="133"/>
      <c r="C2" s="133"/>
      <c r="D2" s="133"/>
      <c r="E2" s="133"/>
      <c r="F2" s="133"/>
      <c r="G2" s="133"/>
      <c r="H2" s="133"/>
      <c r="I2" s="133"/>
      <c r="J2" s="133"/>
      <c r="K2" s="133"/>
      <c r="L2" s="133"/>
      <c r="M2" s="133"/>
      <c r="S2" s="117">
        <f>K40/M40*100</f>
        <v>61.557177615571781</v>
      </c>
    </row>
    <row r="3" spans="1:42" ht="15" x14ac:dyDescent="0.25">
      <c r="A3" s="132"/>
      <c r="B3" s="131" t="s">
        <v>33</v>
      </c>
      <c r="C3" s="130"/>
      <c r="D3" s="130"/>
      <c r="E3" s="130"/>
      <c r="F3" s="130"/>
      <c r="G3" s="130" t="s">
        <v>77</v>
      </c>
      <c r="H3" s="130"/>
      <c r="I3" s="130"/>
      <c r="J3" s="130"/>
      <c r="K3" s="130"/>
      <c r="L3" s="130"/>
      <c r="M3" s="130"/>
      <c r="S3" s="117">
        <f t="shared" ref="S3:S4" si="0">K41/M41*100</f>
        <v>47.793814432989691</v>
      </c>
    </row>
    <row r="4" spans="1:42" ht="15" x14ac:dyDescent="0.25">
      <c r="A4" s="129"/>
      <c r="B4" s="128" t="s">
        <v>63</v>
      </c>
      <c r="C4" s="128" t="s">
        <v>76</v>
      </c>
      <c r="D4" s="128" t="s">
        <v>76</v>
      </c>
      <c r="E4" s="128" t="s">
        <v>76</v>
      </c>
      <c r="F4" s="128" t="s">
        <v>76</v>
      </c>
      <c r="G4" s="128" t="s">
        <v>76</v>
      </c>
      <c r="H4" s="128" t="s">
        <v>75</v>
      </c>
      <c r="I4" s="128" t="s">
        <v>75</v>
      </c>
      <c r="J4" s="128" t="s">
        <v>75</v>
      </c>
      <c r="K4" s="128" t="s">
        <v>29</v>
      </c>
      <c r="L4" s="128"/>
      <c r="M4" s="127" t="s">
        <v>74</v>
      </c>
      <c r="S4" s="117">
        <f t="shared" si="0"/>
        <v>53.034901365705608</v>
      </c>
    </row>
    <row r="5" spans="1:42" ht="15" x14ac:dyDescent="0.25">
      <c r="A5" s="126" t="s">
        <v>3</v>
      </c>
      <c r="B5" s="125" t="s">
        <v>73</v>
      </c>
      <c r="C5" s="125" t="s">
        <v>4</v>
      </c>
      <c r="D5" s="125" t="s">
        <v>15</v>
      </c>
      <c r="E5" s="125" t="s">
        <v>16</v>
      </c>
      <c r="F5" s="125" t="s">
        <v>72</v>
      </c>
      <c r="G5" s="125" t="s">
        <v>17</v>
      </c>
      <c r="H5" s="125" t="s">
        <v>4</v>
      </c>
      <c r="I5" s="125" t="s">
        <v>71</v>
      </c>
      <c r="J5" s="125" t="s">
        <v>17</v>
      </c>
      <c r="K5" s="125" t="s">
        <v>70</v>
      </c>
      <c r="L5" s="125" t="s">
        <v>40</v>
      </c>
      <c r="M5" s="124" t="s">
        <v>69</v>
      </c>
    </row>
    <row r="6" spans="1:42" ht="15" customHeight="1" x14ac:dyDescent="0.25">
      <c r="A6" s="123">
        <v>1982</v>
      </c>
      <c r="B6" s="122">
        <v>91</v>
      </c>
      <c r="C6" s="144">
        <v>2757.8227129411762</v>
      </c>
      <c r="D6" s="144">
        <v>627.54357411764704</v>
      </c>
      <c r="E6" s="144">
        <v>202.75553901960782</v>
      </c>
      <c r="F6" s="143">
        <v>0</v>
      </c>
      <c r="G6" s="143">
        <v>0</v>
      </c>
      <c r="H6" s="142">
        <v>316.32686274509803</v>
      </c>
      <c r="I6" s="145">
        <v>83.949411764705886</v>
      </c>
      <c r="J6" s="143">
        <v>0</v>
      </c>
      <c r="K6" s="142">
        <f t="shared" ref="K6:K41" si="1">SUM(C6:J6)</f>
        <v>3988.3981005882351</v>
      </c>
      <c r="L6" s="142">
        <f>'Master escapements'!J15</f>
        <v>2144</v>
      </c>
      <c r="M6" s="141">
        <f t="shared" ref="M6:M41" si="2">K6+L6</f>
        <v>6132.3981005882351</v>
      </c>
      <c r="N6" s="144">
        <f>SUM(C6:G6)</f>
        <v>3588.1218260784312</v>
      </c>
      <c r="O6" s="144">
        <f>K6-N6</f>
        <v>400.2762745098039</v>
      </c>
      <c r="P6" s="123">
        <v>2014</v>
      </c>
      <c r="Q6" s="142">
        <v>4110</v>
      </c>
      <c r="R6" s="144"/>
      <c r="S6" s="144"/>
      <c r="T6" s="144"/>
      <c r="U6" s="143"/>
      <c r="V6" s="143"/>
      <c r="W6" s="142"/>
      <c r="X6" s="145"/>
      <c r="Y6" s="143"/>
      <c r="Z6" s="142"/>
      <c r="AC6" s="123">
        <v>2000</v>
      </c>
      <c r="AD6" s="122">
        <v>161</v>
      </c>
      <c r="AE6" s="144">
        <v>488.56200189944082</v>
      </c>
      <c r="AF6" s="144">
        <v>45.446732346368705</v>
      </c>
      <c r="AG6" s="144">
        <v>115.74139016759777</v>
      </c>
      <c r="AH6" s="143">
        <v>0</v>
      </c>
      <c r="AI6" s="143">
        <v>96.67888444134077</v>
      </c>
      <c r="AJ6" s="142">
        <v>0</v>
      </c>
      <c r="AK6" s="142">
        <v>0</v>
      </c>
      <c r="AL6" s="143">
        <v>0</v>
      </c>
      <c r="AM6" s="142">
        <v>746.42900885474796</v>
      </c>
      <c r="AN6" s="142">
        <v>600</v>
      </c>
      <c r="AO6" s="141">
        <v>1346.429008854748</v>
      </c>
    </row>
    <row r="7" spans="1:42" ht="15" customHeight="1" x14ac:dyDescent="0.25">
      <c r="A7" s="123">
        <v>1983</v>
      </c>
      <c r="B7" s="122">
        <v>185</v>
      </c>
      <c r="C7" s="144">
        <v>1373.619409225608</v>
      </c>
      <c r="D7" s="144">
        <v>424.10339390550746</v>
      </c>
      <c r="E7" s="144">
        <v>276.85973597987146</v>
      </c>
      <c r="F7" s="143">
        <v>48.849419289907743</v>
      </c>
      <c r="G7" s="143">
        <v>0</v>
      </c>
      <c r="H7" s="142">
        <v>214.16382443388315</v>
      </c>
      <c r="I7" s="145">
        <v>50.041822756499862</v>
      </c>
      <c r="J7" s="143">
        <v>0</v>
      </c>
      <c r="K7" s="142">
        <f t="shared" si="1"/>
        <v>2387.6376055912779</v>
      </c>
      <c r="L7" s="142">
        <f>'Master escapements'!J16</f>
        <v>1487</v>
      </c>
      <c r="M7" s="141">
        <f t="shared" si="2"/>
        <v>3874.6376055912779</v>
      </c>
      <c r="N7" s="144">
        <f t="shared" ref="N7:N41" si="3">SUM(C7:G7)</f>
        <v>2123.4319584008949</v>
      </c>
      <c r="O7" s="144">
        <f t="shared" ref="O7:O41" si="4">K7-N7</f>
        <v>264.20564719038293</v>
      </c>
      <c r="P7" s="123">
        <v>2002</v>
      </c>
      <c r="Q7" s="142">
        <v>3291</v>
      </c>
      <c r="R7" s="144"/>
      <c r="S7" s="144"/>
      <c r="T7" s="144"/>
      <c r="U7" s="143"/>
      <c r="V7" s="143"/>
      <c r="W7" s="142"/>
      <c r="X7" s="145"/>
      <c r="Y7" s="143"/>
      <c r="Z7" s="142"/>
      <c r="AC7" s="123">
        <v>1988</v>
      </c>
      <c r="AD7" s="122">
        <v>41</v>
      </c>
      <c r="AE7" s="144">
        <v>405.92055454545448</v>
      </c>
      <c r="AF7" s="144">
        <v>206.90986999999996</v>
      </c>
      <c r="AG7" s="144">
        <v>78.091002727272723</v>
      </c>
      <c r="AH7" s="143">
        <v>0</v>
      </c>
      <c r="AI7" s="143">
        <v>0</v>
      </c>
      <c r="AJ7" s="142">
        <v>241.7563636363636</v>
      </c>
      <c r="AK7" s="145">
        <v>27.16363636363636</v>
      </c>
      <c r="AL7" s="143">
        <v>0</v>
      </c>
      <c r="AM7" s="142">
        <v>959.84142727272717</v>
      </c>
      <c r="AN7" s="142">
        <v>513</v>
      </c>
      <c r="AO7" s="141">
        <v>1472.8414272727273</v>
      </c>
    </row>
    <row r="8" spans="1:42" ht="15" customHeight="1" x14ac:dyDescent="0.25">
      <c r="A8" s="123">
        <v>1984</v>
      </c>
      <c r="B8" s="122">
        <v>151</v>
      </c>
      <c r="C8" s="144">
        <v>1266.002262812432</v>
      </c>
      <c r="D8" s="144">
        <v>503.58102019560965</v>
      </c>
      <c r="E8" s="144">
        <v>471.28403710497736</v>
      </c>
      <c r="F8" s="143">
        <v>18.163707228863288</v>
      </c>
      <c r="G8" s="143">
        <v>0</v>
      </c>
      <c r="H8" s="142">
        <v>331.08962399478372</v>
      </c>
      <c r="I8" s="145">
        <v>26.54115192349489</v>
      </c>
      <c r="J8" s="143">
        <v>0</v>
      </c>
      <c r="K8" s="142">
        <f t="shared" si="1"/>
        <v>2616.6618032601609</v>
      </c>
      <c r="L8" s="142">
        <f>'Master escapements'!J17</f>
        <v>1407</v>
      </c>
      <c r="M8" s="141">
        <f t="shared" si="2"/>
        <v>4023.6618032601609</v>
      </c>
      <c r="N8" s="144">
        <f t="shared" si="3"/>
        <v>2259.0310273418822</v>
      </c>
      <c r="O8" s="144">
        <f t="shared" si="4"/>
        <v>357.63077591827869</v>
      </c>
      <c r="P8" s="123">
        <v>2013</v>
      </c>
      <c r="Q8" s="142">
        <v>3048</v>
      </c>
      <c r="R8" s="144"/>
      <c r="S8" s="144"/>
      <c r="T8" s="144"/>
      <c r="U8" s="143"/>
      <c r="V8" s="143"/>
      <c r="W8" s="142"/>
      <c r="X8" s="145"/>
      <c r="Y8" s="143"/>
      <c r="Z8" s="142"/>
      <c r="AC8" s="123">
        <v>2006</v>
      </c>
      <c r="AD8" s="122">
        <v>169</v>
      </c>
      <c r="AE8" s="144">
        <v>702.58882001747122</v>
      </c>
      <c r="AF8" s="144">
        <v>63.757520431522053</v>
      </c>
      <c r="AG8" s="144">
        <v>169.58243532468532</v>
      </c>
      <c r="AH8" s="143">
        <v>0</v>
      </c>
      <c r="AI8" s="143">
        <v>7.3448745570925258</v>
      </c>
      <c r="AJ8" s="143">
        <v>33.800968772782888</v>
      </c>
      <c r="AK8" s="142">
        <v>0</v>
      </c>
      <c r="AL8" s="143">
        <v>57.806619347835159</v>
      </c>
      <c r="AM8" s="142">
        <v>1034.8812384513892</v>
      </c>
      <c r="AN8" s="142">
        <v>891</v>
      </c>
      <c r="AO8" s="141">
        <v>1925.8812384513892</v>
      </c>
    </row>
    <row r="9" spans="1:42" ht="15" customHeight="1" x14ac:dyDescent="0.25">
      <c r="A9" s="123">
        <v>1985</v>
      </c>
      <c r="B9" s="122">
        <v>213</v>
      </c>
      <c r="C9" s="144">
        <v>867.94892823388955</v>
      </c>
      <c r="D9" s="144">
        <v>287.35042014319805</v>
      </c>
      <c r="E9" s="144">
        <v>137.10330300715995</v>
      </c>
      <c r="F9" s="143">
        <v>5.1898916467780429</v>
      </c>
      <c r="G9" s="143">
        <v>0</v>
      </c>
      <c r="H9" s="142">
        <v>200.50219570405727</v>
      </c>
      <c r="I9" s="145">
        <v>38.968663484486875</v>
      </c>
      <c r="J9" s="143">
        <v>0</v>
      </c>
      <c r="K9" s="142">
        <f t="shared" si="1"/>
        <v>1537.0634022195698</v>
      </c>
      <c r="L9" s="142">
        <f>'Master escapements'!J18</f>
        <v>903</v>
      </c>
      <c r="M9" s="141">
        <f t="shared" si="2"/>
        <v>2440.06340221957</v>
      </c>
      <c r="N9" s="144">
        <f t="shared" si="3"/>
        <v>1297.5925430310256</v>
      </c>
      <c r="O9" s="144">
        <f t="shared" si="4"/>
        <v>239.47085918854418</v>
      </c>
      <c r="P9" s="123">
        <v>2010</v>
      </c>
      <c r="Q9" s="142">
        <v>2878</v>
      </c>
      <c r="R9" s="144"/>
      <c r="S9" s="144"/>
      <c r="T9" s="144"/>
      <c r="U9" s="143"/>
      <c r="V9" s="143"/>
      <c r="W9" s="142"/>
      <c r="X9" s="145"/>
      <c r="Y9" s="143"/>
      <c r="Z9" s="142"/>
      <c r="AC9" s="123">
        <v>2015</v>
      </c>
      <c r="AD9" s="122">
        <v>203</v>
      </c>
      <c r="AE9" s="144">
        <v>470</v>
      </c>
      <c r="AF9" s="144">
        <v>112</v>
      </c>
      <c r="AG9" s="144">
        <v>272</v>
      </c>
      <c r="AH9" s="143">
        <v>0</v>
      </c>
      <c r="AI9" s="143">
        <v>24</v>
      </c>
      <c r="AJ9" s="143">
        <v>102</v>
      </c>
      <c r="AK9" s="142">
        <v>6</v>
      </c>
      <c r="AL9" s="143">
        <v>12</v>
      </c>
      <c r="AM9" s="142">
        <v>998</v>
      </c>
      <c r="AN9" s="142">
        <v>956</v>
      </c>
      <c r="AO9" s="141">
        <v>1954</v>
      </c>
    </row>
    <row r="10" spans="1:42" ht="15" customHeight="1" x14ac:dyDescent="0.25">
      <c r="A10" s="123">
        <v>1986</v>
      </c>
      <c r="B10" s="122">
        <v>256</v>
      </c>
      <c r="C10" s="144">
        <v>1597.6548065454551</v>
      </c>
      <c r="D10" s="144">
        <v>492.51933965729233</v>
      </c>
      <c r="E10" s="144">
        <v>212.97645703597126</v>
      </c>
      <c r="F10" s="143">
        <v>0</v>
      </c>
      <c r="G10" s="143">
        <v>15.789358705035971</v>
      </c>
      <c r="H10" s="142">
        <v>235.83833878351862</v>
      </c>
      <c r="I10" s="145">
        <v>28.464494440810988</v>
      </c>
      <c r="J10" s="143">
        <v>0</v>
      </c>
      <c r="K10" s="142">
        <f t="shared" si="1"/>
        <v>2583.2427951680847</v>
      </c>
      <c r="L10" s="142">
        <f>'Master escapements'!J19</f>
        <v>1782</v>
      </c>
      <c r="M10" s="141">
        <f t="shared" si="2"/>
        <v>4365.2427951680847</v>
      </c>
      <c r="N10" s="144">
        <f t="shared" si="3"/>
        <v>2318.939961943755</v>
      </c>
      <c r="O10" s="144">
        <f t="shared" si="4"/>
        <v>264.30283322432979</v>
      </c>
      <c r="P10" s="123">
        <v>2009</v>
      </c>
      <c r="Q10" s="142">
        <v>2281</v>
      </c>
      <c r="R10" s="144"/>
      <c r="S10" s="144"/>
      <c r="T10" s="144"/>
      <c r="U10" s="143"/>
      <c r="V10" s="143"/>
      <c r="W10" s="142"/>
      <c r="X10" s="145"/>
      <c r="Y10" s="143"/>
      <c r="Z10" s="142"/>
      <c r="AC10" s="123">
        <v>1987</v>
      </c>
      <c r="AD10" s="122">
        <v>99</v>
      </c>
      <c r="AE10" s="144">
        <v>657.25781161538475</v>
      </c>
      <c r="AF10" s="144">
        <v>81.600894230769228</v>
      </c>
      <c r="AG10" s="144">
        <v>147.72062053846156</v>
      </c>
      <c r="AH10" s="143">
        <v>3.9530396153846152</v>
      </c>
      <c r="AI10" s="143">
        <v>28.233112923076924</v>
      </c>
      <c r="AJ10" s="142">
        <v>154.53646153846154</v>
      </c>
      <c r="AK10" s="145">
        <v>53.431384615384616</v>
      </c>
      <c r="AL10" s="143">
        <v>0</v>
      </c>
      <c r="AM10" s="142">
        <v>1126.7333250769232</v>
      </c>
      <c r="AN10" s="142">
        <v>1117</v>
      </c>
      <c r="AO10" s="141">
        <v>2243.7333250769234</v>
      </c>
    </row>
    <row r="11" spans="1:42" ht="15" customHeight="1" x14ac:dyDescent="0.25">
      <c r="A11" s="123">
        <v>1987</v>
      </c>
      <c r="B11" s="122">
        <v>99</v>
      </c>
      <c r="C11" s="144">
        <v>657.25781161538475</v>
      </c>
      <c r="D11" s="144">
        <v>81.600894230769228</v>
      </c>
      <c r="E11" s="144">
        <v>147.72062053846156</v>
      </c>
      <c r="F11" s="143">
        <v>3.9530396153846152</v>
      </c>
      <c r="G11" s="143">
        <v>28.233112923076924</v>
      </c>
      <c r="H11" s="142">
        <v>154.53646153846154</v>
      </c>
      <c r="I11" s="145">
        <v>53.431384615384616</v>
      </c>
      <c r="J11" s="143">
        <v>0</v>
      </c>
      <c r="K11" s="142">
        <f t="shared" si="1"/>
        <v>1126.7333250769232</v>
      </c>
      <c r="L11" s="142">
        <f>'Master escapements'!J20</f>
        <v>1117</v>
      </c>
      <c r="M11" s="141">
        <f t="shared" si="2"/>
        <v>2243.7333250769234</v>
      </c>
      <c r="N11" s="144">
        <f t="shared" si="3"/>
        <v>918.76547892307701</v>
      </c>
      <c r="O11" s="144">
        <f t="shared" si="4"/>
        <v>207.96784615384615</v>
      </c>
      <c r="P11" s="123">
        <v>1982</v>
      </c>
      <c r="Q11" s="142">
        <v>2144</v>
      </c>
      <c r="R11" s="144"/>
      <c r="S11" s="144"/>
      <c r="T11" s="144"/>
      <c r="U11" s="143"/>
      <c r="V11" s="143"/>
      <c r="W11" s="142"/>
      <c r="X11" s="145"/>
      <c r="Y11" s="143"/>
      <c r="Z11" s="142"/>
      <c r="AC11" s="123">
        <v>1989</v>
      </c>
      <c r="AD11" s="122">
        <v>91</v>
      </c>
      <c r="AE11" s="144">
        <v>1216.7415215686278</v>
      </c>
      <c r="AF11" s="144">
        <v>319.51168941176468</v>
      </c>
      <c r="AG11" s="144">
        <v>246.68234980392157</v>
      </c>
      <c r="AH11" s="143">
        <v>0</v>
      </c>
      <c r="AI11" s="143">
        <v>61.784423529411768</v>
      </c>
      <c r="AJ11" s="142">
        <v>106.16156862745098</v>
      </c>
      <c r="AK11" s="145">
        <v>20.266666666666666</v>
      </c>
      <c r="AL11" s="143">
        <v>0</v>
      </c>
      <c r="AM11" s="142">
        <v>1971.1482196078434</v>
      </c>
      <c r="AN11" s="142">
        <v>433</v>
      </c>
      <c r="AO11" s="141">
        <v>2404.1482196078432</v>
      </c>
    </row>
    <row r="12" spans="1:42" ht="15" customHeight="1" x14ac:dyDescent="0.25">
      <c r="A12" s="123">
        <v>1988</v>
      </c>
      <c r="B12" s="122">
        <v>41</v>
      </c>
      <c r="C12" s="144">
        <v>405.92055454545448</v>
      </c>
      <c r="D12" s="144">
        <v>206.90986999999996</v>
      </c>
      <c r="E12" s="144">
        <v>78.091002727272723</v>
      </c>
      <c r="F12" s="143">
        <v>0</v>
      </c>
      <c r="G12" s="143">
        <v>0</v>
      </c>
      <c r="H12" s="142">
        <v>241.7563636363636</v>
      </c>
      <c r="I12" s="145">
        <v>27.16363636363636</v>
      </c>
      <c r="J12" s="143">
        <v>0</v>
      </c>
      <c r="K12" s="142">
        <f t="shared" si="1"/>
        <v>959.84142727272717</v>
      </c>
      <c r="L12" s="142">
        <f>'Master escapements'!J21</f>
        <v>513</v>
      </c>
      <c r="M12" s="141">
        <f t="shared" si="2"/>
        <v>1472.8414272727273</v>
      </c>
      <c r="N12" s="144">
        <f t="shared" si="3"/>
        <v>690.92142727272721</v>
      </c>
      <c r="O12" s="144">
        <f t="shared" si="4"/>
        <v>268.91999999999996</v>
      </c>
      <c r="P12" s="123">
        <v>2011</v>
      </c>
      <c r="Q12" s="142">
        <v>2137</v>
      </c>
      <c r="R12" s="144"/>
      <c r="S12" s="144"/>
      <c r="T12" s="144"/>
      <c r="U12" s="143"/>
      <c r="V12" s="143"/>
      <c r="W12" s="142"/>
      <c r="X12" s="145"/>
      <c r="Y12" s="143"/>
      <c r="Z12" s="142"/>
      <c r="AC12" s="123">
        <v>2017</v>
      </c>
      <c r="AD12" s="122">
        <v>93</v>
      </c>
      <c r="AE12" s="144">
        <v>674</v>
      </c>
      <c r="AF12" s="144">
        <v>50</v>
      </c>
      <c r="AG12" s="144">
        <v>273</v>
      </c>
      <c r="AH12" s="143">
        <v>0</v>
      </c>
      <c r="AI12" s="143">
        <v>56</v>
      </c>
      <c r="AJ12" s="143">
        <v>106</v>
      </c>
      <c r="AK12" s="142">
        <v>0</v>
      </c>
      <c r="AL12" s="143">
        <v>0</v>
      </c>
      <c r="AM12" s="142">
        <v>1159</v>
      </c>
      <c r="AN12" s="142">
        <v>1266</v>
      </c>
      <c r="AO12" s="141">
        <v>2425</v>
      </c>
    </row>
    <row r="13" spans="1:42" ht="15" customHeight="1" x14ac:dyDescent="0.25">
      <c r="A13" s="123">
        <v>1989</v>
      </c>
      <c r="B13" s="122">
        <v>91</v>
      </c>
      <c r="C13" s="144">
        <v>1216.7415215686278</v>
      </c>
      <c r="D13" s="144">
        <v>319.51168941176468</v>
      </c>
      <c r="E13" s="144">
        <v>246.68234980392157</v>
      </c>
      <c r="F13" s="143">
        <v>0</v>
      </c>
      <c r="G13" s="143">
        <v>61.784423529411768</v>
      </c>
      <c r="H13" s="142">
        <v>106.16156862745098</v>
      </c>
      <c r="I13" s="145">
        <v>20.266666666666666</v>
      </c>
      <c r="J13" s="143">
        <v>0</v>
      </c>
      <c r="K13" s="142">
        <f t="shared" si="1"/>
        <v>1971.1482196078434</v>
      </c>
      <c r="L13" s="142">
        <f>'Master escapements'!J22</f>
        <v>433</v>
      </c>
      <c r="M13" s="141">
        <f t="shared" si="2"/>
        <v>2404.1482196078432</v>
      </c>
      <c r="N13" s="144">
        <f t="shared" si="3"/>
        <v>1844.7199843137257</v>
      </c>
      <c r="O13" s="144">
        <f t="shared" si="4"/>
        <v>126.42823529411771</v>
      </c>
      <c r="P13" s="123">
        <v>2012</v>
      </c>
      <c r="Q13" s="142">
        <v>1908</v>
      </c>
      <c r="R13" s="144"/>
      <c r="S13" s="144"/>
      <c r="T13" s="144"/>
      <c r="U13" s="143"/>
      <c r="V13" s="143"/>
      <c r="W13" s="142"/>
      <c r="X13" s="145"/>
      <c r="Y13" s="143"/>
      <c r="Z13" s="142"/>
      <c r="AC13" s="123">
        <v>1985</v>
      </c>
      <c r="AD13" s="122">
        <v>213</v>
      </c>
      <c r="AE13" s="144">
        <v>867.94892823388955</v>
      </c>
      <c r="AF13" s="144">
        <v>287.35042014319805</v>
      </c>
      <c r="AG13" s="144">
        <v>137.10330300715995</v>
      </c>
      <c r="AH13" s="143">
        <v>5.1898916467780429</v>
      </c>
      <c r="AI13" s="143">
        <v>0</v>
      </c>
      <c r="AJ13" s="142">
        <v>200.50219570405727</v>
      </c>
      <c r="AK13" s="145">
        <v>38.968663484486875</v>
      </c>
      <c r="AL13" s="143">
        <v>0</v>
      </c>
      <c r="AM13" s="142">
        <v>1537.0634022195698</v>
      </c>
      <c r="AN13" s="142">
        <v>903</v>
      </c>
      <c r="AO13" s="141">
        <v>2440.06340221957</v>
      </c>
    </row>
    <row r="14" spans="1:42" ht="15" customHeight="1" x14ac:dyDescent="0.25">
      <c r="A14" s="123">
        <v>1990</v>
      </c>
      <c r="B14" s="122">
        <v>263</v>
      </c>
      <c r="C14" s="144">
        <v>1803.2502211764713</v>
      </c>
      <c r="D14" s="144">
        <v>566.18036705882355</v>
      </c>
      <c r="E14" s="144">
        <v>637.29871058823551</v>
      </c>
      <c r="F14" s="143">
        <v>23.43051294117647</v>
      </c>
      <c r="G14" s="143">
        <v>0</v>
      </c>
      <c r="H14" s="142">
        <v>839.52941176470586</v>
      </c>
      <c r="I14" s="145">
        <v>53.910588235294121</v>
      </c>
      <c r="J14" s="143">
        <v>0</v>
      </c>
      <c r="K14" s="142">
        <f t="shared" si="1"/>
        <v>3923.5998117647068</v>
      </c>
      <c r="L14" s="142">
        <f>'Master escapements'!J23</f>
        <v>870</v>
      </c>
      <c r="M14" s="141">
        <f t="shared" si="2"/>
        <v>4793.5998117647068</v>
      </c>
      <c r="N14" s="144">
        <f t="shared" si="3"/>
        <v>3030.1598117647068</v>
      </c>
      <c r="O14" s="144">
        <f t="shared" si="4"/>
        <v>893.44</v>
      </c>
      <c r="P14" s="123">
        <v>1991</v>
      </c>
      <c r="Q14" s="142">
        <v>1836</v>
      </c>
      <c r="R14" s="144"/>
      <c r="S14" s="144"/>
      <c r="T14" s="144"/>
      <c r="U14" s="143"/>
      <c r="V14" s="143"/>
      <c r="W14" s="142"/>
      <c r="X14" s="145"/>
      <c r="Y14" s="143"/>
      <c r="Z14" s="142"/>
      <c r="AC14" s="123">
        <v>2016</v>
      </c>
      <c r="AD14" s="122">
        <v>123</v>
      </c>
      <c r="AE14" s="144">
        <v>767</v>
      </c>
      <c r="AF14" s="144">
        <v>150</v>
      </c>
      <c r="AG14" s="144">
        <v>429</v>
      </c>
      <c r="AH14" s="143">
        <v>0</v>
      </c>
      <c r="AI14" s="143">
        <v>90</v>
      </c>
      <c r="AJ14" s="143">
        <v>39</v>
      </c>
      <c r="AK14" s="142">
        <v>0</v>
      </c>
      <c r="AL14" s="143">
        <v>43</v>
      </c>
      <c r="AM14" s="142">
        <v>1518</v>
      </c>
      <c r="AN14" s="142">
        <v>948</v>
      </c>
      <c r="AO14" s="141">
        <v>2466</v>
      </c>
    </row>
    <row r="15" spans="1:42" ht="15" customHeight="1" x14ac:dyDescent="0.25">
      <c r="A15" s="123">
        <v>1991</v>
      </c>
      <c r="B15" s="122">
        <v>399</v>
      </c>
      <c r="C15" s="144">
        <v>2103.3371628347909</v>
      </c>
      <c r="D15" s="144">
        <v>190.38273981370753</v>
      </c>
      <c r="E15" s="144">
        <v>941.36737187933011</v>
      </c>
      <c r="F15" s="143">
        <v>0</v>
      </c>
      <c r="G15" s="143">
        <v>37.514133450477935</v>
      </c>
      <c r="H15" s="142">
        <v>613.83769615619281</v>
      </c>
      <c r="I15" s="145">
        <v>44.328295573181478</v>
      </c>
      <c r="J15" s="143">
        <v>0</v>
      </c>
      <c r="K15" s="142">
        <f t="shared" si="1"/>
        <v>3930.7673997076813</v>
      </c>
      <c r="L15" s="142">
        <f>'Master escapements'!J24</f>
        <v>1836</v>
      </c>
      <c r="M15" s="141">
        <f t="shared" si="2"/>
        <v>5766.7673997076818</v>
      </c>
      <c r="N15" s="144">
        <f t="shared" si="3"/>
        <v>3272.6014079783067</v>
      </c>
      <c r="O15" s="144">
        <f t="shared" si="4"/>
        <v>658.16599172937458</v>
      </c>
      <c r="P15" s="123">
        <v>1986</v>
      </c>
      <c r="Q15" s="142">
        <v>1782</v>
      </c>
      <c r="R15" s="144"/>
      <c r="S15" s="144"/>
      <c r="T15" s="144"/>
      <c r="U15" s="143"/>
      <c r="V15" s="143"/>
      <c r="W15" s="142"/>
      <c r="X15" s="145"/>
      <c r="Y15" s="143"/>
      <c r="Z15" s="142"/>
      <c r="AC15" s="123">
        <v>2004</v>
      </c>
      <c r="AD15" s="122">
        <v>244</v>
      </c>
      <c r="AE15" s="144">
        <v>1016.5876905103869</v>
      </c>
      <c r="AF15" s="144">
        <v>195.79950932428858</v>
      </c>
      <c r="AG15" s="144">
        <v>242.5300228641656</v>
      </c>
      <c r="AH15" s="143">
        <v>0</v>
      </c>
      <c r="AI15" s="143">
        <v>60.22243597422775</v>
      </c>
      <c r="AJ15" s="143">
        <v>48.174357545223735</v>
      </c>
      <c r="AK15" s="142">
        <v>19.613199976198032</v>
      </c>
      <c r="AL15" s="143">
        <v>68.631136015021696</v>
      </c>
      <c r="AM15" s="142">
        <v>1651.5583522095121</v>
      </c>
      <c r="AN15" s="142">
        <v>840</v>
      </c>
      <c r="AO15" s="141">
        <v>2491.5583522095121</v>
      </c>
      <c r="AP15" s="117">
        <f>COUNT(AO6:AO16)</f>
        <v>11</v>
      </c>
    </row>
    <row r="16" spans="1:42" ht="15" customHeight="1" x14ac:dyDescent="0.25">
      <c r="A16" s="123">
        <v>1992</v>
      </c>
      <c r="B16" s="122">
        <v>497</v>
      </c>
      <c r="C16" s="144">
        <v>1854.4718550844138</v>
      </c>
      <c r="D16" s="144">
        <v>676.05262739113959</v>
      </c>
      <c r="E16" s="144">
        <v>600.04224922926312</v>
      </c>
      <c r="F16" s="143">
        <v>0</v>
      </c>
      <c r="G16" s="143">
        <v>39.89474077896304</v>
      </c>
      <c r="H16" s="142">
        <v>288.54565929833268</v>
      </c>
      <c r="I16" s="145">
        <v>9.674504693885547</v>
      </c>
      <c r="J16" s="143">
        <v>0</v>
      </c>
      <c r="K16" s="142">
        <f t="shared" si="1"/>
        <v>3468.6816364759979</v>
      </c>
      <c r="L16" s="142">
        <f>'Master escapements'!J25</f>
        <v>1426</v>
      </c>
      <c r="M16" s="141">
        <f t="shared" si="2"/>
        <v>4894.6816364759979</v>
      </c>
      <c r="N16" s="144">
        <f t="shared" si="3"/>
        <v>3170.4614724837797</v>
      </c>
      <c r="O16" s="144">
        <f t="shared" si="4"/>
        <v>298.2201639922182</v>
      </c>
      <c r="P16" s="123">
        <v>1995</v>
      </c>
      <c r="Q16" s="142">
        <v>1781</v>
      </c>
      <c r="R16" s="144"/>
      <c r="S16" s="144"/>
      <c r="T16" s="144"/>
      <c r="U16" s="143"/>
      <c r="V16" s="143"/>
      <c r="W16" s="142"/>
      <c r="X16" s="145"/>
      <c r="Y16" s="143"/>
      <c r="Z16" s="142"/>
      <c r="AC16" s="123">
        <v>1997</v>
      </c>
      <c r="AD16" s="122">
        <v>480</v>
      </c>
      <c r="AE16" s="144">
        <v>1321.3277620440876</v>
      </c>
      <c r="AF16" s="144">
        <v>108.33369975951904</v>
      </c>
      <c r="AG16" s="144">
        <v>397.41381671342657</v>
      </c>
      <c r="AH16" s="143">
        <v>0</v>
      </c>
      <c r="AI16" s="143">
        <v>45.347849058116232</v>
      </c>
      <c r="AJ16" s="142">
        <v>91.180881763527054</v>
      </c>
      <c r="AK16" s="142">
        <v>0</v>
      </c>
      <c r="AL16" s="143">
        <v>0</v>
      </c>
      <c r="AM16" s="142">
        <v>1963.6040093386764</v>
      </c>
      <c r="AN16" s="142">
        <v>732</v>
      </c>
      <c r="AO16" s="141">
        <v>2695.6040093386764</v>
      </c>
      <c r="AP16" s="117">
        <f>COUNT(AO6:AO41)</f>
        <v>36</v>
      </c>
    </row>
    <row r="17" spans="1:41" ht="15" customHeight="1" x14ac:dyDescent="0.25">
      <c r="A17" s="123">
        <v>1993</v>
      </c>
      <c r="B17" s="122">
        <v>155</v>
      </c>
      <c r="C17" s="144">
        <v>2227.1374611627898</v>
      </c>
      <c r="D17" s="144">
        <v>269.05791976744183</v>
      </c>
      <c r="E17" s="144">
        <v>665.89967930232558</v>
      </c>
      <c r="F17" s="143">
        <v>0</v>
      </c>
      <c r="G17" s="143">
        <v>0</v>
      </c>
      <c r="H17" s="142">
        <v>206.97906976744187</v>
      </c>
      <c r="I17" s="145">
        <v>40.728139534883724</v>
      </c>
      <c r="J17" s="143">
        <v>0</v>
      </c>
      <c r="K17" s="142">
        <f t="shared" si="1"/>
        <v>3409.8022695348832</v>
      </c>
      <c r="L17" s="142">
        <f>'Master escapements'!J26</f>
        <v>832</v>
      </c>
      <c r="M17" s="141">
        <f t="shared" si="2"/>
        <v>4241.8022695348827</v>
      </c>
      <c r="N17" s="144">
        <f t="shared" si="3"/>
        <v>3162.0950602325574</v>
      </c>
      <c r="O17" s="144">
        <f t="shared" si="4"/>
        <v>247.70720930232574</v>
      </c>
      <c r="P17" s="123">
        <v>1994</v>
      </c>
      <c r="Q17" s="142">
        <v>1753</v>
      </c>
      <c r="R17" s="144"/>
      <c r="S17" s="144"/>
      <c r="T17" s="144"/>
      <c r="U17" s="143"/>
      <c r="V17" s="143">
        <f>AVERAGE(M17:M19)</f>
        <v>6804.5839379811623</v>
      </c>
      <c r="W17" s="142"/>
      <c r="X17" s="145"/>
      <c r="Y17" s="143"/>
      <c r="Z17" s="142"/>
      <c r="AC17" s="123">
        <v>2001</v>
      </c>
      <c r="AD17" s="122">
        <v>314</v>
      </c>
      <c r="AE17" s="144">
        <v>696.43144301589678</v>
      </c>
      <c r="AF17" s="144">
        <v>454.05257945800253</v>
      </c>
      <c r="AG17" s="144">
        <v>324.00724469782892</v>
      </c>
      <c r="AH17" s="143">
        <v>0</v>
      </c>
      <c r="AI17" s="143">
        <v>58.211840449136389</v>
      </c>
      <c r="AJ17" s="142">
        <v>6.7067296712134574</v>
      </c>
      <c r="AK17" s="142">
        <v>0</v>
      </c>
      <c r="AL17" s="143">
        <v>0</v>
      </c>
      <c r="AM17" s="142">
        <v>1539.4098372920782</v>
      </c>
      <c r="AN17" s="142">
        <v>1580</v>
      </c>
      <c r="AO17" s="141">
        <v>3119.409837292078</v>
      </c>
    </row>
    <row r="18" spans="1:41" ht="15" customHeight="1" x14ac:dyDescent="0.25">
      <c r="A18" s="123">
        <v>1994</v>
      </c>
      <c r="B18" s="122">
        <v>838</v>
      </c>
      <c r="C18" s="144">
        <v>4333.0464887241487</v>
      </c>
      <c r="D18" s="144">
        <v>1123.2477566977038</v>
      </c>
      <c r="E18" s="144">
        <v>1450.2443839491386</v>
      </c>
      <c r="F18" s="143">
        <v>0</v>
      </c>
      <c r="G18" s="143">
        <v>44.973784669455554</v>
      </c>
      <c r="H18" s="142">
        <v>693.59562172941673</v>
      </c>
      <c r="I18" s="145">
        <v>52.707211851318725</v>
      </c>
      <c r="J18" s="143">
        <v>12.943417749988752</v>
      </c>
      <c r="K18" s="142">
        <f t="shared" si="1"/>
        <v>7710.7586653711714</v>
      </c>
      <c r="L18" s="142">
        <f>'Master escapements'!J27</f>
        <v>1753</v>
      </c>
      <c r="M18" s="141">
        <f t="shared" si="2"/>
        <v>9463.7586653711714</v>
      </c>
      <c r="N18" s="144">
        <f t="shared" si="3"/>
        <v>6951.5124140404469</v>
      </c>
      <c r="O18" s="144">
        <f t="shared" si="4"/>
        <v>759.24625133072459</v>
      </c>
      <c r="P18" s="123">
        <v>2008</v>
      </c>
      <c r="Q18" s="142">
        <v>1741</v>
      </c>
      <c r="R18" s="144">
        <f>COUNT(Q6:Q19)</f>
        <v>14</v>
      </c>
      <c r="S18" s="144"/>
      <c r="T18" s="144"/>
      <c r="U18" s="143"/>
      <c r="V18" s="143">
        <f>AVERAGE(M37:M38)</f>
        <v>7306.5</v>
      </c>
      <c r="W18" s="142"/>
      <c r="X18" s="145"/>
      <c r="Y18" s="143"/>
      <c r="Z18" s="142"/>
      <c r="AC18" s="123">
        <v>2007</v>
      </c>
      <c r="AD18" s="122">
        <v>294</v>
      </c>
      <c r="AE18" s="144">
        <v>1262.171751366167</v>
      </c>
      <c r="AF18" s="144">
        <v>174.79713462621083</v>
      </c>
      <c r="AG18" s="144">
        <v>300.44625267657352</v>
      </c>
      <c r="AH18" s="143">
        <v>0</v>
      </c>
      <c r="AI18" s="143">
        <v>73.506293740125813</v>
      </c>
      <c r="AJ18" s="143">
        <v>56.944182230046096</v>
      </c>
      <c r="AK18" s="142">
        <v>11.406272786574684</v>
      </c>
      <c r="AL18" s="143">
        <v>185.78420872502411</v>
      </c>
      <c r="AM18" s="142">
        <v>2065.0560961507222</v>
      </c>
      <c r="AN18" s="142">
        <v>1244</v>
      </c>
      <c r="AO18" s="141">
        <v>3309.0560961507222</v>
      </c>
    </row>
    <row r="19" spans="1:41" ht="15" customHeight="1" x14ac:dyDescent="0.25">
      <c r="A19" s="123">
        <v>1995</v>
      </c>
      <c r="B19" s="122">
        <v>432</v>
      </c>
      <c r="C19" s="144">
        <v>2018.3078434224599</v>
      </c>
      <c r="D19" s="144">
        <v>947.30315721925137</v>
      </c>
      <c r="E19" s="144">
        <v>1587.994004491979</v>
      </c>
      <c r="F19" s="143">
        <v>0</v>
      </c>
      <c r="G19" s="143">
        <v>98.103200106951888</v>
      </c>
      <c r="H19" s="142">
        <v>236.46823529411765</v>
      </c>
      <c r="I19" s="145">
        <v>28.32855614973262</v>
      </c>
      <c r="J19" s="143">
        <v>10.685882352941178</v>
      </c>
      <c r="K19" s="142">
        <f t="shared" si="1"/>
        <v>4927.1908790374318</v>
      </c>
      <c r="L19" s="142">
        <f>'Master escapements'!J28</f>
        <v>1781</v>
      </c>
      <c r="M19" s="141">
        <f t="shared" si="2"/>
        <v>6708.1908790374318</v>
      </c>
      <c r="N19" s="144">
        <f t="shared" si="3"/>
        <v>4651.7082052406413</v>
      </c>
      <c r="O19" s="144">
        <f t="shared" si="4"/>
        <v>275.48267379679055</v>
      </c>
      <c r="P19" s="123">
        <v>2005</v>
      </c>
      <c r="Q19" s="142">
        <v>1732</v>
      </c>
      <c r="R19" s="144">
        <f>COUNT(Q20:Q39)</f>
        <v>20</v>
      </c>
      <c r="S19" s="144"/>
      <c r="T19" s="144"/>
      <c r="U19" s="143"/>
      <c r="V19" s="143"/>
      <c r="W19" s="142"/>
      <c r="X19" s="145"/>
      <c r="Y19" s="143"/>
      <c r="Z19" s="142"/>
      <c r="AC19" s="123">
        <v>2005</v>
      </c>
      <c r="AD19" s="122">
        <v>256</v>
      </c>
      <c r="AE19" s="144">
        <v>1162.8187437705315</v>
      </c>
      <c r="AF19" s="144">
        <v>122.43815947334167</v>
      </c>
      <c r="AG19" s="144">
        <v>531.96469839836129</v>
      </c>
      <c r="AH19" s="143">
        <v>0</v>
      </c>
      <c r="AI19" s="143">
        <v>59.098984495073381</v>
      </c>
      <c r="AJ19" s="143">
        <v>35.779283741039933</v>
      </c>
      <c r="AK19" s="142">
        <v>8.115957219251337</v>
      </c>
      <c r="AL19" s="143">
        <v>0</v>
      </c>
      <c r="AM19" s="142">
        <v>1920.2158270975992</v>
      </c>
      <c r="AN19" s="142">
        <v>1732</v>
      </c>
      <c r="AO19" s="141">
        <v>3652.2158270975992</v>
      </c>
    </row>
    <row r="20" spans="1:41" ht="15" customHeight="1" x14ac:dyDescent="0.25">
      <c r="A20" s="123">
        <v>1996</v>
      </c>
      <c r="B20" s="122">
        <v>502</v>
      </c>
      <c r="C20" s="144">
        <v>1585.4382060305347</v>
      </c>
      <c r="D20" s="144">
        <v>622.76244124045809</v>
      </c>
      <c r="E20" s="144">
        <v>486.597916908397</v>
      </c>
      <c r="F20" s="143">
        <v>0</v>
      </c>
      <c r="G20" s="143">
        <v>125.30083812977099</v>
      </c>
      <c r="H20" s="142">
        <v>125.27635496183208</v>
      </c>
      <c r="I20" s="145">
        <v>38.465935114503814</v>
      </c>
      <c r="J20" s="143">
        <v>14.178206106870231</v>
      </c>
      <c r="K20" s="142">
        <f t="shared" si="1"/>
        <v>2998.0198984923668</v>
      </c>
      <c r="L20" s="142">
        <f>'Master escapements'!J29</f>
        <v>950</v>
      </c>
      <c r="M20" s="141">
        <f t="shared" si="2"/>
        <v>3948.0198984923668</v>
      </c>
      <c r="N20" s="144">
        <f t="shared" si="3"/>
        <v>2820.0994023091607</v>
      </c>
      <c r="O20" s="144">
        <f t="shared" si="4"/>
        <v>177.92049618320607</v>
      </c>
      <c r="P20" s="123">
        <v>2001</v>
      </c>
      <c r="Q20" s="142">
        <v>1580</v>
      </c>
      <c r="R20" s="144">
        <v>1</v>
      </c>
      <c r="S20" s="144"/>
      <c r="T20" s="144"/>
      <c r="U20" s="143"/>
      <c r="V20" s="143"/>
      <c r="W20" s="142"/>
      <c r="X20" s="145"/>
      <c r="Y20" s="143"/>
      <c r="Z20" s="142"/>
      <c r="AC20" s="123">
        <v>2003</v>
      </c>
      <c r="AD20" s="122">
        <v>335</v>
      </c>
      <c r="AE20" s="144">
        <v>894.44455078994667</v>
      </c>
      <c r="AF20" s="144">
        <v>353.85587747592575</v>
      </c>
      <c r="AG20" s="144">
        <v>689.92190279630154</v>
      </c>
      <c r="AH20" s="143">
        <v>0</v>
      </c>
      <c r="AI20" s="143">
        <v>105.92788776375718</v>
      </c>
      <c r="AJ20" s="143">
        <v>91.350389088974495</v>
      </c>
      <c r="AK20" s="142">
        <v>30.901660813230482</v>
      </c>
      <c r="AL20" s="143">
        <v>0</v>
      </c>
      <c r="AM20" s="142">
        <v>2166.4022687281363</v>
      </c>
      <c r="AN20" s="142">
        <v>1510</v>
      </c>
      <c r="AO20" s="141">
        <v>3676.4022687281363</v>
      </c>
    </row>
    <row r="21" spans="1:41" ht="15" customHeight="1" x14ac:dyDescent="0.25">
      <c r="A21" s="123">
        <v>1997</v>
      </c>
      <c r="B21" s="122">
        <v>480</v>
      </c>
      <c r="C21" s="144">
        <v>1321.3277620440876</v>
      </c>
      <c r="D21" s="144">
        <v>108.33369975951904</v>
      </c>
      <c r="E21" s="144">
        <v>397.41381671342657</v>
      </c>
      <c r="F21" s="143">
        <v>0</v>
      </c>
      <c r="G21" s="143">
        <v>45.347849058116232</v>
      </c>
      <c r="H21" s="142">
        <v>91.180881763527054</v>
      </c>
      <c r="I21" s="142">
        <v>0</v>
      </c>
      <c r="J21" s="143">
        <v>0</v>
      </c>
      <c r="K21" s="142">
        <f t="shared" si="1"/>
        <v>1963.6040093386764</v>
      </c>
      <c r="L21" s="142">
        <f>'Master escapements'!J30</f>
        <v>732</v>
      </c>
      <c r="M21" s="141">
        <f t="shared" si="2"/>
        <v>2695.6040093386764</v>
      </c>
      <c r="N21" s="144">
        <f t="shared" si="3"/>
        <v>1872.4231275751495</v>
      </c>
      <c r="O21" s="144">
        <f t="shared" si="4"/>
        <v>91.180881763526941</v>
      </c>
      <c r="P21" s="123">
        <v>2003</v>
      </c>
      <c r="Q21" s="142">
        <v>1510</v>
      </c>
      <c r="R21" s="144"/>
      <c r="S21" s="144"/>
      <c r="T21" s="144"/>
      <c r="U21" s="143"/>
      <c r="V21" s="143"/>
      <c r="W21" s="142"/>
      <c r="X21" s="142"/>
      <c r="Y21" s="143"/>
      <c r="Z21" s="142"/>
      <c r="AC21" s="123">
        <v>2008</v>
      </c>
      <c r="AD21" s="122">
        <v>302</v>
      </c>
      <c r="AE21" s="144">
        <v>716</v>
      </c>
      <c r="AF21" s="144">
        <v>244</v>
      </c>
      <c r="AG21" s="144">
        <v>779</v>
      </c>
      <c r="AH21" s="143">
        <v>0</v>
      </c>
      <c r="AI21" s="143">
        <v>33</v>
      </c>
      <c r="AJ21" s="143">
        <v>59</v>
      </c>
      <c r="AK21" s="142">
        <v>12</v>
      </c>
      <c r="AL21" s="143">
        <v>192</v>
      </c>
      <c r="AM21" s="142">
        <v>2035</v>
      </c>
      <c r="AN21" s="142">
        <v>1741</v>
      </c>
      <c r="AO21" s="141">
        <v>3776</v>
      </c>
    </row>
    <row r="22" spans="1:41" ht="15" customHeight="1" x14ac:dyDescent="0.25">
      <c r="A22" s="123">
        <v>1998</v>
      </c>
      <c r="B22" s="122">
        <v>668</v>
      </c>
      <c r="C22" s="144">
        <v>1771.4823739124367</v>
      </c>
      <c r="D22" s="144">
        <v>471.146411815269</v>
      </c>
      <c r="E22" s="144">
        <v>980.26978284166501</v>
      </c>
      <c r="F22" s="143">
        <v>0</v>
      </c>
      <c r="G22" s="143">
        <v>150.15314072455863</v>
      </c>
      <c r="H22" s="142">
        <v>0</v>
      </c>
      <c r="I22" s="142">
        <v>0</v>
      </c>
      <c r="J22" s="143">
        <v>15.215574775080631</v>
      </c>
      <c r="K22" s="142">
        <f t="shared" si="1"/>
        <v>3388.2672840690097</v>
      </c>
      <c r="L22" s="142">
        <f>'Master escapements'!J31</f>
        <v>983</v>
      </c>
      <c r="M22" s="141">
        <f t="shared" si="2"/>
        <v>4371.2672840690102</v>
      </c>
      <c r="N22" s="144">
        <f t="shared" si="3"/>
        <v>3373.051709293929</v>
      </c>
      <c r="O22" s="144">
        <f t="shared" si="4"/>
        <v>15.215574775080768</v>
      </c>
      <c r="P22" s="123">
        <v>1983</v>
      </c>
      <c r="Q22" s="142">
        <v>1487</v>
      </c>
      <c r="R22" s="144"/>
      <c r="S22" s="144"/>
      <c r="T22" s="144"/>
      <c r="U22" s="143"/>
      <c r="V22" s="143"/>
      <c r="W22" s="142"/>
      <c r="X22" s="142"/>
      <c r="Y22" s="143"/>
      <c r="Z22" s="142"/>
      <c r="AC22" s="123">
        <v>1983</v>
      </c>
      <c r="AD22" s="122">
        <v>185</v>
      </c>
      <c r="AE22" s="144">
        <v>1373.619409225608</v>
      </c>
      <c r="AF22" s="144">
        <v>424.10339390550746</v>
      </c>
      <c r="AG22" s="144">
        <v>276.85973597987146</v>
      </c>
      <c r="AH22" s="143">
        <v>48.849419289907743</v>
      </c>
      <c r="AI22" s="143">
        <v>0</v>
      </c>
      <c r="AJ22" s="142">
        <v>214.16382443388315</v>
      </c>
      <c r="AK22" s="145">
        <v>50.041822756499862</v>
      </c>
      <c r="AL22" s="143">
        <v>0</v>
      </c>
      <c r="AM22" s="142">
        <v>2387.6376055912779</v>
      </c>
      <c r="AN22" s="142">
        <v>1487</v>
      </c>
      <c r="AO22" s="141">
        <v>3874.6376055912779</v>
      </c>
    </row>
    <row r="23" spans="1:41" ht="15" customHeight="1" x14ac:dyDescent="0.25">
      <c r="A23" s="123">
        <v>1999</v>
      </c>
      <c r="B23" s="122">
        <v>623</v>
      </c>
      <c r="C23" s="144">
        <v>1756.6023003284683</v>
      </c>
      <c r="D23" s="144">
        <v>282.87710602189782</v>
      </c>
      <c r="E23" s="144">
        <v>725.82275186131346</v>
      </c>
      <c r="F23" s="143">
        <v>0</v>
      </c>
      <c r="G23" s="143">
        <v>179.53337423357664</v>
      </c>
      <c r="H23" s="142">
        <v>0</v>
      </c>
      <c r="I23" s="142">
        <v>0</v>
      </c>
      <c r="J23" s="143">
        <v>30.346751824817517</v>
      </c>
      <c r="K23" s="142">
        <f t="shared" si="1"/>
        <v>2975.182284270074</v>
      </c>
      <c r="L23" s="142">
        <f>'Master escapements'!J32</f>
        <v>1246</v>
      </c>
      <c r="M23" s="141">
        <f t="shared" si="2"/>
        <v>4221.182284270074</v>
      </c>
      <c r="N23" s="144">
        <f t="shared" si="3"/>
        <v>2944.8355324452564</v>
      </c>
      <c r="O23" s="144">
        <f t="shared" si="4"/>
        <v>30.346751824817602</v>
      </c>
      <c r="P23" s="123">
        <v>1992</v>
      </c>
      <c r="Q23" s="142">
        <v>1426</v>
      </c>
      <c r="R23" s="144"/>
      <c r="S23" s="144"/>
      <c r="T23" s="144"/>
      <c r="U23" s="143"/>
      <c r="V23" s="143"/>
      <c r="W23" s="142"/>
      <c r="X23" s="142"/>
      <c r="Y23" s="143"/>
      <c r="Z23" s="142"/>
      <c r="AC23" s="123">
        <v>2011</v>
      </c>
      <c r="AD23" s="122">
        <v>376</v>
      </c>
      <c r="AE23" s="144">
        <v>778</v>
      </c>
      <c r="AF23" s="144">
        <v>148</v>
      </c>
      <c r="AG23" s="144">
        <v>417</v>
      </c>
      <c r="AH23" s="143">
        <v>0</v>
      </c>
      <c r="AI23" s="143">
        <v>25</v>
      </c>
      <c r="AJ23" s="143">
        <v>189</v>
      </c>
      <c r="AK23" s="142">
        <v>4</v>
      </c>
      <c r="AL23" s="143">
        <v>239</v>
      </c>
      <c r="AM23" s="142">
        <v>1800</v>
      </c>
      <c r="AN23" s="142">
        <v>2137</v>
      </c>
      <c r="AO23" s="141">
        <v>3937</v>
      </c>
    </row>
    <row r="24" spans="1:41" ht="15" customHeight="1" x14ac:dyDescent="0.25">
      <c r="A24" s="123">
        <v>2000</v>
      </c>
      <c r="B24" s="122">
        <v>161</v>
      </c>
      <c r="C24" s="144">
        <v>488.56200189944082</v>
      </c>
      <c r="D24" s="144">
        <v>45.446732346368705</v>
      </c>
      <c r="E24" s="144">
        <v>115.74139016759777</v>
      </c>
      <c r="F24" s="143">
        <v>0</v>
      </c>
      <c r="G24" s="143">
        <v>96.67888444134077</v>
      </c>
      <c r="H24" s="142">
        <v>0</v>
      </c>
      <c r="I24" s="142">
        <v>0</v>
      </c>
      <c r="J24" s="143">
        <v>0</v>
      </c>
      <c r="K24" s="142">
        <f t="shared" si="1"/>
        <v>746.42900885474796</v>
      </c>
      <c r="L24" s="142">
        <f>'Master escapements'!J33</f>
        <v>600</v>
      </c>
      <c r="M24" s="141">
        <f t="shared" si="2"/>
        <v>1346.429008854748</v>
      </c>
      <c r="N24" s="144">
        <f t="shared" si="3"/>
        <v>746.42900885474796</v>
      </c>
      <c r="O24" s="144">
        <f t="shared" si="4"/>
        <v>0</v>
      </c>
      <c r="P24" s="123">
        <v>1984</v>
      </c>
      <c r="Q24" s="142">
        <v>1407</v>
      </c>
      <c r="R24" s="144"/>
      <c r="S24" s="144"/>
      <c r="T24" s="144"/>
      <c r="U24" s="143"/>
      <c r="V24" s="143"/>
      <c r="W24" s="142"/>
      <c r="X24" s="142"/>
      <c r="Y24" s="143"/>
      <c r="Z24" s="142"/>
      <c r="AC24" s="123">
        <v>1996</v>
      </c>
      <c r="AD24" s="122">
        <v>502</v>
      </c>
      <c r="AE24" s="144">
        <v>1585.4382060305347</v>
      </c>
      <c r="AF24" s="144">
        <v>622.76244124045809</v>
      </c>
      <c r="AG24" s="144">
        <v>486.597916908397</v>
      </c>
      <c r="AH24" s="143">
        <v>0</v>
      </c>
      <c r="AI24" s="143">
        <v>125.30083812977099</v>
      </c>
      <c r="AJ24" s="142">
        <v>125.27635496183208</v>
      </c>
      <c r="AK24" s="145">
        <v>38.465935114503814</v>
      </c>
      <c r="AL24" s="143">
        <v>14.178206106870231</v>
      </c>
      <c r="AM24" s="142">
        <v>2998.0198984923668</v>
      </c>
      <c r="AN24" s="142">
        <v>950</v>
      </c>
      <c r="AO24" s="141">
        <v>3948.0198984923668</v>
      </c>
    </row>
    <row r="25" spans="1:41" ht="15" customHeight="1" x14ac:dyDescent="0.25">
      <c r="A25" s="123">
        <v>2001</v>
      </c>
      <c r="B25" s="122">
        <v>314</v>
      </c>
      <c r="C25" s="144">
        <v>696.43144301589678</v>
      </c>
      <c r="D25" s="144">
        <v>454.05257945800253</v>
      </c>
      <c r="E25" s="144">
        <v>324.00724469782892</v>
      </c>
      <c r="F25" s="143">
        <v>0</v>
      </c>
      <c r="G25" s="143">
        <v>58.211840449136389</v>
      </c>
      <c r="H25" s="142">
        <v>6.7067296712134574</v>
      </c>
      <c r="I25" s="142">
        <v>0</v>
      </c>
      <c r="J25" s="143">
        <v>0</v>
      </c>
      <c r="K25" s="142">
        <f t="shared" si="1"/>
        <v>1539.4098372920782</v>
      </c>
      <c r="L25" s="142">
        <f>'Master escapements'!J34</f>
        <v>1580</v>
      </c>
      <c r="M25" s="141">
        <f t="shared" si="2"/>
        <v>3119.409837292078</v>
      </c>
      <c r="N25" s="144">
        <f t="shared" si="3"/>
        <v>1532.7031076208648</v>
      </c>
      <c r="O25" s="144">
        <f t="shared" si="4"/>
        <v>6.7067296712134521</v>
      </c>
      <c r="P25" s="123">
        <v>1999</v>
      </c>
      <c r="Q25" s="142">
        <v>1246</v>
      </c>
      <c r="R25" s="144"/>
      <c r="S25" s="144"/>
      <c r="T25" s="144"/>
      <c r="U25" s="143"/>
      <c r="V25" s="143"/>
      <c r="W25" s="142"/>
      <c r="X25" s="142"/>
      <c r="Y25" s="143"/>
      <c r="Z25" s="142"/>
      <c r="AC25" s="123">
        <v>1984</v>
      </c>
      <c r="AD25" s="122">
        <v>151</v>
      </c>
      <c r="AE25" s="144">
        <v>1266.002262812432</v>
      </c>
      <c r="AF25" s="144">
        <v>503.58102019560965</v>
      </c>
      <c r="AG25" s="144">
        <v>471.28403710497736</v>
      </c>
      <c r="AH25" s="143">
        <v>18.163707228863288</v>
      </c>
      <c r="AI25" s="143">
        <v>0</v>
      </c>
      <c r="AJ25" s="142">
        <v>331.08962399478372</v>
      </c>
      <c r="AK25" s="145">
        <v>26.54115192349489</v>
      </c>
      <c r="AL25" s="143">
        <v>0</v>
      </c>
      <c r="AM25" s="142">
        <v>2616.6618032601609</v>
      </c>
      <c r="AN25" s="142">
        <v>1407</v>
      </c>
      <c r="AO25" s="141">
        <v>4023.6618032601609</v>
      </c>
    </row>
    <row r="26" spans="1:41" ht="15" customHeight="1" x14ac:dyDescent="0.25">
      <c r="A26" s="123">
        <v>2002</v>
      </c>
      <c r="B26" s="122">
        <v>434</v>
      </c>
      <c r="C26" s="144">
        <v>891.5136973965391</v>
      </c>
      <c r="D26" s="144">
        <v>450.93311668171555</v>
      </c>
      <c r="E26" s="144">
        <v>554.80577196764466</v>
      </c>
      <c r="F26" s="143">
        <v>0</v>
      </c>
      <c r="G26" s="143">
        <v>91.344742949586163</v>
      </c>
      <c r="H26" s="142">
        <v>65.045127915726113</v>
      </c>
      <c r="I26" s="142">
        <v>0</v>
      </c>
      <c r="J26" s="143">
        <v>61.30549285176825</v>
      </c>
      <c r="K26" s="142">
        <f t="shared" si="1"/>
        <v>2114.9479497629795</v>
      </c>
      <c r="L26" s="142">
        <f>'Master escapements'!J35</f>
        <v>3291</v>
      </c>
      <c r="M26" s="141">
        <f t="shared" si="2"/>
        <v>5405.94794976298</v>
      </c>
      <c r="N26" s="144">
        <f t="shared" si="3"/>
        <v>1988.5973289954854</v>
      </c>
      <c r="O26" s="144">
        <f t="shared" si="4"/>
        <v>126.35062076749409</v>
      </c>
      <c r="P26" s="123">
        <v>2007</v>
      </c>
      <c r="Q26" s="142">
        <v>1244</v>
      </c>
      <c r="R26" s="144"/>
      <c r="S26" s="144"/>
      <c r="T26" s="144"/>
      <c r="U26" s="143"/>
      <c r="V26" s="143"/>
      <c r="W26" s="142"/>
      <c r="X26" s="142"/>
      <c r="Y26" s="143"/>
      <c r="Z26" s="142"/>
      <c r="AC26" s="123">
        <v>2012</v>
      </c>
      <c r="AD26" s="122">
        <v>542</v>
      </c>
      <c r="AE26" s="144">
        <v>821</v>
      </c>
      <c r="AF26" s="144">
        <v>348</v>
      </c>
      <c r="AG26" s="144">
        <v>703</v>
      </c>
      <c r="AH26" s="143">
        <v>0</v>
      </c>
      <c r="AI26" s="143">
        <v>41</v>
      </c>
      <c r="AJ26" s="143">
        <v>169</v>
      </c>
      <c r="AK26" s="142">
        <v>0</v>
      </c>
      <c r="AL26" s="143">
        <v>173</v>
      </c>
      <c r="AM26" s="142">
        <v>2255</v>
      </c>
      <c r="AN26" s="142">
        <v>1908</v>
      </c>
      <c r="AO26" s="141">
        <v>4163</v>
      </c>
    </row>
    <row r="27" spans="1:41" ht="15" customHeight="1" x14ac:dyDescent="0.25">
      <c r="A27" s="123">
        <v>2003</v>
      </c>
      <c r="B27" s="122">
        <v>335</v>
      </c>
      <c r="C27" s="144">
        <v>894.44455078994667</v>
      </c>
      <c r="D27" s="144">
        <v>353.85587747592575</v>
      </c>
      <c r="E27" s="144">
        <v>689.92190279630154</v>
      </c>
      <c r="F27" s="143">
        <v>0</v>
      </c>
      <c r="G27" s="143">
        <v>105.92788776375718</v>
      </c>
      <c r="H27" s="143">
        <v>91.350389088974495</v>
      </c>
      <c r="I27" s="142">
        <v>30.901660813230482</v>
      </c>
      <c r="J27" s="143">
        <v>0</v>
      </c>
      <c r="K27" s="142">
        <f t="shared" si="1"/>
        <v>2166.4022687281363</v>
      </c>
      <c r="L27" s="142">
        <f>'Master escapements'!J36</f>
        <v>1510</v>
      </c>
      <c r="M27" s="141">
        <f t="shared" si="2"/>
        <v>3676.4022687281363</v>
      </c>
      <c r="N27" s="144">
        <f t="shared" si="3"/>
        <v>2044.150218825931</v>
      </c>
      <c r="O27" s="144">
        <f t="shared" si="4"/>
        <v>122.25204990220527</v>
      </c>
      <c r="P27" s="123">
        <v>1987</v>
      </c>
      <c r="Q27" s="142">
        <v>1117</v>
      </c>
      <c r="R27" s="144"/>
      <c r="S27">
        <v>275</v>
      </c>
      <c r="T27" s="400" t="s">
        <v>413</v>
      </c>
      <c r="U27"/>
      <c r="V27"/>
      <c r="W27"/>
      <c r="X27"/>
      <c r="Y27"/>
      <c r="Z27" s="142"/>
      <c r="AC27" s="123">
        <v>1999</v>
      </c>
      <c r="AD27" s="122">
        <v>623</v>
      </c>
      <c r="AE27" s="144">
        <v>1756.6023003284683</v>
      </c>
      <c r="AF27" s="144">
        <v>282.87710602189782</v>
      </c>
      <c r="AG27" s="144">
        <v>725.82275186131346</v>
      </c>
      <c r="AH27" s="143">
        <v>0</v>
      </c>
      <c r="AI27" s="143">
        <v>179.53337423357664</v>
      </c>
      <c r="AJ27" s="142">
        <v>0</v>
      </c>
      <c r="AK27" s="142">
        <v>0</v>
      </c>
      <c r="AL27" s="143">
        <v>30.346751824817517</v>
      </c>
      <c r="AM27" s="142">
        <v>2975.182284270074</v>
      </c>
      <c r="AN27" s="142">
        <v>1246</v>
      </c>
      <c r="AO27" s="141">
        <v>4221.182284270074</v>
      </c>
    </row>
    <row r="28" spans="1:41" ht="15" customHeight="1" x14ac:dyDescent="0.25">
      <c r="A28" s="123">
        <v>2004</v>
      </c>
      <c r="B28" s="122">
        <v>244</v>
      </c>
      <c r="C28" s="144">
        <v>1016.5876905103869</v>
      </c>
      <c r="D28" s="144">
        <v>195.79950932428858</v>
      </c>
      <c r="E28" s="144">
        <v>242.5300228641656</v>
      </c>
      <c r="F28" s="143">
        <v>0</v>
      </c>
      <c r="G28" s="143">
        <v>60.22243597422775</v>
      </c>
      <c r="H28" s="143">
        <v>48.174357545223735</v>
      </c>
      <c r="I28" s="142">
        <v>19.613199976198032</v>
      </c>
      <c r="J28" s="143">
        <v>68.631136015021696</v>
      </c>
      <c r="K28" s="142">
        <f t="shared" si="1"/>
        <v>1651.5583522095121</v>
      </c>
      <c r="L28" s="142">
        <f>'Master escapements'!J37</f>
        <v>840</v>
      </c>
      <c r="M28" s="141">
        <f t="shared" si="2"/>
        <v>2491.5583522095121</v>
      </c>
      <c r="N28" s="144">
        <f t="shared" si="3"/>
        <v>1515.1396586730687</v>
      </c>
      <c r="O28" s="144">
        <f t="shared" si="4"/>
        <v>136.41869353644347</v>
      </c>
      <c r="P28" s="123">
        <v>1998</v>
      </c>
      <c r="Q28" s="142">
        <v>983</v>
      </c>
      <c r="R28" s="144"/>
      <c r="S28">
        <v>97</v>
      </c>
      <c r="T28" s="400" t="s">
        <v>414</v>
      </c>
      <c r="U28"/>
      <c r="V28"/>
      <c r="W28"/>
      <c r="X28"/>
      <c r="Y28"/>
      <c r="Z28" s="142"/>
      <c r="AC28" s="123">
        <v>1993</v>
      </c>
      <c r="AD28" s="122">
        <v>155</v>
      </c>
      <c r="AE28" s="144">
        <v>2227.1374611627898</v>
      </c>
      <c r="AF28" s="144">
        <v>269.05791976744183</v>
      </c>
      <c r="AG28" s="144">
        <v>665.89967930232558</v>
      </c>
      <c r="AH28" s="143">
        <v>0</v>
      </c>
      <c r="AI28" s="143">
        <v>0</v>
      </c>
      <c r="AJ28" s="142">
        <v>206.97906976744187</v>
      </c>
      <c r="AK28" s="145">
        <v>40.728139534883724</v>
      </c>
      <c r="AL28" s="143">
        <v>0</v>
      </c>
      <c r="AM28" s="142">
        <v>3409.8022695348832</v>
      </c>
      <c r="AN28" s="142">
        <v>832</v>
      </c>
      <c r="AO28" s="141">
        <v>4241.8022695348827</v>
      </c>
    </row>
    <row r="29" spans="1:41" ht="15" customHeight="1" x14ac:dyDescent="0.25">
      <c r="A29" s="123">
        <v>2005</v>
      </c>
      <c r="B29" s="122">
        <v>256</v>
      </c>
      <c r="C29" s="144">
        <v>1162.8187437705315</v>
      </c>
      <c r="D29" s="144">
        <v>122.43815947334167</v>
      </c>
      <c r="E29" s="144">
        <v>531.96469839836129</v>
      </c>
      <c r="F29" s="143">
        <v>0</v>
      </c>
      <c r="G29" s="143">
        <v>59.098984495073381</v>
      </c>
      <c r="H29" s="143">
        <v>35.779283741039933</v>
      </c>
      <c r="I29" s="142">
        <v>8.115957219251337</v>
      </c>
      <c r="J29" s="143">
        <v>0</v>
      </c>
      <c r="K29" s="142">
        <f t="shared" si="1"/>
        <v>1920.2158270975992</v>
      </c>
      <c r="L29" s="142">
        <f>'Master escapements'!J38</f>
        <v>1732</v>
      </c>
      <c r="M29" s="141">
        <f t="shared" si="2"/>
        <v>3652.2158270975992</v>
      </c>
      <c r="N29" s="144">
        <f t="shared" si="3"/>
        <v>1876.3205861373078</v>
      </c>
      <c r="O29" s="144">
        <f t="shared" si="4"/>
        <v>43.895240960291403</v>
      </c>
      <c r="P29" s="123">
        <v>2015</v>
      </c>
      <c r="Q29" s="142">
        <v>956</v>
      </c>
      <c r="R29" s="144"/>
      <c r="S29">
        <v>228</v>
      </c>
      <c r="T29" s="400" t="s">
        <v>415</v>
      </c>
      <c r="U29"/>
      <c r="V29"/>
      <c r="W29"/>
      <c r="X29"/>
      <c r="Y29"/>
      <c r="Z29" s="142"/>
      <c r="AC29" s="123">
        <v>1986</v>
      </c>
      <c r="AD29" s="122">
        <v>256</v>
      </c>
      <c r="AE29" s="144">
        <v>1597.6548065454551</v>
      </c>
      <c r="AF29" s="144">
        <v>492.51933965729233</v>
      </c>
      <c r="AG29" s="144">
        <v>212.97645703597126</v>
      </c>
      <c r="AH29" s="143">
        <v>0</v>
      </c>
      <c r="AI29" s="143">
        <v>15.789358705035971</v>
      </c>
      <c r="AJ29" s="142">
        <v>235.83833878351862</v>
      </c>
      <c r="AK29" s="145">
        <v>28.464494440810988</v>
      </c>
      <c r="AL29" s="143">
        <v>0</v>
      </c>
      <c r="AM29" s="142">
        <v>2583.2427951680847</v>
      </c>
      <c r="AN29" s="142">
        <v>1782</v>
      </c>
      <c r="AO29" s="141">
        <v>4365.2427951680847</v>
      </c>
    </row>
    <row r="30" spans="1:41" ht="15" customHeight="1" x14ac:dyDescent="0.25">
      <c r="A30" s="123">
        <v>2006</v>
      </c>
      <c r="B30" s="122">
        <v>169</v>
      </c>
      <c r="C30" s="144">
        <v>702.58882001747122</v>
      </c>
      <c r="D30" s="144">
        <v>63.757520431522053</v>
      </c>
      <c r="E30" s="144">
        <v>169.58243532468532</v>
      </c>
      <c r="F30" s="143">
        <v>0</v>
      </c>
      <c r="G30" s="143">
        <v>7.3448745570925258</v>
      </c>
      <c r="H30" s="143">
        <v>33.800968772782888</v>
      </c>
      <c r="I30" s="142">
        <v>0</v>
      </c>
      <c r="J30" s="143">
        <v>57.806619347835159</v>
      </c>
      <c r="K30" s="142">
        <f t="shared" si="1"/>
        <v>1034.8812384513892</v>
      </c>
      <c r="L30" s="142">
        <f>'Master escapements'!J39</f>
        <v>891</v>
      </c>
      <c r="M30" s="141">
        <f t="shared" si="2"/>
        <v>1925.8812384513892</v>
      </c>
      <c r="N30" s="144">
        <f t="shared" si="3"/>
        <v>943.27365033077115</v>
      </c>
      <c r="O30" s="144">
        <f t="shared" si="4"/>
        <v>91.607588120618061</v>
      </c>
      <c r="P30" s="123">
        <v>1996</v>
      </c>
      <c r="Q30" s="142">
        <v>950</v>
      </c>
      <c r="R30" s="144"/>
      <c r="S30" s="346">
        <v>17</v>
      </c>
      <c r="T30" s="400" t="s">
        <v>416</v>
      </c>
      <c r="U30"/>
      <c r="V30" s="117">
        <v>3.693126607996978</v>
      </c>
      <c r="W30" s="117">
        <v>0.12840460428646394</v>
      </c>
      <c r="X30" s="117">
        <v>1.784156141685066</v>
      </c>
      <c r="Y30" s="508">
        <v>5.6056873539685075</v>
      </c>
      <c r="Z30" s="142"/>
      <c r="AC30" s="123">
        <v>1998</v>
      </c>
      <c r="AD30" s="122">
        <v>668</v>
      </c>
      <c r="AE30" s="144">
        <v>1771.4823739124367</v>
      </c>
      <c r="AF30" s="144">
        <v>471.146411815269</v>
      </c>
      <c r="AG30" s="144">
        <v>980.26978284166501</v>
      </c>
      <c r="AH30" s="143">
        <v>0</v>
      </c>
      <c r="AI30" s="143">
        <v>150.15314072455863</v>
      </c>
      <c r="AJ30" s="142">
        <v>0</v>
      </c>
      <c r="AK30" s="142">
        <v>0</v>
      </c>
      <c r="AL30" s="143">
        <v>15.215574775080631</v>
      </c>
      <c r="AM30" s="142">
        <v>3388.2672840690097</v>
      </c>
      <c r="AN30" s="142">
        <v>983</v>
      </c>
      <c r="AO30" s="141">
        <v>4371.2672840690102</v>
      </c>
    </row>
    <row r="31" spans="1:41" ht="15" customHeight="1" x14ac:dyDescent="0.25">
      <c r="A31" s="123">
        <v>2007</v>
      </c>
      <c r="B31" s="122">
        <v>294</v>
      </c>
      <c r="C31" s="144">
        <v>1262.171751366167</v>
      </c>
      <c r="D31" s="144">
        <v>174.79713462621083</v>
      </c>
      <c r="E31" s="144">
        <v>300.44625267657352</v>
      </c>
      <c r="F31" s="143">
        <v>0</v>
      </c>
      <c r="G31" s="143">
        <v>73.506293740125813</v>
      </c>
      <c r="H31" s="143">
        <v>56.944182230046096</v>
      </c>
      <c r="I31" s="142">
        <v>11.406272786574684</v>
      </c>
      <c r="J31" s="143">
        <v>185.78420872502411</v>
      </c>
      <c r="K31" s="142">
        <f t="shared" si="1"/>
        <v>2065.0560961507222</v>
      </c>
      <c r="L31" s="142">
        <f>'Master escapements'!J40</f>
        <v>1244</v>
      </c>
      <c r="M31" s="141">
        <f t="shared" si="2"/>
        <v>3309.0560961507222</v>
      </c>
      <c r="N31" s="144">
        <f t="shared" si="3"/>
        <v>1810.9214324090772</v>
      </c>
      <c r="O31" s="144">
        <f t="shared" si="4"/>
        <v>254.134663741645</v>
      </c>
      <c r="P31" s="123">
        <v>2016</v>
      </c>
      <c r="Q31" s="142">
        <v>948</v>
      </c>
      <c r="R31" s="144"/>
      <c r="S31">
        <v>617</v>
      </c>
      <c r="T31"/>
      <c r="U31"/>
      <c r="V31" s="508">
        <v>3.6931266079969778E-2</v>
      </c>
      <c r="W31" s="508">
        <v>1.2840460428646394E-3</v>
      </c>
      <c r="X31" s="508">
        <v>1.784156141685066E-2</v>
      </c>
      <c r="Y31"/>
      <c r="Z31" s="142"/>
      <c r="AC31" s="123">
        <v>2009</v>
      </c>
      <c r="AD31" s="122">
        <v>253</v>
      </c>
      <c r="AE31" s="144">
        <v>1049</v>
      </c>
      <c r="AF31" s="144">
        <v>268</v>
      </c>
      <c r="AG31" s="144">
        <v>483</v>
      </c>
      <c r="AH31" s="143">
        <v>0</v>
      </c>
      <c r="AI31" s="143">
        <v>18</v>
      </c>
      <c r="AJ31" s="143">
        <v>265</v>
      </c>
      <c r="AK31" s="142">
        <v>0</v>
      </c>
      <c r="AL31" s="143">
        <v>19</v>
      </c>
      <c r="AM31" s="142">
        <v>2102</v>
      </c>
      <c r="AN31" s="142">
        <v>2281</v>
      </c>
      <c r="AO31" s="141">
        <v>4383</v>
      </c>
    </row>
    <row r="32" spans="1:41" ht="15" customHeight="1" x14ac:dyDescent="0.25">
      <c r="A32" s="123">
        <v>2008</v>
      </c>
      <c r="B32" s="122">
        <v>302</v>
      </c>
      <c r="C32" s="144">
        <v>716</v>
      </c>
      <c r="D32" s="144">
        <v>244</v>
      </c>
      <c r="E32" s="144">
        <v>779</v>
      </c>
      <c r="F32" s="143">
        <v>0</v>
      </c>
      <c r="G32" s="143">
        <v>33</v>
      </c>
      <c r="H32" s="143">
        <v>59</v>
      </c>
      <c r="I32" s="142">
        <v>12</v>
      </c>
      <c r="J32" s="143">
        <v>192</v>
      </c>
      <c r="K32" s="142">
        <f t="shared" si="1"/>
        <v>2035</v>
      </c>
      <c r="L32" s="142">
        <f>'Master escapements'!J41</f>
        <v>1741</v>
      </c>
      <c r="M32" s="141">
        <f t="shared" si="2"/>
        <v>3776</v>
      </c>
      <c r="N32" s="144">
        <f t="shared" si="3"/>
        <v>1772</v>
      </c>
      <c r="O32" s="144">
        <f t="shared" si="4"/>
        <v>263</v>
      </c>
      <c r="P32" s="123">
        <v>1985</v>
      </c>
      <c r="Q32" s="142">
        <v>903</v>
      </c>
      <c r="R32" s="144"/>
      <c r="S32">
        <v>74</v>
      </c>
      <c r="T32" s="400" t="s">
        <v>417</v>
      </c>
      <c r="U32"/>
      <c r="V32" s="508">
        <v>48.601546161240229</v>
      </c>
      <c r="W32" s="508">
        <v>1.6898045924098655</v>
      </c>
      <c r="X32" s="508">
        <v>23.479494824575468</v>
      </c>
      <c r="Y32"/>
      <c r="Z32" s="142"/>
      <c r="AC32" s="123">
        <v>1990</v>
      </c>
      <c r="AD32" s="122">
        <v>263</v>
      </c>
      <c r="AE32" s="144">
        <v>1803.2502211764713</v>
      </c>
      <c r="AF32" s="144">
        <v>566.18036705882355</v>
      </c>
      <c r="AG32" s="144">
        <v>637.29871058823551</v>
      </c>
      <c r="AH32" s="143">
        <v>23.43051294117647</v>
      </c>
      <c r="AI32" s="143">
        <v>0</v>
      </c>
      <c r="AJ32" s="142">
        <v>839.52941176470586</v>
      </c>
      <c r="AK32" s="145">
        <v>53.910588235294121</v>
      </c>
      <c r="AL32" s="143">
        <v>0</v>
      </c>
      <c r="AM32" s="142">
        <v>3923.5998117647068</v>
      </c>
      <c r="AN32" s="142">
        <v>870</v>
      </c>
      <c r="AO32" s="141">
        <v>4793.5998117647068</v>
      </c>
    </row>
    <row r="33" spans="1:41" ht="15" customHeight="1" x14ac:dyDescent="0.25">
      <c r="A33" s="123">
        <v>2009</v>
      </c>
      <c r="B33" s="122">
        <v>253</v>
      </c>
      <c r="C33" s="144">
        <v>1049</v>
      </c>
      <c r="D33" s="144">
        <v>268</v>
      </c>
      <c r="E33" s="144">
        <v>483</v>
      </c>
      <c r="F33" s="143">
        <v>0</v>
      </c>
      <c r="G33" s="143">
        <v>18</v>
      </c>
      <c r="H33" s="143">
        <v>265</v>
      </c>
      <c r="I33" s="142">
        <v>0</v>
      </c>
      <c r="J33" s="143">
        <v>19</v>
      </c>
      <c r="K33" s="142">
        <f t="shared" si="1"/>
        <v>2102</v>
      </c>
      <c r="L33" s="142">
        <f>'Master escapements'!J42</f>
        <v>2281</v>
      </c>
      <c r="M33" s="141">
        <f t="shared" si="2"/>
        <v>4383</v>
      </c>
      <c r="N33" s="144">
        <f t="shared" si="3"/>
        <v>1818</v>
      </c>
      <c r="O33" s="144">
        <f t="shared" si="4"/>
        <v>284</v>
      </c>
      <c r="P33" s="123">
        <v>2006</v>
      </c>
      <c r="Q33" s="142">
        <v>891</v>
      </c>
      <c r="R33" s="144"/>
      <c r="S33">
        <v>691</v>
      </c>
      <c r="T33"/>
      <c r="U33"/>
      <c r="V33">
        <v>49</v>
      </c>
      <c r="W33">
        <v>2</v>
      </c>
      <c r="X33">
        <v>23</v>
      </c>
      <c r="Y33">
        <v>74</v>
      </c>
      <c r="Z33" s="142"/>
      <c r="AC33" s="123">
        <v>1992</v>
      </c>
      <c r="AD33" s="122">
        <v>497</v>
      </c>
      <c r="AE33" s="144">
        <v>1854.4718550844138</v>
      </c>
      <c r="AF33" s="144">
        <v>676.05262739113959</v>
      </c>
      <c r="AG33" s="144">
        <v>600.04224922926312</v>
      </c>
      <c r="AH33" s="143">
        <v>0</v>
      </c>
      <c r="AI33" s="143">
        <v>39.89474077896304</v>
      </c>
      <c r="AJ33" s="142">
        <v>288.54565929833268</v>
      </c>
      <c r="AK33" s="145">
        <v>9.674504693885547</v>
      </c>
      <c r="AL33" s="143">
        <v>0</v>
      </c>
      <c r="AM33" s="142">
        <v>3468.6816364759979</v>
      </c>
      <c r="AN33" s="142">
        <v>1426</v>
      </c>
      <c r="AO33" s="141">
        <v>4894.6816364759979</v>
      </c>
    </row>
    <row r="34" spans="1:41" ht="15" customHeight="1" x14ac:dyDescent="0.25">
      <c r="A34" s="123">
        <v>2010</v>
      </c>
      <c r="B34" s="122">
        <v>632</v>
      </c>
      <c r="C34" s="144">
        <v>1205</v>
      </c>
      <c r="D34" s="144">
        <v>287</v>
      </c>
      <c r="E34" s="144">
        <v>692</v>
      </c>
      <c r="F34" s="143">
        <v>0</v>
      </c>
      <c r="G34" s="143">
        <v>36</v>
      </c>
      <c r="H34" s="143">
        <v>218</v>
      </c>
      <c r="I34" s="142">
        <v>0</v>
      </c>
      <c r="J34" s="143">
        <v>101</v>
      </c>
      <c r="K34" s="142">
        <f t="shared" si="1"/>
        <v>2539</v>
      </c>
      <c r="L34" s="142">
        <f>'Master escapements'!J43</f>
        <v>2878</v>
      </c>
      <c r="M34" s="141">
        <f t="shared" si="2"/>
        <v>5417</v>
      </c>
      <c r="N34" s="144">
        <f t="shared" si="3"/>
        <v>2220</v>
      </c>
      <c r="O34" s="144">
        <f t="shared" si="4"/>
        <v>319</v>
      </c>
      <c r="P34" s="123">
        <v>1990</v>
      </c>
      <c r="Q34" s="142">
        <v>870</v>
      </c>
      <c r="R34" s="144"/>
      <c r="S34"/>
      <c r="T34"/>
      <c r="U34"/>
      <c r="V34"/>
      <c r="W34"/>
      <c r="X34"/>
      <c r="Y34"/>
      <c r="Z34" s="142"/>
      <c r="AC34" s="123">
        <v>2002</v>
      </c>
      <c r="AD34" s="122">
        <v>434</v>
      </c>
      <c r="AE34" s="144">
        <v>891.5136973965391</v>
      </c>
      <c r="AF34" s="144">
        <v>450.93311668171555</v>
      </c>
      <c r="AG34" s="144">
        <v>554.80577196764466</v>
      </c>
      <c r="AH34" s="143">
        <v>0</v>
      </c>
      <c r="AI34" s="143">
        <v>91.344742949586163</v>
      </c>
      <c r="AJ34" s="142">
        <v>65.045127915726113</v>
      </c>
      <c r="AK34" s="142">
        <v>0</v>
      </c>
      <c r="AL34" s="143">
        <v>61.30549285176825</v>
      </c>
      <c r="AM34" s="142">
        <v>2114.9479497629795</v>
      </c>
      <c r="AN34" s="142">
        <v>3291</v>
      </c>
      <c r="AO34" s="141">
        <v>5405.94794976298</v>
      </c>
    </row>
    <row r="35" spans="1:41" ht="15" customHeight="1" x14ac:dyDescent="0.25">
      <c r="A35" s="123">
        <v>2011</v>
      </c>
      <c r="B35" s="122">
        <v>376</v>
      </c>
      <c r="C35" s="144">
        <v>778</v>
      </c>
      <c r="D35" s="144">
        <v>148</v>
      </c>
      <c r="E35" s="144">
        <v>417</v>
      </c>
      <c r="F35" s="143">
        <v>0</v>
      </c>
      <c r="G35" s="143">
        <v>25</v>
      </c>
      <c r="H35" s="143">
        <v>189</v>
      </c>
      <c r="I35" s="142">
        <v>4</v>
      </c>
      <c r="J35" s="143">
        <v>239</v>
      </c>
      <c r="K35" s="142">
        <f t="shared" si="1"/>
        <v>1800</v>
      </c>
      <c r="L35" s="142">
        <f>'Master escapements'!J44</f>
        <v>2137</v>
      </c>
      <c r="M35" s="141">
        <f t="shared" si="2"/>
        <v>3937</v>
      </c>
      <c r="N35" s="144">
        <f t="shared" si="3"/>
        <v>1368</v>
      </c>
      <c r="O35" s="144">
        <f t="shared" si="4"/>
        <v>432</v>
      </c>
      <c r="P35" s="123">
        <v>2004</v>
      </c>
      <c r="Q35" s="142">
        <v>840</v>
      </c>
      <c r="R35" s="144"/>
      <c r="S35">
        <v>625</v>
      </c>
      <c r="T35"/>
      <c r="U35"/>
      <c r="V35"/>
      <c r="W35"/>
      <c r="X35"/>
      <c r="Y35"/>
      <c r="Z35" s="142"/>
      <c r="AC35" s="123">
        <v>2010</v>
      </c>
      <c r="AD35" s="122">
        <v>632</v>
      </c>
      <c r="AE35" s="144">
        <v>1205</v>
      </c>
      <c r="AF35" s="144">
        <v>287</v>
      </c>
      <c r="AG35" s="144">
        <v>692</v>
      </c>
      <c r="AH35" s="143">
        <v>0</v>
      </c>
      <c r="AI35" s="143">
        <v>36</v>
      </c>
      <c r="AJ35" s="143">
        <v>218</v>
      </c>
      <c r="AK35" s="142">
        <v>0</v>
      </c>
      <c r="AL35" s="143">
        <v>101</v>
      </c>
      <c r="AM35" s="142">
        <v>2539</v>
      </c>
      <c r="AN35" s="142">
        <v>2878</v>
      </c>
      <c r="AO35" s="141">
        <v>5417</v>
      </c>
    </row>
    <row r="36" spans="1:41" ht="15" customHeight="1" x14ac:dyDescent="0.25">
      <c r="A36" s="123">
        <v>2012</v>
      </c>
      <c r="B36" s="122">
        <v>542</v>
      </c>
      <c r="C36" s="144">
        <v>821</v>
      </c>
      <c r="D36" s="144">
        <v>348</v>
      </c>
      <c r="E36" s="144">
        <v>703</v>
      </c>
      <c r="F36" s="143">
        <v>0</v>
      </c>
      <c r="G36" s="143">
        <v>41</v>
      </c>
      <c r="H36" s="143">
        <v>169</v>
      </c>
      <c r="I36" s="142">
        <v>0</v>
      </c>
      <c r="J36" s="143">
        <v>173</v>
      </c>
      <c r="K36" s="142">
        <f t="shared" si="1"/>
        <v>2255</v>
      </c>
      <c r="L36" s="142">
        <f>'Master escapements'!J45</f>
        <v>1908</v>
      </c>
      <c r="M36" s="141">
        <f t="shared" si="2"/>
        <v>4163</v>
      </c>
      <c r="N36" s="144">
        <f t="shared" si="3"/>
        <v>1913</v>
      </c>
      <c r="O36" s="144">
        <f t="shared" si="4"/>
        <v>342</v>
      </c>
      <c r="P36" s="123">
        <v>1993</v>
      </c>
      <c r="Q36" s="142">
        <v>832</v>
      </c>
      <c r="R36" s="144"/>
      <c r="S36"/>
      <c r="T36"/>
      <c r="U36"/>
      <c r="V36"/>
      <c r="W36"/>
      <c r="X36"/>
      <c r="Y36"/>
      <c r="Z36" s="142"/>
      <c r="AC36" s="123">
        <v>1991</v>
      </c>
      <c r="AD36" s="122">
        <v>399</v>
      </c>
      <c r="AE36" s="144">
        <v>2103.3371628347909</v>
      </c>
      <c r="AF36" s="144">
        <v>190.38273981370753</v>
      </c>
      <c r="AG36" s="144">
        <v>941.36737187933011</v>
      </c>
      <c r="AH36" s="143">
        <v>0</v>
      </c>
      <c r="AI36" s="143">
        <v>37.514133450477935</v>
      </c>
      <c r="AJ36" s="142">
        <v>613.83769615619281</v>
      </c>
      <c r="AK36" s="145">
        <v>44.328295573181478</v>
      </c>
      <c r="AL36" s="143">
        <v>0</v>
      </c>
      <c r="AM36" s="142">
        <v>3930.7673997076813</v>
      </c>
      <c r="AN36" s="142">
        <v>1836</v>
      </c>
      <c r="AO36" s="141">
        <v>5766.7673997076818</v>
      </c>
    </row>
    <row r="37" spans="1:41" ht="15" customHeight="1" x14ac:dyDescent="0.25">
      <c r="A37" s="123">
        <v>2013</v>
      </c>
      <c r="B37" s="122">
        <v>552</v>
      </c>
      <c r="C37" s="144">
        <v>1754</v>
      </c>
      <c r="D37" s="144">
        <v>767</v>
      </c>
      <c r="E37" s="144">
        <v>793</v>
      </c>
      <c r="F37" s="143">
        <v>0</v>
      </c>
      <c r="G37" s="143">
        <v>108</v>
      </c>
      <c r="H37" s="143">
        <v>283</v>
      </c>
      <c r="I37" s="142">
        <v>32</v>
      </c>
      <c r="J37" s="143">
        <v>121</v>
      </c>
      <c r="K37" s="142">
        <f t="shared" si="1"/>
        <v>3858</v>
      </c>
      <c r="L37" s="142">
        <f>'Master escapements'!J46</f>
        <v>3048</v>
      </c>
      <c r="M37" s="141">
        <f t="shared" si="2"/>
        <v>6906</v>
      </c>
      <c r="N37" s="144">
        <f t="shared" si="3"/>
        <v>3422</v>
      </c>
      <c r="O37" s="144">
        <f t="shared" si="4"/>
        <v>436</v>
      </c>
      <c r="P37" s="123">
        <v>1997</v>
      </c>
      <c r="Q37" s="142">
        <v>732</v>
      </c>
      <c r="R37" s="144"/>
      <c r="S37">
        <v>1316</v>
      </c>
      <c r="T37"/>
      <c r="U37"/>
      <c r="V37"/>
      <c r="W37"/>
      <c r="X37"/>
      <c r="Y37"/>
      <c r="Z37" s="142"/>
      <c r="AC37" s="123">
        <v>1982</v>
      </c>
      <c r="AD37" s="122">
        <v>91</v>
      </c>
      <c r="AE37" s="144">
        <v>2757.8227129411762</v>
      </c>
      <c r="AF37" s="144">
        <v>627.54357411764704</v>
      </c>
      <c r="AG37" s="144">
        <v>202.75553901960782</v>
      </c>
      <c r="AH37" s="143">
        <v>0</v>
      </c>
      <c r="AI37" s="143">
        <v>0</v>
      </c>
      <c r="AJ37" s="142">
        <v>316.32686274509803</v>
      </c>
      <c r="AK37" s="145">
        <v>83.949411764705886</v>
      </c>
      <c r="AL37" s="143">
        <v>0</v>
      </c>
      <c r="AM37" s="142">
        <v>3988.3981005882351</v>
      </c>
      <c r="AN37" s="142">
        <v>2144</v>
      </c>
      <c r="AO37" s="141">
        <v>6132.3981005882351</v>
      </c>
    </row>
    <row r="38" spans="1:41" ht="15" customHeight="1" x14ac:dyDescent="0.25">
      <c r="A38" s="123">
        <v>2014</v>
      </c>
      <c r="B38" s="122">
        <v>566</v>
      </c>
      <c r="C38" s="144">
        <v>1873</v>
      </c>
      <c r="D38" s="144">
        <v>399</v>
      </c>
      <c r="E38" s="144">
        <v>798</v>
      </c>
      <c r="F38" s="143">
        <v>0</v>
      </c>
      <c r="G38" s="143">
        <v>121</v>
      </c>
      <c r="H38" s="143">
        <v>218</v>
      </c>
      <c r="I38" s="142">
        <v>0</v>
      </c>
      <c r="J38" s="143">
        <v>188</v>
      </c>
      <c r="K38" s="142">
        <f t="shared" si="1"/>
        <v>3597</v>
      </c>
      <c r="L38" s="142">
        <f>'Master escapements'!J47</f>
        <v>4110</v>
      </c>
      <c r="M38" s="141">
        <f t="shared" si="2"/>
        <v>7707</v>
      </c>
      <c r="N38" s="144">
        <f t="shared" si="3"/>
        <v>3191</v>
      </c>
      <c r="O38" s="144">
        <f t="shared" si="4"/>
        <v>406</v>
      </c>
      <c r="P38" s="123">
        <v>2000</v>
      </c>
      <c r="Q38" s="142">
        <v>600</v>
      </c>
      <c r="R38" s="144"/>
      <c r="S38" s="144"/>
      <c r="T38" s="144">
        <f>C40/M40*100</f>
        <v>31.103000811030007</v>
      </c>
      <c r="U38" s="144"/>
      <c r="V38" s="144"/>
      <c r="W38" s="144"/>
      <c r="X38" s="144"/>
      <c r="Y38" s="143"/>
      <c r="Z38" s="142"/>
      <c r="AC38" s="123">
        <v>1995</v>
      </c>
      <c r="AD38" s="122">
        <v>432</v>
      </c>
      <c r="AE38" s="144">
        <v>2018.3078434224599</v>
      </c>
      <c r="AF38" s="144">
        <v>947.30315721925137</v>
      </c>
      <c r="AG38" s="144">
        <v>1587.994004491979</v>
      </c>
      <c r="AH38" s="143">
        <v>0</v>
      </c>
      <c r="AI38" s="143">
        <v>98.103200106951888</v>
      </c>
      <c r="AJ38" s="142">
        <v>236.46823529411765</v>
      </c>
      <c r="AK38" s="145">
        <v>28.32855614973262</v>
      </c>
      <c r="AL38" s="143">
        <v>10.685882352941178</v>
      </c>
      <c r="AM38" s="142">
        <v>4927.1908790374318</v>
      </c>
      <c r="AN38" s="142">
        <v>1781</v>
      </c>
      <c r="AO38" s="141">
        <v>6708.1908790374318</v>
      </c>
    </row>
    <row r="39" spans="1:41" ht="15" customHeight="1" x14ac:dyDescent="0.25">
      <c r="A39" s="123">
        <v>2015</v>
      </c>
      <c r="B39" s="122">
        <v>203</v>
      </c>
      <c r="C39" s="144">
        <v>470</v>
      </c>
      <c r="D39" s="144">
        <v>112</v>
      </c>
      <c r="E39" s="144">
        <v>272</v>
      </c>
      <c r="F39" s="143">
        <v>0</v>
      </c>
      <c r="G39" s="143">
        <v>24</v>
      </c>
      <c r="H39" s="143">
        <v>102</v>
      </c>
      <c r="I39" s="142">
        <v>6</v>
      </c>
      <c r="J39" s="143">
        <v>12</v>
      </c>
      <c r="K39" s="142">
        <f t="shared" si="1"/>
        <v>998</v>
      </c>
      <c r="L39" s="142">
        <f>'Master escapements'!J48</f>
        <v>956</v>
      </c>
      <c r="M39" s="141">
        <f t="shared" si="2"/>
        <v>1954</v>
      </c>
      <c r="N39" s="144">
        <f t="shared" si="3"/>
        <v>878</v>
      </c>
      <c r="O39" s="144">
        <f t="shared" si="4"/>
        <v>120</v>
      </c>
      <c r="P39" s="123">
        <v>1988</v>
      </c>
      <c r="Q39" s="142">
        <v>513</v>
      </c>
      <c r="R39" s="144"/>
      <c r="S39" s="144"/>
      <c r="T39" s="144">
        <f t="shared" ref="T39" si="5">C41/M41*100</f>
        <v>27.793814432989688</v>
      </c>
      <c r="U39" s="144"/>
      <c r="V39" s="144"/>
      <c r="W39" s="144"/>
      <c r="X39" s="144"/>
      <c r="Y39" s="143"/>
      <c r="Z39" s="142"/>
      <c r="AC39" s="123">
        <v>2013</v>
      </c>
      <c r="AD39" s="122">
        <v>552</v>
      </c>
      <c r="AE39" s="144">
        <v>1754</v>
      </c>
      <c r="AF39" s="144">
        <v>767</v>
      </c>
      <c r="AG39" s="144">
        <v>793</v>
      </c>
      <c r="AH39" s="143">
        <v>0</v>
      </c>
      <c r="AI39" s="143">
        <v>108</v>
      </c>
      <c r="AJ39" s="143">
        <v>283</v>
      </c>
      <c r="AK39" s="142">
        <v>32</v>
      </c>
      <c r="AL39" s="143">
        <v>121</v>
      </c>
      <c r="AM39" s="142">
        <v>3858</v>
      </c>
      <c r="AN39" s="142">
        <v>3048</v>
      </c>
      <c r="AO39" s="141">
        <v>6906</v>
      </c>
    </row>
    <row r="40" spans="1:41" ht="15" customHeight="1" x14ac:dyDescent="0.25">
      <c r="A40" s="123">
        <v>2016</v>
      </c>
      <c r="B40" s="122">
        <v>123</v>
      </c>
      <c r="C40" s="144">
        <v>767</v>
      </c>
      <c r="D40" s="144">
        <v>150</v>
      </c>
      <c r="E40" s="144">
        <v>429</v>
      </c>
      <c r="F40" s="143">
        <v>0</v>
      </c>
      <c r="G40" s="143">
        <v>90</v>
      </c>
      <c r="H40" s="143">
        <v>39</v>
      </c>
      <c r="I40" s="142">
        <v>0</v>
      </c>
      <c r="J40" s="143">
        <v>43</v>
      </c>
      <c r="K40" s="142">
        <f t="shared" ref="K40" si="6">SUM(C40:J40)</f>
        <v>1518</v>
      </c>
      <c r="L40" s="142">
        <f>'Master escapements'!J49</f>
        <v>948</v>
      </c>
      <c r="M40" s="141">
        <f t="shared" ref="M40" si="7">K40+L40</f>
        <v>2466</v>
      </c>
      <c r="N40" s="144">
        <f t="shared" si="3"/>
        <v>1436</v>
      </c>
      <c r="O40" s="144">
        <f t="shared" si="4"/>
        <v>82</v>
      </c>
      <c r="P40" s="123"/>
      <c r="Q40" s="142"/>
      <c r="R40" s="144"/>
      <c r="S40" s="144"/>
      <c r="T40" s="144">
        <f>C42/M42*100</f>
        <v>17.450682852807283</v>
      </c>
      <c r="U40" s="144"/>
      <c r="V40" s="144"/>
      <c r="W40" s="144"/>
      <c r="X40" s="144"/>
      <c r="Y40" s="143"/>
      <c r="Z40" s="142"/>
      <c r="AC40" s="123">
        <v>2014</v>
      </c>
      <c r="AD40" s="122">
        <v>566</v>
      </c>
      <c r="AE40" s="144">
        <v>1873</v>
      </c>
      <c r="AF40" s="144">
        <v>399</v>
      </c>
      <c r="AG40" s="144">
        <v>798</v>
      </c>
      <c r="AH40" s="143">
        <v>0</v>
      </c>
      <c r="AI40" s="143">
        <v>121</v>
      </c>
      <c r="AJ40" s="143">
        <v>218</v>
      </c>
      <c r="AK40" s="142">
        <v>0</v>
      </c>
      <c r="AL40" s="143">
        <v>188</v>
      </c>
      <c r="AM40" s="142">
        <v>3597</v>
      </c>
      <c r="AN40" s="142">
        <v>4110</v>
      </c>
      <c r="AO40" s="141">
        <v>7707</v>
      </c>
    </row>
    <row r="41" spans="1:41" ht="15" customHeight="1" x14ac:dyDescent="0.25">
      <c r="A41" s="123">
        <v>2017</v>
      </c>
      <c r="B41" s="122">
        <v>93</v>
      </c>
      <c r="C41" s="144">
        <v>674</v>
      </c>
      <c r="D41" s="144">
        <v>50</v>
      </c>
      <c r="E41" s="144">
        <v>273</v>
      </c>
      <c r="F41" s="143">
        <v>0</v>
      </c>
      <c r="G41" s="143">
        <v>56</v>
      </c>
      <c r="H41" s="143">
        <v>106</v>
      </c>
      <c r="I41" s="142">
        <v>0</v>
      </c>
      <c r="J41" s="143">
        <v>0</v>
      </c>
      <c r="K41" s="142">
        <f t="shared" si="1"/>
        <v>1159</v>
      </c>
      <c r="L41" s="142">
        <f>'Master escapements'!J50</f>
        <v>1266</v>
      </c>
      <c r="M41" s="141">
        <f t="shared" si="2"/>
        <v>2425</v>
      </c>
      <c r="N41" s="144">
        <f t="shared" si="3"/>
        <v>1053</v>
      </c>
      <c r="O41" s="144">
        <f t="shared" si="4"/>
        <v>106</v>
      </c>
      <c r="P41" s="123">
        <v>1989</v>
      </c>
      <c r="Q41" s="142">
        <v>433</v>
      </c>
      <c r="R41" s="144"/>
      <c r="S41" s="144"/>
      <c r="T41" s="144"/>
      <c r="U41" s="144"/>
      <c r="V41" s="144"/>
      <c r="W41" s="144"/>
      <c r="X41" s="144"/>
      <c r="Y41" s="143"/>
      <c r="Z41" s="142"/>
      <c r="AC41" s="123">
        <v>1994</v>
      </c>
      <c r="AD41" s="122">
        <v>838</v>
      </c>
      <c r="AE41" s="144">
        <v>4333.0464887241487</v>
      </c>
      <c r="AF41" s="144">
        <v>1123.2477566977038</v>
      </c>
      <c r="AG41" s="144">
        <v>1450.2443839491386</v>
      </c>
      <c r="AH41" s="143">
        <v>0</v>
      </c>
      <c r="AI41" s="143">
        <v>44.973784669455554</v>
      </c>
      <c r="AJ41" s="142">
        <v>693.59562172941673</v>
      </c>
      <c r="AK41" s="145">
        <v>52.707211851318725</v>
      </c>
      <c r="AL41" s="143">
        <v>12.943417749988752</v>
      </c>
      <c r="AM41" s="142">
        <v>7710.7586653711714</v>
      </c>
      <c r="AN41" s="142">
        <v>1753</v>
      </c>
      <c r="AO41" s="141">
        <v>9463.7586653711714</v>
      </c>
    </row>
    <row r="42" spans="1:41" ht="15" customHeight="1" x14ac:dyDescent="0.25">
      <c r="A42" s="123">
        <v>2018</v>
      </c>
      <c r="B42" s="122"/>
      <c r="C42" s="144">
        <v>230</v>
      </c>
      <c r="D42" s="144">
        <v>99</v>
      </c>
      <c r="E42" s="144">
        <v>279</v>
      </c>
      <c r="F42" s="143">
        <v>0</v>
      </c>
      <c r="G42" s="143">
        <v>17</v>
      </c>
      <c r="H42" s="143">
        <v>49</v>
      </c>
      <c r="I42" s="142">
        <v>2</v>
      </c>
      <c r="J42" s="143">
        <v>23</v>
      </c>
      <c r="K42" s="142">
        <f t="shared" ref="K42" si="8">SUM(C42:J42)</f>
        <v>699</v>
      </c>
      <c r="L42" s="142">
        <v>619</v>
      </c>
      <c r="M42" s="141">
        <f t="shared" ref="M42" si="9">K42+L42</f>
        <v>1318</v>
      </c>
      <c r="N42" s="144">
        <f t="shared" ref="N42" si="10">SUM(C42:G42)</f>
        <v>625</v>
      </c>
      <c r="O42" s="144">
        <f t="shared" ref="O42" si="11">K42-N42</f>
        <v>74</v>
      </c>
      <c r="P42" s="123"/>
      <c r="Q42" s="142"/>
      <c r="R42" s="144"/>
      <c r="S42" s="144"/>
      <c r="T42" s="144"/>
      <c r="U42" s="144"/>
      <c r="V42" s="144"/>
      <c r="W42" s="144"/>
      <c r="X42" s="144"/>
      <c r="Y42" s="143"/>
      <c r="Z42" s="142"/>
      <c r="AC42" s="123"/>
      <c r="AD42" s="122"/>
      <c r="AE42" s="144"/>
      <c r="AF42" s="144"/>
      <c r="AG42" s="144"/>
      <c r="AH42" s="143"/>
      <c r="AI42" s="143"/>
      <c r="AJ42" s="142"/>
      <c r="AK42" s="145"/>
      <c r="AL42" s="143"/>
      <c r="AM42" s="142"/>
      <c r="AN42" s="142"/>
      <c r="AO42" s="141"/>
    </row>
    <row r="43" spans="1:41" ht="15" customHeight="1" x14ac:dyDescent="0.25">
      <c r="A43" s="120" t="s">
        <v>32</v>
      </c>
      <c r="B43" s="119"/>
      <c r="C43" s="430">
        <f t="shared" ref="C43:K43" si="12">AVERAGEA(C6:C41)</f>
        <v>1337.2080105826392</v>
      </c>
      <c r="D43" s="430">
        <f t="shared" si="12"/>
        <v>356.51514050734374</v>
      </c>
      <c r="E43" s="430">
        <f t="shared" si="12"/>
        <v>522.62287310765214</v>
      </c>
      <c r="F43" s="431">
        <f t="shared" si="12"/>
        <v>2.7662936311697264</v>
      </c>
      <c r="G43" s="431">
        <f t="shared" si="12"/>
        <v>53.637886129992651</v>
      </c>
      <c r="H43" s="140">
        <f t="shared" si="12"/>
        <v>191.15525581011639</v>
      </c>
      <c r="I43" s="140">
        <f t="shared" si="12"/>
        <v>20.027987610103914</v>
      </c>
      <c r="J43" s="140">
        <f t="shared" si="12"/>
        <v>42.913813604148544</v>
      </c>
      <c r="K43" s="140">
        <f t="shared" si="12"/>
        <v>2526.8472609831665</v>
      </c>
      <c r="L43" s="140">
        <f>AVERAGEA(L6:L41)</f>
        <v>1532.1111111111111</v>
      </c>
      <c r="M43" s="139">
        <f>AVERAGEA(M6:M41)</f>
        <v>4058.9583720942774</v>
      </c>
    </row>
    <row r="44" spans="1:41" ht="15" customHeight="1" x14ac:dyDescent="0.25">
      <c r="A44" s="418"/>
      <c r="B44" s="419"/>
      <c r="C44" s="420"/>
      <c r="D44" s="420"/>
      <c r="E44" s="420"/>
      <c r="F44" s="420"/>
      <c r="G44" s="420"/>
      <c r="H44" s="420"/>
      <c r="I44" s="420"/>
      <c r="J44" s="420"/>
      <c r="K44" s="420"/>
      <c r="L44" s="420"/>
      <c r="M44" s="421">
        <f>MIN(M6:M41)</f>
        <v>1346.429008854748</v>
      </c>
    </row>
    <row r="45" spans="1:41" ht="12.75" x14ac:dyDescent="0.2">
      <c r="A45" s="138"/>
      <c r="B45" s="137"/>
      <c r="C45" s="136"/>
      <c r="D45" s="136"/>
      <c r="E45" s="111"/>
      <c r="G45" s="111"/>
      <c r="H45" s="111"/>
      <c r="I45" s="134"/>
      <c r="J45" s="135"/>
      <c r="K45" s="134"/>
      <c r="L45" s="134"/>
      <c r="M45" s="134"/>
    </row>
    <row r="46" spans="1:41" ht="15.75" x14ac:dyDescent="0.25">
      <c r="A46" s="107" t="s">
        <v>353</v>
      </c>
      <c r="B46" s="133"/>
      <c r="C46" s="133"/>
      <c r="D46" s="133"/>
      <c r="E46" s="133"/>
      <c r="F46" s="133"/>
      <c r="G46" s="133"/>
      <c r="H46" s="133"/>
      <c r="I46" s="133"/>
      <c r="J46" s="133"/>
      <c r="K46" s="133"/>
      <c r="L46" s="133"/>
      <c r="M46" s="133"/>
    </row>
    <row r="47" spans="1:41" ht="15.75" x14ac:dyDescent="0.25">
      <c r="A47" s="107"/>
      <c r="B47" s="133"/>
      <c r="C47" s="133"/>
      <c r="D47" s="133"/>
      <c r="E47" s="133"/>
      <c r="F47" s="133"/>
      <c r="G47" s="133"/>
      <c r="H47" s="133"/>
      <c r="I47" s="133"/>
      <c r="J47" s="133"/>
      <c r="K47" s="133"/>
      <c r="L47" s="133"/>
      <c r="M47" s="133"/>
    </row>
    <row r="48" spans="1:41" ht="15" x14ac:dyDescent="0.25">
      <c r="A48" s="132"/>
      <c r="B48" s="131" t="s">
        <v>33</v>
      </c>
      <c r="C48" s="130"/>
      <c r="D48" s="130"/>
      <c r="E48" s="130"/>
      <c r="F48" s="130"/>
      <c r="G48" s="130" t="s">
        <v>65</v>
      </c>
      <c r="H48" s="130"/>
      <c r="I48" s="130"/>
      <c r="J48" s="130"/>
      <c r="K48" s="130"/>
      <c r="L48" s="130"/>
      <c r="M48" s="130"/>
    </row>
    <row r="49" spans="1:26" ht="15" x14ac:dyDescent="0.25">
      <c r="A49" s="129"/>
      <c r="B49" s="128" t="s">
        <v>63</v>
      </c>
      <c r="C49" s="128" t="s">
        <v>76</v>
      </c>
      <c r="D49" s="128" t="s">
        <v>76</v>
      </c>
      <c r="E49" s="128" t="s">
        <v>76</v>
      </c>
      <c r="F49" s="128" t="s">
        <v>76</v>
      </c>
      <c r="G49" s="128" t="s">
        <v>76</v>
      </c>
      <c r="H49" s="128" t="s">
        <v>75</v>
      </c>
      <c r="I49" s="128" t="s">
        <v>75</v>
      </c>
      <c r="J49" s="128" t="s">
        <v>75</v>
      </c>
      <c r="K49" s="128" t="s">
        <v>29</v>
      </c>
      <c r="L49" s="128"/>
      <c r="M49" s="127" t="s">
        <v>74</v>
      </c>
    </row>
    <row r="50" spans="1:26" ht="15" x14ac:dyDescent="0.25">
      <c r="A50" s="126" t="s">
        <v>3</v>
      </c>
      <c r="B50" s="125" t="s">
        <v>73</v>
      </c>
      <c r="C50" s="125" t="s">
        <v>4</v>
      </c>
      <c r="D50" s="125" t="s">
        <v>15</v>
      </c>
      <c r="E50" s="125" t="s">
        <v>16</v>
      </c>
      <c r="F50" s="125" t="s">
        <v>72</v>
      </c>
      <c r="G50" s="125" t="s">
        <v>17</v>
      </c>
      <c r="H50" s="125" t="s">
        <v>4</v>
      </c>
      <c r="I50" s="125" t="s">
        <v>71</v>
      </c>
      <c r="J50" s="125" t="s">
        <v>17</v>
      </c>
      <c r="K50" s="125" t="s">
        <v>70</v>
      </c>
      <c r="L50" s="125" t="s">
        <v>40</v>
      </c>
      <c r="M50" s="124" t="s">
        <v>69</v>
      </c>
      <c r="U50" s="117" t="s">
        <v>76</v>
      </c>
      <c r="W50" s="117" t="s">
        <v>417</v>
      </c>
      <c r="Y50" s="117" t="s">
        <v>29</v>
      </c>
    </row>
    <row r="51" spans="1:26" ht="15" customHeight="1" x14ac:dyDescent="0.25">
      <c r="A51" s="123">
        <v>1982</v>
      </c>
      <c r="B51" s="122">
        <f t="shared" ref="B51:B76" si="13">B6</f>
        <v>91</v>
      </c>
      <c r="C51" s="121">
        <f t="shared" ref="C51:M51" si="14">C6/$M6*100</f>
        <v>44.971358149051653</v>
      </c>
      <c r="D51" s="121">
        <f t="shared" si="14"/>
        <v>10.233249111101438</v>
      </c>
      <c r="E51" s="121">
        <f t="shared" si="14"/>
        <v>3.3063009885179988</v>
      </c>
      <c r="F51" s="121">
        <f t="shared" si="14"/>
        <v>0</v>
      </c>
      <c r="G51" s="121">
        <f t="shared" si="14"/>
        <v>0</v>
      </c>
      <c r="H51" s="121">
        <f t="shared" si="14"/>
        <v>5.1582897515207815</v>
      </c>
      <c r="I51" s="121">
        <f t="shared" si="14"/>
        <v>1.368949151501649</v>
      </c>
      <c r="J51" s="121">
        <f t="shared" si="14"/>
        <v>0</v>
      </c>
      <c r="K51" s="121">
        <f t="shared" si="14"/>
        <v>65.038147151693522</v>
      </c>
      <c r="L51" s="121">
        <f t="shared" si="14"/>
        <v>34.961852848306471</v>
      </c>
      <c r="M51" s="121">
        <f t="shared" si="14"/>
        <v>100</v>
      </c>
      <c r="N51" s="117">
        <f t="shared" ref="N51:N86" si="15">E51/C51</f>
        <v>7.3520149815349115E-2</v>
      </c>
      <c r="O51" s="117">
        <f>SUM(C51:F51)</f>
        <v>58.510908248671086</v>
      </c>
      <c r="P51" s="117">
        <f>SUM(H51:J51)</f>
        <v>6.5272389030224307</v>
      </c>
      <c r="S51" s="117">
        <f>C51/100</f>
        <v>0.44971358149051655</v>
      </c>
      <c r="T51" s="123">
        <v>1982</v>
      </c>
      <c r="U51" s="121">
        <f>SUM(C51:G51)</f>
        <v>58.510908248671086</v>
      </c>
      <c r="V51" s="117">
        <v>55.587775868190306</v>
      </c>
      <c r="W51" s="121">
        <f t="shared" ref="W51:W87" si="16">SUM(H51:J51)</f>
        <v>6.5272389030224307</v>
      </c>
      <c r="X51" s="123">
        <v>1982</v>
      </c>
      <c r="Y51" s="121">
        <f t="shared" ref="Y51:Y87" si="17">K51</f>
        <v>65.038147151693522</v>
      </c>
      <c r="Z51" s="117">
        <v>61.913265120392367</v>
      </c>
    </row>
    <row r="52" spans="1:26" ht="15" customHeight="1" x14ac:dyDescent="0.25">
      <c r="A52" s="123">
        <v>1983</v>
      </c>
      <c r="B52" s="122">
        <f t="shared" si="13"/>
        <v>185</v>
      </c>
      <c r="C52" s="121">
        <f t="shared" ref="C52:M52" si="18">C7/$M7*100</f>
        <v>35.451558288791006</v>
      </c>
      <c r="D52" s="121">
        <f t="shared" si="18"/>
        <v>10.945627361214557</v>
      </c>
      <c r="E52" s="121">
        <f t="shared" si="18"/>
        <v>7.1454356293953873</v>
      </c>
      <c r="F52" s="121">
        <f t="shared" si="18"/>
        <v>1.2607480818184342</v>
      </c>
      <c r="G52" s="121">
        <f t="shared" si="18"/>
        <v>0</v>
      </c>
      <c r="H52" s="121">
        <f t="shared" si="18"/>
        <v>5.5273252942374542</v>
      </c>
      <c r="I52" s="121">
        <f t="shared" si="18"/>
        <v>1.2915226622558775</v>
      </c>
      <c r="J52" s="121">
        <f t="shared" si="18"/>
        <v>0</v>
      </c>
      <c r="K52" s="121">
        <f t="shared" si="18"/>
        <v>61.622217317712725</v>
      </c>
      <c r="L52" s="121">
        <f t="shared" si="18"/>
        <v>38.377782682287283</v>
      </c>
      <c r="M52" s="121">
        <f t="shared" si="18"/>
        <v>100</v>
      </c>
      <c r="N52" s="117">
        <f t="shared" si="15"/>
        <v>0.2015549096936203</v>
      </c>
      <c r="O52" s="117">
        <f t="shared" ref="O52:O87" si="19">SUM(C52:F52)</f>
        <v>54.803369361219382</v>
      </c>
      <c r="P52" s="117">
        <f t="shared" ref="P52:P84" si="20">SUM(H52:J52)</f>
        <v>6.8188479564933315</v>
      </c>
      <c r="Q52" s="107"/>
      <c r="S52" s="117">
        <f t="shared" ref="S52:S87" si="21">C52/100</f>
        <v>0.35451558288791007</v>
      </c>
      <c r="T52" s="123">
        <v>1983</v>
      </c>
      <c r="U52" s="121">
        <f t="shared" ref="U52:U87" si="22">SUM(C52:G52)</f>
        <v>54.803369361219382</v>
      </c>
      <c r="V52" s="117">
        <v>54.875907037139534</v>
      </c>
      <c r="W52" s="121">
        <f t="shared" si="16"/>
        <v>6.8188479564933315</v>
      </c>
      <c r="X52" s="123">
        <v>1983</v>
      </c>
      <c r="Y52" s="121">
        <f t="shared" si="17"/>
        <v>61.622217317712725</v>
      </c>
      <c r="Z52" s="117">
        <v>62.00767339386676</v>
      </c>
    </row>
    <row r="53" spans="1:26" ht="15" customHeight="1" x14ac:dyDescent="0.25">
      <c r="A53" s="123">
        <v>1984</v>
      </c>
      <c r="B53" s="122">
        <f t="shared" si="13"/>
        <v>151</v>
      </c>
      <c r="C53" s="121">
        <f t="shared" ref="C53:M53" si="23">C8/$M8*100</f>
        <v>31.463933220894884</v>
      </c>
      <c r="D53" s="121">
        <f t="shared" si="23"/>
        <v>12.515490735021132</v>
      </c>
      <c r="E53" s="121">
        <f t="shared" si="23"/>
        <v>11.712814350428776</v>
      </c>
      <c r="F53" s="121">
        <f t="shared" si="23"/>
        <v>0.4514223142249727</v>
      </c>
      <c r="G53" s="121">
        <f t="shared" si="23"/>
        <v>0</v>
      </c>
      <c r="H53" s="121">
        <f t="shared" si="23"/>
        <v>8.2285649287551763</v>
      </c>
      <c r="I53" s="121">
        <f t="shared" si="23"/>
        <v>0.65962680814749375</v>
      </c>
      <c r="J53" s="121">
        <f t="shared" si="23"/>
        <v>0</v>
      </c>
      <c r="K53" s="121">
        <f t="shared" si="23"/>
        <v>65.031852357472445</v>
      </c>
      <c r="L53" s="121">
        <f t="shared" si="23"/>
        <v>34.968147642527562</v>
      </c>
      <c r="M53" s="121">
        <f t="shared" si="23"/>
        <v>100</v>
      </c>
      <c r="N53" s="117">
        <f t="shared" si="15"/>
        <v>0.37226160722494839</v>
      </c>
      <c r="O53" s="117">
        <f t="shared" si="19"/>
        <v>56.143660620569761</v>
      </c>
      <c r="P53" s="117">
        <f t="shared" si="20"/>
        <v>8.8881917369026695</v>
      </c>
      <c r="S53" s="117">
        <f t="shared" si="21"/>
        <v>0.31463933220894885</v>
      </c>
      <c r="T53" s="123">
        <v>1984</v>
      </c>
      <c r="U53" s="121">
        <f t="shared" si="22"/>
        <v>56.143660620569761</v>
      </c>
      <c r="V53" s="117">
        <v>54.391565342175355</v>
      </c>
      <c r="W53" s="121">
        <f t="shared" si="16"/>
        <v>8.8881917369026695</v>
      </c>
      <c r="X53" s="123">
        <v>1984</v>
      </c>
      <c r="Y53" s="121">
        <f t="shared" si="17"/>
        <v>65.031852357472445</v>
      </c>
      <c r="Z53" s="117">
        <v>62.3508998378489</v>
      </c>
    </row>
    <row r="54" spans="1:26" ht="15" customHeight="1" x14ac:dyDescent="0.25">
      <c r="A54" s="123">
        <v>1985</v>
      </c>
      <c r="B54" s="122">
        <f t="shared" si="13"/>
        <v>213</v>
      </c>
      <c r="C54" s="121">
        <f t="shared" ref="C54:M54" si="24">C9/$M9*100</f>
        <v>35.570753097824088</v>
      </c>
      <c r="D54" s="121">
        <f t="shared" si="24"/>
        <v>11.776350560473704</v>
      </c>
      <c r="E54" s="121">
        <f t="shared" si="24"/>
        <v>5.6188418252757621</v>
      </c>
      <c r="F54" s="121">
        <f t="shared" si="24"/>
        <v>0.21269495055157706</v>
      </c>
      <c r="G54" s="121">
        <f t="shared" si="24"/>
        <v>0</v>
      </c>
      <c r="H54" s="121">
        <f t="shared" si="24"/>
        <v>8.217089585527706</v>
      </c>
      <c r="I54" s="121">
        <f t="shared" si="24"/>
        <v>1.5970348741364493</v>
      </c>
      <c r="J54" s="121">
        <f t="shared" si="24"/>
        <v>0</v>
      </c>
      <c r="K54" s="121">
        <f t="shared" si="24"/>
        <v>62.992764893789285</v>
      </c>
      <c r="L54" s="121">
        <f t="shared" si="24"/>
        <v>37.007235106210707</v>
      </c>
      <c r="M54" s="121">
        <f t="shared" si="24"/>
        <v>100</v>
      </c>
      <c r="N54" s="117">
        <f t="shared" si="15"/>
        <v>0.15796240832526748</v>
      </c>
      <c r="O54" s="117">
        <f t="shared" si="19"/>
        <v>53.178640434125128</v>
      </c>
      <c r="P54" s="117">
        <f t="shared" si="20"/>
        <v>9.8141244596641553</v>
      </c>
      <c r="S54" s="117">
        <f t="shared" si="21"/>
        <v>0.35570753097824087</v>
      </c>
      <c r="T54" s="123">
        <v>1985</v>
      </c>
      <c r="U54" s="121">
        <f t="shared" si="22"/>
        <v>53.178640434125128</v>
      </c>
      <c r="V54" s="117">
        <v>54.177770228973195</v>
      </c>
      <c r="W54" s="121">
        <f t="shared" si="16"/>
        <v>9.8141244596641553</v>
      </c>
      <c r="X54" s="123">
        <v>1985</v>
      </c>
      <c r="Y54" s="121">
        <f t="shared" si="17"/>
        <v>62.992764893789285</v>
      </c>
      <c r="Z54" s="117">
        <v>62.991095076173863</v>
      </c>
    </row>
    <row r="55" spans="1:26" ht="15" customHeight="1" x14ac:dyDescent="0.25">
      <c r="A55" s="123">
        <v>1986</v>
      </c>
      <c r="B55" s="122">
        <f t="shared" si="13"/>
        <v>256</v>
      </c>
      <c r="C55" s="121">
        <f t="shared" ref="C55:M55" si="25">C10/$M10*100</f>
        <v>36.59944890840687</v>
      </c>
      <c r="D55" s="121">
        <f t="shared" si="25"/>
        <v>11.282747896691225</v>
      </c>
      <c r="E55" s="121">
        <f t="shared" si="25"/>
        <v>4.8789143474840913</v>
      </c>
      <c r="F55" s="121">
        <f t="shared" si="25"/>
        <v>0</v>
      </c>
      <c r="G55" s="121">
        <f t="shared" si="25"/>
        <v>0.36170631155988192</v>
      </c>
      <c r="H55" s="121">
        <f t="shared" si="25"/>
        <v>5.4026396663335561</v>
      </c>
      <c r="I55" s="121">
        <f t="shared" si="25"/>
        <v>0.65207127705058054</v>
      </c>
      <c r="J55" s="121">
        <f t="shared" si="25"/>
        <v>0</v>
      </c>
      <c r="K55" s="121">
        <f t="shared" si="25"/>
        <v>59.177528407526211</v>
      </c>
      <c r="L55" s="121">
        <f t="shared" si="25"/>
        <v>40.822471592473789</v>
      </c>
      <c r="M55" s="121">
        <f t="shared" si="25"/>
        <v>100</v>
      </c>
      <c r="N55" s="117">
        <f t="shared" si="15"/>
        <v>0.1333056778995218</v>
      </c>
      <c r="O55" s="117">
        <f t="shared" si="19"/>
        <v>52.761111152582188</v>
      </c>
      <c r="P55" s="117">
        <f t="shared" si="20"/>
        <v>6.0547109433841371</v>
      </c>
      <c r="S55" s="117">
        <f t="shared" si="21"/>
        <v>0.36599448908406873</v>
      </c>
      <c r="T55" s="123">
        <v>1986</v>
      </c>
      <c r="U55" s="121">
        <f t="shared" si="22"/>
        <v>53.122817464142074</v>
      </c>
      <c r="V55" s="117">
        <v>54.222330224964644</v>
      </c>
      <c r="W55" s="121">
        <f t="shared" si="16"/>
        <v>6.0547109433841371</v>
      </c>
      <c r="X55" s="123">
        <v>1986</v>
      </c>
      <c r="Y55" s="121">
        <f t="shared" si="17"/>
        <v>59.177528407526211</v>
      </c>
      <c r="Z55" s="117">
        <v>63.901491685948208</v>
      </c>
    </row>
    <row r="56" spans="1:26" ht="15" customHeight="1" x14ac:dyDescent="0.25">
      <c r="A56" s="123">
        <v>1987</v>
      </c>
      <c r="B56" s="122">
        <f t="shared" si="13"/>
        <v>99</v>
      </c>
      <c r="C56" s="121">
        <f t="shared" ref="C56:M56" si="26">C11/$M11*100</f>
        <v>29.293044956349775</v>
      </c>
      <c r="D56" s="121">
        <f t="shared" si="26"/>
        <v>3.6368356844711771</v>
      </c>
      <c r="E56" s="121">
        <f t="shared" si="26"/>
        <v>6.5836977544288677</v>
      </c>
      <c r="F56" s="121">
        <f t="shared" si="26"/>
        <v>0.17618134789922463</v>
      </c>
      <c r="G56" s="121">
        <f t="shared" si="26"/>
        <v>1.2583096488130554</v>
      </c>
      <c r="H56" s="121">
        <f t="shared" si="26"/>
        <v>6.8874700844033434</v>
      </c>
      <c r="I56" s="121">
        <f t="shared" si="26"/>
        <v>2.3813607445329001</v>
      </c>
      <c r="J56" s="121">
        <f t="shared" si="26"/>
        <v>0</v>
      </c>
      <c r="K56" s="121">
        <f t="shared" si="26"/>
        <v>50.216900220898339</v>
      </c>
      <c r="L56" s="121">
        <f t="shared" si="26"/>
        <v>49.783099779101654</v>
      </c>
      <c r="M56" s="121">
        <f t="shared" si="26"/>
        <v>100</v>
      </c>
      <c r="N56" s="117">
        <f t="shared" si="15"/>
        <v>0.22475293245339922</v>
      </c>
      <c r="O56" s="117">
        <f t="shared" si="19"/>
        <v>39.689759743149047</v>
      </c>
      <c r="P56" s="117">
        <f t="shared" si="20"/>
        <v>9.2688308289362435</v>
      </c>
      <c r="S56" s="117">
        <f t="shared" si="21"/>
        <v>0.29293044956349773</v>
      </c>
      <c r="T56" s="123">
        <v>1987</v>
      </c>
      <c r="U56" s="121">
        <f t="shared" si="22"/>
        <v>40.9480693919621</v>
      </c>
      <c r="V56" s="117">
        <v>54.522216072351164</v>
      </c>
      <c r="W56" s="121">
        <f t="shared" si="16"/>
        <v>9.2688308289362435</v>
      </c>
      <c r="X56" s="123">
        <v>1987</v>
      </c>
      <c r="Y56" s="121">
        <f t="shared" si="17"/>
        <v>50.216900220898339</v>
      </c>
      <c r="Z56" s="117">
        <v>65.016369691360651</v>
      </c>
    </row>
    <row r="57" spans="1:26" ht="15" customHeight="1" x14ac:dyDescent="0.25">
      <c r="A57" s="123">
        <v>1988</v>
      </c>
      <c r="B57" s="122">
        <f t="shared" si="13"/>
        <v>41</v>
      </c>
      <c r="C57" s="121">
        <f t="shared" ref="C57:M57" si="27">C12/$M12*100</f>
        <v>27.560370521156575</v>
      </c>
      <c r="D57" s="121">
        <f t="shared" si="27"/>
        <v>14.048346696978554</v>
      </c>
      <c r="E57" s="121">
        <f t="shared" si="27"/>
        <v>5.3020645183693995</v>
      </c>
      <c r="F57" s="121">
        <f t="shared" si="27"/>
        <v>0</v>
      </c>
      <c r="G57" s="121">
        <f t="shared" si="27"/>
        <v>0</v>
      </c>
      <c r="H57" s="121">
        <f t="shared" si="27"/>
        <v>16.414283245958519</v>
      </c>
      <c r="I57" s="121">
        <f t="shared" si="27"/>
        <v>1.8443014883099458</v>
      </c>
      <c r="J57" s="121">
        <f t="shared" si="27"/>
        <v>0</v>
      </c>
      <c r="K57" s="121">
        <f t="shared" si="27"/>
        <v>65.169366470772999</v>
      </c>
      <c r="L57" s="121">
        <f t="shared" si="27"/>
        <v>34.830633529226994</v>
      </c>
      <c r="M57" s="121">
        <f t="shared" si="27"/>
        <v>100</v>
      </c>
      <c r="N57" s="117">
        <f t="shared" si="15"/>
        <v>0.19238001587457967</v>
      </c>
      <c r="O57" s="117">
        <f t="shared" si="19"/>
        <v>46.910781736504525</v>
      </c>
      <c r="P57" s="117">
        <f t="shared" si="20"/>
        <v>18.258584734268464</v>
      </c>
      <c r="S57" s="117">
        <f t="shared" si="21"/>
        <v>0.27560370521156574</v>
      </c>
      <c r="T57" s="123">
        <v>1988</v>
      </c>
      <c r="U57" s="121">
        <f t="shared" si="22"/>
        <v>46.910781736504525</v>
      </c>
      <c r="V57" s="117">
        <v>56.008178500454513</v>
      </c>
      <c r="W57" s="121">
        <f t="shared" si="16"/>
        <v>18.258584734268464</v>
      </c>
      <c r="X57" s="123">
        <v>1988</v>
      </c>
      <c r="Y57" s="121">
        <f t="shared" si="17"/>
        <v>65.169366470772999</v>
      </c>
      <c r="Z57" s="117">
        <v>67.17820170542646</v>
      </c>
    </row>
    <row r="58" spans="1:26" ht="15" customHeight="1" x14ac:dyDescent="0.25">
      <c r="A58" s="123">
        <v>1989</v>
      </c>
      <c r="B58" s="122">
        <f t="shared" si="13"/>
        <v>91</v>
      </c>
      <c r="C58" s="121">
        <f t="shared" ref="C58:M58" si="28">C13/$M13*100</f>
        <v>50.610087666188022</v>
      </c>
      <c r="D58" s="121">
        <f t="shared" si="28"/>
        <v>13.2900162646329</v>
      </c>
      <c r="E58" s="121">
        <f t="shared" si="28"/>
        <v>10.260696399332634</v>
      </c>
      <c r="F58" s="121">
        <f t="shared" si="28"/>
        <v>0</v>
      </c>
      <c r="G58" s="121">
        <f t="shared" si="28"/>
        <v>2.5699090857006244</v>
      </c>
      <c r="H58" s="121">
        <f t="shared" si="28"/>
        <v>4.4157663725395313</v>
      </c>
      <c r="I58" s="121">
        <f t="shared" si="28"/>
        <v>0.84298740407829342</v>
      </c>
      <c r="J58" s="121">
        <f t="shared" si="28"/>
        <v>0</v>
      </c>
      <c r="K58" s="121">
        <f t="shared" si="28"/>
        <v>81.989463192472002</v>
      </c>
      <c r="L58" s="121">
        <f t="shared" si="28"/>
        <v>18.010536807528013</v>
      </c>
      <c r="M58" s="121">
        <f t="shared" si="28"/>
        <v>100</v>
      </c>
      <c r="N58" s="117">
        <f t="shared" si="15"/>
        <v>0.20274014277567987</v>
      </c>
      <c r="O58" s="117">
        <f t="shared" si="19"/>
        <v>74.160800330153549</v>
      </c>
      <c r="P58" s="117">
        <f t="shared" si="20"/>
        <v>5.2587537766178247</v>
      </c>
      <c r="S58" s="117">
        <f t="shared" si="21"/>
        <v>0.50610087666188019</v>
      </c>
      <c r="T58" s="123">
        <v>1989</v>
      </c>
      <c r="U58" s="121">
        <f t="shared" si="22"/>
        <v>76.730709415854179</v>
      </c>
      <c r="V58" s="117">
        <v>58.045234436833525</v>
      </c>
      <c r="W58" s="121">
        <f t="shared" si="16"/>
        <v>5.2587537766178247</v>
      </c>
      <c r="X58" s="123">
        <v>1989</v>
      </c>
      <c r="Y58" s="121">
        <f t="shared" si="17"/>
        <v>81.989463192472002</v>
      </c>
      <c r="Z58" s="117">
        <v>69.43126979006891</v>
      </c>
    </row>
    <row r="59" spans="1:26" ht="15" customHeight="1" x14ac:dyDescent="0.25">
      <c r="A59" s="123">
        <v>1990</v>
      </c>
      <c r="B59" s="122">
        <f t="shared" si="13"/>
        <v>263</v>
      </c>
      <c r="C59" s="121">
        <f t="shared" ref="C59:M59" si="29">C14/$M14*100</f>
        <v>37.617871578491787</v>
      </c>
      <c r="D59" s="121">
        <f t="shared" si="29"/>
        <v>11.811173007585523</v>
      </c>
      <c r="E59" s="121">
        <f t="shared" si="29"/>
        <v>13.294783369778662</v>
      </c>
      <c r="F59" s="121">
        <f t="shared" si="29"/>
        <v>0.48878742200531766</v>
      </c>
      <c r="G59" s="121">
        <f t="shared" si="29"/>
        <v>0</v>
      </c>
      <c r="H59" s="121">
        <f t="shared" si="29"/>
        <v>17.513548162787561</v>
      </c>
      <c r="I59" s="121">
        <f t="shared" si="29"/>
        <v>1.1246368147583763</v>
      </c>
      <c r="J59" s="121">
        <f t="shared" si="29"/>
        <v>0</v>
      </c>
      <c r="K59" s="121">
        <f t="shared" si="29"/>
        <v>81.85080035540723</v>
      </c>
      <c r="L59" s="121">
        <f t="shared" si="29"/>
        <v>18.149199644592773</v>
      </c>
      <c r="M59" s="121">
        <f t="shared" si="29"/>
        <v>100</v>
      </c>
      <c r="N59" s="117">
        <f t="shared" si="15"/>
        <v>0.35341668233510648</v>
      </c>
      <c r="O59" s="117">
        <f t="shared" si="19"/>
        <v>63.21261537786129</v>
      </c>
      <c r="P59" s="117">
        <f t="shared" si="20"/>
        <v>18.638184977545937</v>
      </c>
      <c r="S59" s="117">
        <f t="shared" si="21"/>
        <v>0.37617871578491785</v>
      </c>
      <c r="T59" s="123">
        <v>1990</v>
      </c>
      <c r="U59" s="121">
        <f t="shared" si="22"/>
        <v>63.21261537786129</v>
      </c>
      <c r="V59" s="117">
        <v>61.407178905401835</v>
      </c>
      <c r="W59" s="121">
        <f t="shared" si="16"/>
        <v>18.638184977545937</v>
      </c>
      <c r="X59" s="123">
        <v>1990</v>
      </c>
      <c r="Y59" s="121">
        <f t="shared" si="17"/>
        <v>81.85080035540723</v>
      </c>
      <c r="Z59" s="117">
        <v>72.428488861822828</v>
      </c>
    </row>
    <row r="60" spans="1:26" ht="15" customHeight="1" x14ac:dyDescent="0.25">
      <c r="A60" s="123">
        <v>1991</v>
      </c>
      <c r="B60" s="122">
        <f t="shared" si="13"/>
        <v>399</v>
      </c>
      <c r="C60" s="121">
        <f t="shared" ref="C60:M60" si="30">C15/$M15*100</f>
        <v>36.473417723444321</v>
      </c>
      <c r="D60" s="121">
        <f t="shared" si="30"/>
        <v>3.3013771254820865</v>
      </c>
      <c r="E60" s="121">
        <f t="shared" si="30"/>
        <v>16.324004535488083</v>
      </c>
      <c r="F60" s="121">
        <f t="shared" si="30"/>
        <v>0</v>
      </c>
      <c r="G60" s="121">
        <f t="shared" si="30"/>
        <v>0.65052274264399035</v>
      </c>
      <c r="H60" s="121">
        <f t="shared" si="30"/>
        <v>10.644398388381475</v>
      </c>
      <c r="I60" s="121">
        <f t="shared" si="30"/>
        <v>0.76868533964849162</v>
      </c>
      <c r="J60" s="121">
        <f t="shared" si="30"/>
        <v>0</v>
      </c>
      <c r="K60" s="121">
        <f t="shared" si="30"/>
        <v>68.162405855088466</v>
      </c>
      <c r="L60" s="121">
        <f t="shared" si="30"/>
        <v>31.837594144911534</v>
      </c>
      <c r="M60" s="121">
        <f t="shared" si="30"/>
        <v>100</v>
      </c>
      <c r="N60" s="117">
        <f t="shared" si="15"/>
        <v>0.44755894989778727</v>
      </c>
      <c r="O60" s="117">
        <f t="shared" si="19"/>
        <v>56.098799384414491</v>
      </c>
      <c r="P60" s="117">
        <f t="shared" si="20"/>
        <v>11.413083728029967</v>
      </c>
      <c r="S60" s="117">
        <f t="shared" si="21"/>
        <v>0.36473417723444324</v>
      </c>
      <c r="T60" s="123">
        <v>1991</v>
      </c>
      <c r="U60" s="121">
        <f t="shared" si="22"/>
        <v>56.749322127058484</v>
      </c>
      <c r="V60" s="117">
        <v>65.051389707342594</v>
      </c>
      <c r="W60" s="121">
        <f t="shared" si="16"/>
        <v>11.413083728029967</v>
      </c>
      <c r="X60" s="123">
        <v>1991</v>
      </c>
      <c r="Y60" s="121">
        <f t="shared" si="17"/>
        <v>68.162405855088466</v>
      </c>
      <c r="Z60" s="117">
        <v>75.222217571241373</v>
      </c>
    </row>
    <row r="61" spans="1:26" ht="15" customHeight="1" x14ac:dyDescent="0.25">
      <c r="A61" s="123">
        <v>1992</v>
      </c>
      <c r="B61" s="122">
        <f t="shared" si="13"/>
        <v>497</v>
      </c>
      <c r="C61" s="121">
        <f t="shared" ref="C61:M61" si="31">C16/$M16*100</f>
        <v>37.887486721599522</v>
      </c>
      <c r="D61" s="121">
        <f t="shared" si="31"/>
        <v>13.811983650848314</v>
      </c>
      <c r="E61" s="121">
        <f t="shared" si="31"/>
        <v>12.259065937152</v>
      </c>
      <c r="F61" s="121">
        <f t="shared" si="31"/>
        <v>0</v>
      </c>
      <c r="G61" s="121">
        <f t="shared" si="31"/>
        <v>0.81506303661632795</v>
      </c>
      <c r="H61" s="121">
        <f t="shared" si="31"/>
        <v>5.8950853340090896</v>
      </c>
      <c r="I61" s="121">
        <f t="shared" si="31"/>
        <v>0.19765340041300125</v>
      </c>
      <c r="J61" s="121">
        <f t="shared" si="31"/>
        <v>0</v>
      </c>
      <c r="K61" s="121">
        <f t="shared" si="31"/>
        <v>70.866338080638258</v>
      </c>
      <c r="L61" s="121">
        <f t="shared" si="31"/>
        <v>29.133661919361742</v>
      </c>
      <c r="M61" s="121">
        <f t="shared" si="31"/>
        <v>100</v>
      </c>
      <c r="N61" s="117">
        <f t="shared" si="15"/>
        <v>0.323565034208594</v>
      </c>
      <c r="O61" s="117">
        <f t="shared" si="19"/>
        <v>63.958536309599836</v>
      </c>
      <c r="P61" s="117">
        <f t="shared" si="20"/>
        <v>6.0927387344220909</v>
      </c>
      <c r="S61" s="117">
        <f t="shared" si="21"/>
        <v>0.37887486721599523</v>
      </c>
      <c r="T61" s="123">
        <v>1992</v>
      </c>
      <c r="U61" s="121">
        <f t="shared" si="22"/>
        <v>64.773599346216159</v>
      </c>
      <c r="V61" s="117">
        <v>67.227836926686464</v>
      </c>
      <c r="W61" s="121">
        <f t="shared" si="16"/>
        <v>6.0927387344220909</v>
      </c>
      <c r="X61" s="123">
        <v>1992</v>
      </c>
      <c r="Y61" s="121">
        <f t="shared" si="17"/>
        <v>70.866338080638258</v>
      </c>
      <c r="Z61" s="117">
        <v>76.203351945971008</v>
      </c>
    </row>
    <row r="62" spans="1:26" ht="15" customHeight="1" x14ac:dyDescent="0.25">
      <c r="A62" s="123">
        <v>1993</v>
      </c>
      <c r="B62" s="122">
        <f t="shared" si="13"/>
        <v>155</v>
      </c>
      <c r="C62" s="121">
        <f t="shared" ref="C62:M62" si="32">C17/$M17*100</f>
        <v>52.504509160135783</v>
      </c>
      <c r="D62" s="121">
        <f t="shared" si="32"/>
        <v>6.3430094726443791</v>
      </c>
      <c r="E62" s="121">
        <f t="shared" si="32"/>
        <v>15.698508251666857</v>
      </c>
      <c r="F62" s="121">
        <f t="shared" si="32"/>
        <v>0</v>
      </c>
      <c r="G62" s="121">
        <f t="shared" si="32"/>
        <v>0</v>
      </c>
      <c r="H62" s="121">
        <f t="shared" si="32"/>
        <v>4.8795077331630852</v>
      </c>
      <c r="I62" s="121">
        <f t="shared" si="32"/>
        <v>0.96016119910628461</v>
      </c>
      <c r="J62" s="121">
        <f t="shared" si="32"/>
        <v>0</v>
      </c>
      <c r="K62" s="121">
        <f t="shared" si="32"/>
        <v>80.385695816716392</v>
      </c>
      <c r="L62" s="121">
        <f t="shared" si="32"/>
        <v>19.614304183283618</v>
      </c>
      <c r="M62" s="121">
        <f t="shared" si="32"/>
        <v>100</v>
      </c>
      <c r="N62" s="117">
        <f t="shared" si="15"/>
        <v>0.2989935246092349</v>
      </c>
      <c r="O62" s="117">
        <f t="shared" si="19"/>
        <v>74.546026884447016</v>
      </c>
      <c r="P62" s="117">
        <f t="shared" si="20"/>
        <v>5.8396689322693698</v>
      </c>
      <c r="S62" s="117">
        <f t="shared" si="21"/>
        <v>0.52504509160135782</v>
      </c>
      <c r="T62" s="123">
        <v>1993</v>
      </c>
      <c r="U62" s="121">
        <f t="shared" si="22"/>
        <v>74.546026884447016</v>
      </c>
      <c r="V62" s="117">
        <v>68.194767689106286</v>
      </c>
      <c r="W62" s="121">
        <f t="shared" si="16"/>
        <v>5.8396689322693698</v>
      </c>
      <c r="X62" s="123">
        <v>1993</v>
      </c>
      <c r="Y62" s="121">
        <f t="shared" si="17"/>
        <v>80.385695816716392</v>
      </c>
      <c r="Z62" s="117">
        <v>75.882766303455426</v>
      </c>
    </row>
    <row r="63" spans="1:26" ht="15" customHeight="1" x14ac:dyDescent="0.25">
      <c r="A63" s="123">
        <v>1994</v>
      </c>
      <c r="B63" s="122">
        <f t="shared" si="13"/>
        <v>838</v>
      </c>
      <c r="C63" s="121">
        <f t="shared" ref="C63:M63" si="33">C18/$M18*100</f>
        <v>45.785682432701861</v>
      </c>
      <c r="D63" s="121">
        <f t="shared" si="33"/>
        <v>11.868939143680601</v>
      </c>
      <c r="E63" s="121">
        <f t="shared" si="33"/>
        <v>15.324190263385795</v>
      </c>
      <c r="F63" s="121">
        <f t="shared" si="33"/>
        <v>0</v>
      </c>
      <c r="G63" s="121">
        <f t="shared" si="33"/>
        <v>0.4752211701469003</v>
      </c>
      <c r="H63" s="121">
        <f t="shared" si="33"/>
        <v>7.3289656494237505</v>
      </c>
      <c r="I63" s="121">
        <f t="shared" si="33"/>
        <v>0.55693740420684668</v>
      </c>
      <c r="J63" s="121">
        <f t="shared" si="33"/>
        <v>0.13676825675352436</v>
      </c>
      <c r="K63" s="121">
        <f t="shared" si="33"/>
        <v>81.476704320299291</v>
      </c>
      <c r="L63" s="121">
        <f t="shared" si="33"/>
        <v>18.523295679700713</v>
      </c>
      <c r="M63" s="121">
        <f t="shared" si="33"/>
        <v>100</v>
      </c>
      <c r="N63" s="117">
        <f t="shared" si="15"/>
        <v>0.33469393594624419</v>
      </c>
      <c r="O63" s="117">
        <f t="shared" si="19"/>
        <v>72.978811839768255</v>
      </c>
      <c r="P63" s="117">
        <f t="shared" si="20"/>
        <v>8.0226713103841227</v>
      </c>
      <c r="S63" s="117">
        <f t="shared" si="21"/>
        <v>0.45785682432701863</v>
      </c>
      <c r="T63" s="123">
        <v>1994</v>
      </c>
      <c r="U63" s="121">
        <f t="shared" si="22"/>
        <v>73.45403300991515</v>
      </c>
      <c r="V63" s="117">
        <v>69.574652246292899</v>
      </c>
      <c r="W63" s="121">
        <f t="shared" si="16"/>
        <v>8.0226713103841227</v>
      </c>
      <c r="X63" s="123">
        <v>1994</v>
      </c>
      <c r="Y63" s="121">
        <f t="shared" si="17"/>
        <v>81.476704320299291</v>
      </c>
      <c r="Z63" s="117">
        <v>75.752311026641451</v>
      </c>
    </row>
    <row r="64" spans="1:26" ht="15" customHeight="1" x14ac:dyDescent="0.25">
      <c r="A64" s="123">
        <v>1995</v>
      </c>
      <c r="B64" s="122">
        <f t="shared" si="13"/>
        <v>432</v>
      </c>
      <c r="C64" s="121">
        <f t="shared" ref="C64:M64" si="34">C19/$M19*100</f>
        <v>30.087215462659433</v>
      </c>
      <c r="D64" s="121">
        <f t="shared" si="34"/>
        <v>14.121589178082264</v>
      </c>
      <c r="E64" s="121">
        <f t="shared" si="34"/>
        <v>23.672463010173654</v>
      </c>
      <c r="F64" s="121">
        <f t="shared" si="34"/>
        <v>0</v>
      </c>
      <c r="G64" s="121">
        <f t="shared" si="34"/>
        <v>1.4624390074157947</v>
      </c>
      <c r="H64" s="121">
        <f t="shared" si="34"/>
        <v>3.5250671836584471</v>
      </c>
      <c r="I64" s="121">
        <f t="shared" si="34"/>
        <v>0.42229800344914342</v>
      </c>
      <c r="J64" s="121">
        <f t="shared" si="34"/>
        <v>0.15929603891167912</v>
      </c>
      <c r="K64" s="121">
        <f t="shared" si="34"/>
        <v>73.450367884350385</v>
      </c>
      <c r="L64" s="121">
        <f t="shared" si="34"/>
        <v>26.549632115649612</v>
      </c>
      <c r="M64" s="121">
        <f t="shared" si="34"/>
        <v>100</v>
      </c>
      <c r="N64" s="117">
        <f t="shared" si="15"/>
        <v>0.7867947447497432</v>
      </c>
      <c r="O64" s="117">
        <f t="shared" si="19"/>
        <v>67.881267650915348</v>
      </c>
      <c r="P64" s="117">
        <f t="shared" si="20"/>
        <v>4.1066612260192699</v>
      </c>
      <c r="S64" s="117">
        <f t="shared" si="21"/>
        <v>0.30087215462659433</v>
      </c>
      <c r="T64" s="123">
        <v>1995</v>
      </c>
      <c r="U64" s="121">
        <f t="shared" si="22"/>
        <v>69.343706658331143</v>
      </c>
      <c r="V64" s="117">
        <v>71.168718880546876</v>
      </c>
      <c r="W64" s="121">
        <f t="shared" si="16"/>
        <v>4.1066612260192699</v>
      </c>
      <c r="X64" s="123">
        <v>1995</v>
      </c>
      <c r="Y64" s="121">
        <f t="shared" si="17"/>
        <v>73.450367884350385</v>
      </c>
      <c r="Z64" s="117">
        <v>76.077254722133915</v>
      </c>
    </row>
    <row r="65" spans="1:26" ht="15" customHeight="1" x14ac:dyDescent="0.25">
      <c r="A65" s="123">
        <v>1996</v>
      </c>
      <c r="B65" s="122">
        <f t="shared" si="13"/>
        <v>502</v>
      </c>
      <c r="C65" s="121">
        <f t="shared" ref="C65:M65" si="35">C20/$M20*100</f>
        <v>40.157806870121583</v>
      </c>
      <c r="D65" s="121">
        <f t="shared" si="35"/>
        <v>15.774045148006291</v>
      </c>
      <c r="E65" s="121">
        <f t="shared" si="35"/>
        <v>12.325113079957234</v>
      </c>
      <c r="F65" s="121">
        <f t="shared" si="35"/>
        <v>0</v>
      </c>
      <c r="G65" s="121">
        <f t="shared" si="35"/>
        <v>3.1737640982412407</v>
      </c>
      <c r="H65" s="121">
        <f t="shared" si="35"/>
        <v>3.1731439603349378</v>
      </c>
      <c r="I65" s="121">
        <f t="shared" si="35"/>
        <v>0.97430955525813911</v>
      </c>
      <c r="J65" s="121">
        <f t="shared" si="35"/>
        <v>0.35912195154549431</v>
      </c>
      <c r="K65" s="121">
        <f t="shared" si="35"/>
        <v>75.937304663464914</v>
      </c>
      <c r="L65" s="121">
        <f t="shared" si="35"/>
        <v>24.062695336535086</v>
      </c>
      <c r="M65" s="121">
        <f t="shared" si="35"/>
        <v>100</v>
      </c>
      <c r="N65" s="117">
        <f t="shared" si="15"/>
        <v>0.3069169867721892</v>
      </c>
      <c r="O65" s="117">
        <f t="shared" si="19"/>
        <v>68.256965098085104</v>
      </c>
      <c r="P65" s="117">
        <f t="shared" si="20"/>
        <v>4.5065754671385712</v>
      </c>
      <c r="S65" s="117">
        <f t="shared" si="21"/>
        <v>0.40157806870121582</v>
      </c>
      <c r="T65" s="123">
        <v>1996</v>
      </c>
      <c r="U65" s="121">
        <f t="shared" si="22"/>
        <v>71.43072919632634</v>
      </c>
      <c r="V65" s="117">
        <v>71.511415381088554</v>
      </c>
      <c r="W65" s="121">
        <f t="shared" si="16"/>
        <v>4.5065754671385712</v>
      </c>
      <c r="X65" s="123">
        <v>1996</v>
      </c>
      <c r="Y65" s="121">
        <f t="shared" si="17"/>
        <v>75.937304663464914</v>
      </c>
      <c r="Z65" s="117">
        <v>75.407029300962762</v>
      </c>
    </row>
    <row r="66" spans="1:26" ht="15" customHeight="1" x14ac:dyDescent="0.25">
      <c r="A66" s="123">
        <v>1997</v>
      </c>
      <c r="B66" s="122">
        <f t="shared" si="13"/>
        <v>480</v>
      </c>
      <c r="C66" s="121">
        <f t="shared" ref="C66:M66" si="36">C21/$M21*100</f>
        <v>49.017873451236419</v>
      </c>
      <c r="D66" s="121">
        <f t="shared" si="36"/>
        <v>4.0189026052864865</v>
      </c>
      <c r="E66" s="121">
        <f t="shared" si="36"/>
        <v>14.743034041224984</v>
      </c>
      <c r="F66" s="121">
        <f t="shared" si="36"/>
        <v>0</v>
      </c>
      <c r="G66" s="121">
        <f t="shared" si="36"/>
        <v>1.6822889749760244</v>
      </c>
      <c r="H66" s="121">
        <f t="shared" si="36"/>
        <v>3.382577019756579</v>
      </c>
      <c r="I66" s="121">
        <f t="shared" si="36"/>
        <v>0</v>
      </c>
      <c r="J66" s="121">
        <f t="shared" si="36"/>
        <v>0</v>
      </c>
      <c r="K66" s="121">
        <f t="shared" si="36"/>
        <v>72.844676092480483</v>
      </c>
      <c r="L66" s="121">
        <f t="shared" si="36"/>
        <v>27.155323907519506</v>
      </c>
      <c r="M66" s="121">
        <f t="shared" si="36"/>
        <v>100</v>
      </c>
      <c r="N66" s="117">
        <f t="shared" si="15"/>
        <v>0.30076853611145604</v>
      </c>
      <c r="O66" s="117">
        <f t="shared" si="19"/>
        <v>67.779810097747884</v>
      </c>
      <c r="P66" s="117">
        <f t="shared" si="20"/>
        <v>3.382577019756579</v>
      </c>
      <c r="Q66" s="117">
        <f>AVERAGE(P51:P66)</f>
        <v>8.3057152959284473</v>
      </c>
      <c r="S66" s="117">
        <f t="shared" si="21"/>
        <v>0.49017873451236421</v>
      </c>
      <c r="T66" s="123">
        <v>1997</v>
      </c>
      <c r="U66" s="121">
        <f t="shared" si="22"/>
        <v>69.462099072723902</v>
      </c>
      <c r="V66" s="117">
        <v>69.977633062523864</v>
      </c>
      <c r="W66" s="121">
        <f t="shared" si="16"/>
        <v>3.382577019756579</v>
      </c>
      <c r="X66" s="123">
        <v>1997</v>
      </c>
      <c r="Y66" s="121">
        <f t="shared" si="17"/>
        <v>72.844676092480483</v>
      </c>
      <c r="Z66" s="117">
        <v>72.853684314648945</v>
      </c>
    </row>
    <row r="67" spans="1:26" ht="15" customHeight="1" x14ac:dyDescent="0.25">
      <c r="A67" s="123">
        <v>1998</v>
      </c>
      <c r="B67" s="122">
        <f t="shared" si="13"/>
        <v>668</v>
      </c>
      <c r="C67" s="121">
        <f t="shared" ref="C67:M67" si="37">C22/$M22*100</f>
        <v>40.525601817316598</v>
      </c>
      <c r="D67" s="121">
        <f t="shared" si="37"/>
        <v>10.778256766232346</v>
      </c>
      <c r="E67" s="121">
        <f t="shared" si="37"/>
        <v>22.425299555903095</v>
      </c>
      <c r="F67" s="121">
        <f t="shared" si="37"/>
        <v>0</v>
      </c>
      <c r="G67" s="121">
        <f t="shared" si="37"/>
        <v>3.4350025053784408</v>
      </c>
      <c r="H67" s="121">
        <f t="shared" si="37"/>
        <v>0</v>
      </c>
      <c r="I67" s="121">
        <f t="shared" si="37"/>
        <v>0</v>
      </c>
      <c r="J67" s="121">
        <f t="shared" si="37"/>
        <v>0.34808154675266523</v>
      </c>
      <c r="K67" s="121">
        <f t="shared" si="37"/>
        <v>77.512242191583141</v>
      </c>
      <c r="L67" s="121">
        <f t="shared" si="37"/>
        <v>22.487757808416848</v>
      </c>
      <c r="M67" s="121">
        <f t="shared" si="37"/>
        <v>100</v>
      </c>
      <c r="N67" s="117">
        <f t="shared" si="15"/>
        <v>0.5533612963230754</v>
      </c>
      <c r="O67" s="117">
        <f t="shared" si="19"/>
        <v>73.729158139452039</v>
      </c>
      <c r="P67" s="117">
        <f t="shared" si="20"/>
        <v>0.34808154675266523</v>
      </c>
      <c r="Q67" s="117">
        <f>AVERAGE(P77:P86)</f>
        <v>6.3940437015879557</v>
      </c>
      <c r="S67" s="117">
        <f t="shared" si="21"/>
        <v>0.40525601817316598</v>
      </c>
      <c r="T67" s="123">
        <v>1998</v>
      </c>
      <c r="U67" s="121">
        <f t="shared" si="22"/>
        <v>77.164160644830474</v>
      </c>
      <c r="V67" s="117">
        <v>66.857630740933729</v>
      </c>
      <c r="W67" s="121">
        <f t="shared" si="16"/>
        <v>0.34808154675266523</v>
      </c>
      <c r="X67" s="123">
        <v>1998</v>
      </c>
      <c r="Y67" s="121">
        <f t="shared" si="17"/>
        <v>77.512242191583141</v>
      </c>
      <c r="Z67" s="117">
        <v>68.815597118095084</v>
      </c>
    </row>
    <row r="68" spans="1:26" ht="15" customHeight="1" x14ac:dyDescent="0.25">
      <c r="A68" s="123">
        <v>1999</v>
      </c>
      <c r="B68" s="122">
        <f t="shared" si="13"/>
        <v>623</v>
      </c>
      <c r="C68" s="121">
        <f t="shared" ref="C68:M68" si="38">C23/$M23*100</f>
        <v>41.613988262821955</v>
      </c>
      <c r="D68" s="121">
        <f t="shared" si="38"/>
        <v>6.701371487225714</v>
      </c>
      <c r="E68" s="121">
        <f t="shared" si="38"/>
        <v>17.194773951507347</v>
      </c>
      <c r="F68" s="121">
        <f t="shared" si="38"/>
        <v>0</v>
      </c>
      <c r="G68" s="121">
        <f t="shared" si="38"/>
        <v>4.2531537882785724</v>
      </c>
      <c r="H68" s="121">
        <f t="shared" si="38"/>
        <v>0</v>
      </c>
      <c r="I68" s="121">
        <f t="shared" si="38"/>
        <v>0</v>
      </c>
      <c r="J68" s="121">
        <f t="shared" si="38"/>
        <v>0.71891592878854005</v>
      </c>
      <c r="K68" s="121">
        <f t="shared" si="38"/>
        <v>70.482203418622134</v>
      </c>
      <c r="L68" s="121">
        <f t="shared" si="38"/>
        <v>29.517796581377866</v>
      </c>
      <c r="M68" s="121">
        <f t="shared" si="38"/>
        <v>100</v>
      </c>
      <c r="N68" s="117">
        <f t="shared" si="15"/>
        <v>0.41319697220343582</v>
      </c>
      <c r="O68" s="117">
        <f t="shared" si="19"/>
        <v>65.51013370155502</v>
      </c>
      <c r="P68" s="117">
        <f t="shared" si="20"/>
        <v>0.71891592878854005</v>
      </c>
      <c r="S68" s="117">
        <f t="shared" si="21"/>
        <v>0.41613988262821955</v>
      </c>
      <c r="T68" s="123">
        <v>1999</v>
      </c>
      <c r="U68" s="121">
        <f t="shared" si="22"/>
        <v>69.763287489833587</v>
      </c>
      <c r="V68" s="117">
        <v>62.7312760389662</v>
      </c>
      <c r="W68" s="121">
        <f t="shared" si="16"/>
        <v>0.71891592878854005</v>
      </c>
      <c r="X68" s="123">
        <v>1999</v>
      </c>
      <c r="Y68" s="121">
        <f t="shared" si="17"/>
        <v>70.482203418622134</v>
      </c>
      <c r="Z68" s="117">
        <v>64.14274521624337</v>
      </c>
    </row>
    <row r="69" spans="1:26" ht="15" customHeight="1" x14ac:dyDescent="0.25">
      <c r="A69" s="123">
        <v>2000</v>
      </c>
      <c r="B69" s="122">
        <f t="shared" si="13"/>
        <v>161</v>
      </c>
      <c r="C69" s="121">
        <f t="shared" ref="C69:M69" si="39">C24/$M24*100</f>
        <v>36.285760235885306</v>
      </c>
      <c r="D69" s="121">
        <f t="shared" si="39"/>
        <v>3.3753530299399155</v>
      </c>
      <c r="E69" s="121">
        <f t="shared" si="39"/>
        <v>8.5961747263634525</v>
      </c>
      <c r="F69" s="121">
        <f t="shared" si="39"/>
        <v>0</v>
      </c>
      <c r="G69" s="121">
        <f t="shared" si="39"/>
        <v>7.1803922676602436</v>
      </c>
      <c r="H69" s="121">
        <f t="shared" si="39"/>
        <v>0</v>
      </c>
      <c r="I69" s="121">
        <f t="shared" si="39"/>
        <v>0</v>
      </c>
      <c r="J69" s="121">
        <f t="shared" si="39"/>
        <v>0</v>
      </c>
      <c r="K69" s="121">
        <f t="shared" si="39"/>
        <v>55.437680259848911</v>
      </c>
      <c r="L69" s="121">
        <f t="shared" si="39"/>
        <v>44.562319740151089</v>
      </c>
      <c r="M69" s="121">
        <f t="shared" si="39"/>
        <v>100</v>
      </c>
      <c r="N69" s="117">
        <f t="shared" si="15"/>
        <v>0.23690215308930324</v>
      </c>
      <c r="O69" s="117">
        <f t="shared" si="19"/>
        <v>48.257287992188672</v>
      </c>
      <c r="P69" s="117">
        <f t="shared" si="20"/>
        <v>0</v>
      </c>
      <c r="S69" s="117">
        <f t="shared" si="21"/>
        <v>0.36285760235885306</v>
      </c>
      <c r="T69" s="123">
        <v>2000</v>
      </c>
      <c r="U69" s="121">
        <f t="shared" si="22"/>
        <v>55.437680259848918</v>
      </c>
      <c r="V69" s="117">
        <v>58.836171483734702</v>
      </c>
      <c r="W69" s="121">
        <f t="shared" si="16"/>
        <v>0</v>
      </c>
      <c r="X69" s="123">
        <v>2000</v>
      </c>
      <c r="Y69" s="121">
        <f t="shared" si="17"/>
        <v>55.437680259848911</v>
      </c>
      <c r="Z69" s="117">
        <v>60.132886581558751</v>
      </c>
    </row>
    <row r="70" spans="1:26" ht="15" customHeight="1" x14ac:dyDescent="0.25">
      <c r="A70" s="123">
        <v>2001</v>
      </c>
      <c r="B70" s="122">
        <f t="shared" si="13"/>
        <v>314</v>
      </c>
      <c r="C70" s="121">
        <f t="shared" ref="C70:M70" si="40">C25/$M25*100</f>
        <v>22.32574362913661</v>
      </c>
      <c r="D70" s="121">
        <f t="shared" si="40"/>
        <v>14.555720573483862</v>
      </c>
      <c r="E70" s="121">
        <f t="shared" si="40"/>
        <v>10.386812300979845</v>
      </c>
      <c r="F70" s="121">
        <f t="shared" si="40"/>
        <v>0</v>
      </c>
      <c r="G70" s="121">
        <f t="shared" si="40"/>
        <v>1.8661171018063269</v>
      </c>
      <c r="H70" s="121">
        <f t="shared" si="40"/>
        <v>0.21499995258832319</v>
      </c>
      <c r="I70" s="121">
        <f t="shared" si="40"/>
        <v>0</v>
      </c>
      <c r="J70" s="121">
        <f t="shared" si="40"/>
        <v>0</v>
      </c>
      <c r="K70" s="121">
        <f t="shared" si="40"/>
        <v>49.349393557994972</v>
      </c>
      <c r="L70" s="121">
        <f t="shared" si="40"/>
        <v>50.650606442005028</v>
      </c>
      <c r="M70" s="121">
        <f t="shared" si="40"/>
        <v>100</v>
      </c>
      <c r="N70" s="117">
        <f t="shared" si="15"/>
        <v>0.46523925355052226</v>
      </c>
      <c r="O70" s="117">
        <f t="shared" si="19"/>
        <v>47.268276503600319</v>
      </c>
      <c r="P70" s="117">
        <f t="shared" si="20"/>
        <v>0.21499995258832319</v>
      </c>
      <c r="S70" s="117">
        <f t="shared" si="21"/>
        <v>0.2232574362913661</v>
      </c>
      <c r="T70" s="123">
        <v>2001</v>
      </c>
      <c r="U70" s="121">
        <f t="shared" si="22"/>
        <v>49.134393605406643</v>
      </c>
      <c r="V70" s="117">
        <v>55.711889170799282</v>
      </c>
      <c r="W70" s="121">
        <f t="shared" si="16"/>
        <v>0.21499995258832319</v>
      </c>
      <c r="X70" s="123">
        <v>2001</v>
      </c>
      <c r="Y70" s="121">
        <f t="shared" si="17"/>
        <v>49.349393557994972</v>
      </c>
      <c r="Z70" s="117">
        <v>57.29290902131271</v>
      </c>
    </row>
    <row r="71" spans="1:26" ht="15" customHeight="1" x14ac:dyDescent="0.25">
      <c r="A71" s="123">
        <v>2002</v>
      </c>
      <c r="B71" s="122">
        <f t="shared" si="13"/>
        <v>434</v>
      </c>
      <c r="C71" s="121">
        <f t="shared" ref="C71:M71" si="41">C26/$M26*100</f>
        <v>16.491348153576414</v>
      </c>
      <c r="D71" s="121">
        <f t="shared" si="41"/>
        <v>8.3414254238516374</v>
      </c>
      <c r="E71" s="121">
        <f t="shared" si="41"/>
        <v>10.262876689220986</v>
      </c>
      <c r="F71" s="121">
        <f t="shared" si="41"/>
        <v>0</v>
      </c>
      <c r="G71" s="121">
        <f t="shared" si="41"/>
        <v>1.6897081473674032</v>
      </c>
      <c r="H71" s="121">
        <f t="shared" si="41"/>
        <v>1.203214098992166</v>
      </c>
      <c r="I71" s="121">
        <f t="shared" si="41"/>
        <v>0</v>
      </c>
      <c r="J71" s="121">
        <f t="shared" si="41"/>
        <v>1.1340377935835684</v>
      </c>
      <c r="K71" s="121">
        <f t="shared" si="41"/>
        <v>39.122610306592165</v>
      </c>
      <c r="L71" s="121">
        <f t="shared" si="41"/>
        <v>60.877389693407821</v>
      </c>
      <c r="M71" s="121">
        <f t="shared" si="41"/>
        <v>100</v>
      </c>
      <c r="N71" s="117">
        <f t="shared" si="15"/>
        <v>0.62231884219819322</v>
      </c>
      <c r="O71" s="117">
        <f t="shared" si="19"/>
        <v>35.095650266649038</v>
      </c>
      <c r="P71" s="117">
        <f t="shared" si="20"/>
        <v>2.3372518925757344</v>
      </c>
      <c r="S71" s="117">
        <f t="shared" si="21"/>
        <v>0.16491348153576413</v>
      </c>
      <c r="T71" s="123">
        <v>2002</v>
      </c>
      <c r="U71" s="121">
        <f t="shared" si="22"/>
        <v>36.785358414016443</v>
      </c>
      <c r="V71" s="117">
        <v>53.1022178400328</v>
      </c>
      <c r="W71" s="121">
        <f t="shared" si="16"/>
        <v>2.3372518925757344</v>
      </c>
      <c r="X71" s="123">
        <v>2002</v>
      </c>
      <c r="Y71" s="121">
        <f t="shared" si="17"/>
        <v>39.122610306592165</v>
      </c>
      <c r="Z71" s="117">
        <v>55.141032339391273</v>
      </c>
    </row>
    <row r="72" spans="1:26" ht="15" customHeight="1" x14ac:dyDescent="0.25">
      <c r="A72" s="123">
        <v>2003</v>
      </c>
      <c r="B72" s="122">
        <f t="shared" si="13"/>
        <v>335</v>
      </c>
      <c r="C72" s="121">
        <f t="shared" ref="C72:M72" si="42">C27/$M27*100</f>
        <v>24.329343891395833</v>
      </c>
      <c r="D72" s="121">
        <f t="shared" si="42"/>
        <v>9.6250587289062732</v>
      </c>
      <c r="E72" s="121">
        <f t="shared" si="42"/>
        <v>18.766224487044024</v>
      </c>
      <c r="F72" s="121">
        <f t="shared" si="42"/>
        <v>0</v>
      </c>
      <c r="G72" s="121">
        <f t="shared" si="42"/>
        <v>2.8812920899541088</v>
      </c>
      <c r="H72" s="121">
        <f t="shared" si="42"/>
        <v>2.4847767575928921</v>
      </c>
      <c r="I72" s="121">
        <f t="shared" si="42"/>
        <v>0.84054079381038505</v>
      </c>
      <c r="J72" s="121">
        <f t="shared" si="42"/>
        <v>0</v>
      </c>
      <c r="K72" s="121">
        <f t="shared" si="42"/>
        <v>58.927236748703514</v>
      </c>
      <c r="L72" s="121">
        <f t="shared" si="42"/>
        <v>41.072763251296479</v>
      </c>
      <c r="M72" s="121">
        <f t="shared" si="42"/>
        <v>100</v>
      </c>
      <c r="N72" s="117">
        <f t="shared" si="15"/>
        <v>0.77134116607561998</v>
      </c>
      <c r="O72" s="117">
        <f t="shared" si="19"/>
        <v>52.720627107346132</v>
      </c>
      <c r="P72" s="117">
        <f t="shared" si="20"/>
        <v>3.3253175514032769</v>
      </c>
      <c r="S72" s="117">
        <f t="shared" si="21"/>
        <v>0.24329343891395833</v>
      </c>
      <c r="T72" s="123">
        <v>2003</v>
      </c>
      <c r="U72" s="121">
        <f t="shared" si="22"/>
        <v>55.601919197300241</v>
      </c>
      <c r="V72" s="117">
        <v>51.493842228980611</v>
      </c>
      <c r="W72" s="121">
        <f t="shared" si="16"/>
        <v>3.3253175514032769</v>
      </c>
      <c r="X72" s="123">
        <v>2003</v>
      </c>
      <c r="Y72" s="121">
        <f t="shared" si="17"/>
        <v>58.927236748703514</v>
      </c>
      <c r="Z72" s="117">
        <v>54.151103285718911</v>
      </c>
    </row>
    <row r="73" spans="1:26" ht="15" customHeight="1" x14ac:dyDescent="0.25">
      <c r="A73" s="123">
        <v>2004</v>
      </c>
      <c r="B73" s="122">
        <f t="shared" si="13"/>
        <v>244</v>
      </c>
      <c r="C73" s="121">
        <f t="shared" ref="C73:M73" si="43">C28/$M28*100</f>
        <v>40.801279633241485</v>
      </c>
      <c r="D73" s="121">
        <f t="shared" si="43"/>
        <v>7.8585159023329201</v>
      </c>
      <c r="E73" s="121">
        <f t="shared" si="43"/>
        <v>9.7340695492477689</v>
      </c>
      <c r="F73" s="121">
        <f t="shared" si="43"/>
        <v>0</v>
      </c>
      <c r="G73" s="121">
        <f t="shared" si="43"/>
        <v>2.4170590233547022</v>
      </c>
      <c r="H73" s="121">
        <f t="shared" si="43"/>
        <v>1.9335030826190664</v>
      </c>
      <c r="I73" s="121">
        <f t="shared" si="43"/>
        <v>0.78718605802689956</v>
      </c>
      <c r="J73" s="121">
        <f t="shared" si="43"/>
        <v>2.7545466055073384</v>
      </c>
      <c r="K73" s="121">
        <f t="shared" si="43"/>
        <v>66.28615985433018</v>
      </c>
      <c r="L73" s="121">
        <f t="shared" si="43"/>
        <v>33.71384014566982</v>
      </c>
      <c r="M73" s="121">
        <f t="shared" si="43"/>
        <v>100</v>
      </c>
      <c r="N73" s="117">
        <f t="shared" si="15"/>
        <v>0.23857265352327969</v>
      </c>
      <c r="O73" s="117">
        <f t="shared" si="19"/>
        <v>58.393865084822174</v>
      </c>
      <c r="P73" s="117">
        <f t="shared" si="20"/>
        <v>5.4752357461533041</v>
      </c>
      <c r="S73" s="117">
        <f t="shared" si="21"/>
        <v>0.40801279633241483</v>
      </c>
      <c r="T73" s="123">
        <v>2004</v>
      </c>
      <c r="U73" s="121">
        <f t="shared" si="22"/>
        <v>60.810924108176877</v>
      </c>
      <c r="V73" s="117">
        <v>51.396381443334832</v>
      </c>
      <c r="W73" s="121">
        <f t="shared" si="16"/>
        <v>5.4752357461533041</v>
      </c>
      <c r="X73" s="123">
        <v>2004</v>
      </c>
      <c r="Y73" s="121">
        <f t="shared" si="17"/>
        <v>66.28615985433018</v>
      </c>
      <c r="Z73" s="117">
        <v>54.907702298953076</v>
      </c>
    </row>
    <row r="74" spans="1:26" ht="15" customHeight="1" x14ac:dyDescent="0.25">
      <c r="A74" s="123">
        <v>2005</v>
      </c>
      <c r="B74" s="122">
        <f t="shared" si="13"/>
        <v>256</v>
      </c>
      <c r="C74" s="121">
        <f t="shared" ref="C74:M74" si="44">C29/$M29*100</f>
        <v>31.83871925484258</v>
      </c>
      <c r="D74" s="121">
        <f t="shared" si="44"/>
        <v>3.3524349400413933</v>
      </c>
      <c r="E74" s="121">
        <f t="shared" si="44"/>
        <v>14.565532914332488</v>
      </c>
      <c r="F74" s="121">
        <f t="shared" si="44"/>
        <v>0</v>
      </c>
      <c r="G74" s="121">
        <f t="shared" si="44"/>
        <v>1.6181679093713117</v>
      </c>
      <c r="H74" s="121">
        <f t="shared" si="44"/>
        <v>0.9796596213064872</v>
      </c>
      <c r="I74" s="121">
        <f t="shared" si="44"/>
        <v>0.22222008784461827</v>
      </c>
      <c r="J74" s="121">
        <f t="shared" si="44"/>
        <v>0</v>
      </c>
      <c r="K74" s="121">
        <f t="shared" si="44"/>
        <v>52.576734727738881</v>
      </c>
      <c r="L74" s="121">
        <f t="shared" si="44"/>
        <v>47.423265272261119</v>
      </c>
      <c r="M74" s="121">
        <f t="shared" si="44"/>
        <v>100</v>
      </c>
      <c r="N74" s="117">
        <f t="shared" si="15"/>
        <v>0.45747860640208104</v>
      </c>
      <c r="O74" s="117">
        <f t="shared" si="19"/>
        <v>49.756687109216458</v>
      </c>
      <c r="P74" s="117">
        <f t="shared" si="20"/>
        <v>1.2018797091511055</v>
      </c>
      <c r="S74" s="117">
        <f t="shared" si="21"/>
        <v>0.31838719254842579</v>
      </c>
      <c r="T74" s="123">
        <v>2005</v>
      </c>
      <c r="U74" s="121">
        <f t="shared" si="22"/>
        <v>51.374855018587766</v>
      </c>
      <c r="V74" s="117">
        <v>51.807251837267337</v>
      </c>
      <c r="W74" s="121">
        <f t="shared" si="16"/>
        <v>1.2018797091511055</v>
      </c>
      <c r="X74" s="123">
        <v>2005</v>
      </c>
      <c r="Y74" s="121">
        <f t="shared" si="17"/>
        <v>52.576734727738881</v>
      </c>
      <c r="Z74" s="117">
        <v>56.208193300393205</v>
      </c>
    </row>
    <row r="75" spans="1:26" ht="15" customHeight="1" x14ac:dyDescent="0.25">
      <c r="A75" s="123">
        <v>2006</v>
      </c>
      <c r="B75" s="122">
        <f t="shared" si="13"/>
        <v>169</v>
      </c>
      <c r="C75" s="121">
        <f t="shared" ref="C75:M75" si="45">C30/$M30*100</f>
        <v>36.481419829523155</v>
      </c>
      <c r="D75" s="121">
        <f t="shared" si="45"/>
        <v>3.3105634531644226</v>
      </c>
      <c r="E75" s="121">
        <f t="shared" si="45"/>
        <v>8.8054461479175838</v>
      </c>
      <c r="F75" s="121">
        <f t="shared" si="45"/>
        <v>0</v>
      </c>
      <c r="G75" s="121">
        <f t="shared" si="45"/>
        <v>0.38137733575921723</v>
      </c>
      <c r="H75" s="121">
        <f t="shared" si="45"/>
        <v>1.7550910252369674</v>
      </c>
      <c r="I75" s="121">
        <f t="shared" si="45"/>
        <v>0</v>
      </c>
      <c r="J75" s="121">
        <f t="shared" si="45"/>
        <v>3.0015671887596636</v>
      </c>
      <c r="K75" s="121">
        <f t="shared" si="45"/>
        <v>53.735464980361016</v>
      </c>
      <c r="L75" s="121">
        <f t="shared" si="45"/>
        <v>46.264535019638984</v>
      </c>
      <c r="M75" s="121">
        <f t="shared" si="45"/>
        <v>100</v>
      </c>
      <c r="N75" s="117">
        <f t="shared" si="15"/>
        <v>0.2413679672848599</v>
      </c>
      <c r="O75" s="117">
        <f t="shared" si="19"/>
        <v>48.59742943060516</v>
      </c>
      <c r="P75" s="117">
        <f t="shared" si="20"/>
        <v>4.7566582139966309</v>
      </c>
      <c r="S75" s="117">
        <f t="shared" si="21"/>
        <v>0.36481419829523154</v>
      </c>
      <c r="T75" s="123">
        <v>2006</v>
      </c>
      <c r="U75" s="121">
        <f t="shared" si="22"/>
        <v>48.978806766364379</v>
      </c>
      <c r="V75" s="117">
        <v>51.259367753901614</v>
      </c>
      <c r="W75" s="121">
        <f t="shared" si="16"/>
        <v>4.7566582139966309</v>
      </c>
      <c r="X75" s="123">
        <v>2006</v>
      </c>
      <c r="Y75" s="121">
        <f t="shared" si="17"/>
        <v>53.735464980361016</v>
      </c>
      <c r="Z75" s="117">
        <v>56.322604831319858</v>
      </c>
    </row>
    <row r="76" spans="1:26" ht="15" customHeight="1" x14ac:dyDescent="0.25">
      <c r="A76" s="123">
        <v>2007</v>
      </c>
      <c r="B76" s="122">
        <f t="shared" si="13"/>
        <v>294</v>
      </c>
      <c r="C76" s="121">
        <f t="shared" ref="C76:M76" si="46">C31/$M31*100</f>
        <v>38.142954204807687</v>
      </c>
      <c r="D76" s="121">
        <f t="shared" si="46"/>
        <v>5.2823865642394088</v>
      </c>
      <c r="E76" s="121">
        <f t="shared" si="46"/>
        <v>9.0795152438204152</v>
      </c>
      <c r="F76" s="121">
        <f t="shared" si="46"/>
        <v>0</v>
      </c>
      <c r="G76" s="121">
        <f t="shared" si="46"/>
        <v>2.2213674112576216</v>
      </c>
      <c r="H76" s="121">
        <f t="shared" si="46"/>
        <v>1.7208587758994698</v>
      </c>
      <c r="I76" s="121">
        <f t="shared" si="46"/>
        <v>0.34469868310310892</v>
      </c>
      <c r="J76" s="121">
        <f t="shared" si="46"/>
        <v>5.6144170218552238</v>
      </c>
      <c r="K76" s="121">
        <f t="shared" si="46"/>
        <v>62.406197904982939</v>
      </c>
      <c r="L76" s="121">
        <f t="shared" si="46"/>
        <v>37.593802095017068</v>
      </c>
      <c r="M76" s="121">
        <f t="shared" si="46"/>
        <v>100</v>
      </c>
      <c r="N76" s="117">
        <f t="shared" si="15"/>
        <v>0.23803911975638209</v>
      </c>
      <c r="O76" s="117">
        <f t="shared" si="19"/>
        <v>52.504856012867513</v>
      </c>
      <c r="P76" s="117">
        <f t="shared" si="20"/>
        <v>7.679974480857803</v>
      </c>
      <c r="S76" s="117">
        <f t="shared" si="21"/>
        <v>0.38142954204807689</v>
      </c>
      <c r="T76" s="123">
        <v>2007</v>
      </c>
      <c r="U76" s="121">
        <f t="shared" si="22"/>
        <v>54.726223424125138</v>
      </c>
      <c r="V76" s="117">
        <v>49.069288450147369</v>
      </c>
      <c r="W76" s="121">
        <f t="shared" si="16"/>
        <v>7.679974480857803</v>
      </c>
      <c r="X76" s="123">
        <v>2007</v>
      </c>
      <c r="Y76" s="121">
        <f t="shared" si="17"/>
        <v>62.406197904982939</v>
      </c>
      <c r="Z76" s="117">
        <v>54.694007281258557</v>
      </c>
    </row>
    <row r="77" spans="1:26" ht="15" customHeight="1" x14ac:dyDescent="0.25">
      <c r="A77" s="123">
        <v>2008</v>
      </c>
      <c r="B77" s="122">
        <v>302</v>
      </c>
      <c r="C77" s="121">
        <f t="shared" ref="C77:M77" si="47">C32/$M32*100</f>
        <v>18.961864406779661</v>
      </c>
      <c r="D77" s="121">
        <f t="shared" si="47"/>
        <v>6.4618644067796609</v>
      </c>
      <c r="E77" s="121">
        <f t="shared" si="47"/>
        <v>20.630296610169491</v>
      </c>
      <c r="F77" s="121">
        <f t="shared" si="47"/>
        <v>0</v>
      </c>
      <c r="G77" s="121">
        <f t="shared" si="47"/>
        <v>0.87394067796610164</v>
      </c>
      <c r="H77" s="121">
        <f t="shared" si="47"/>
        <v>1.5625</v>
      </c>
      <c r="I77" s="121">
        <f t="shared" si="47"/>
        <v>0.31779661016949157</v>
      </c>
      <c r="J77" s="121">
        <f t="shared" si="47"/>
        <v>5.0847457627118651</v>
      </c>
      <c r="K77" s="121">
        <f t="shared" si="47"/>
        <v>53.893008474576277</v>
      </c>
      <c r="L77" s="121">
        <f t="shared" si="47"/>
        <v>46.10699152542373</v>
      </c>
      <c r="M77" s="121">
        <f t="shared" si="47"/>
        <v>100</v>
      </c>
      <c r="N77" s="117">
        <f t="shared" si="15"/>
        <v>1.0879888268156424</v>
      </c>
      <c r="O77" s="117">
        <f t="shared" si="19"/>
        <v>46.054025423728817</v>
      </c>
      <c r="P77" s="117">
        <f t="shared" si="20"/>
        <v>6.9650423728813564</v>
      </c>
      <c r="S77" s="117">
        <f t="shared" si="21"/>
        <v>0.1896186440677966</v>
      </c>
      <c r="T77" s="123">
        <v>2008</v>
      </c>
      <c r="U77" s="121">
        <f t="shared" si="22"/>
        <v>46.927966101694921</v>
      </c>
      <c r="V77" s="117">
        <v>46.387591616731726</v>
      </c>
      <c r="W77" s="121">
        <f t="shared" si="16"/>
        <v>6.9650423728813564</v>
      </c>
      <c r="X77" s="123">
        <v>2008</v>
      </c>
      <c r="Y77" s="121">
        <f t="shared" si="17"/>
        <v>53.893008474576277</v>
      </c>
      <c r="Z77" s="117">
        <v>52.775095378560117</v>
      </c>
    </row>
    <row r="78" spans="1:26" ht="15" customHeight="1" x14ac:dyDescent="0.25">
      <c r="A78" s="123">
        <v>2009</v>
      </c>
      <c r="B78" s="122">
        <v>253</v>
      </c>
      <c r="C78" s="121">
        <f t="shared" ref="C78:M78" si="48">C33/$M33*100</f>
        <v>23.933378964179784</v>
      </c>
      <c r="D78" s="121">
        <f t="shared" si="48"/>
        <v>6.1145334245950265</v>
      </c>
      <c r="E78" s="121">
        <f t="shared" si="48"/>
        <v>11.019849418206707</v>
      </c>
      <c r="F78" s="121">
        <f t="shared" si="48"/>
        <v>0</v>
      </c>
      <c r="G78" s="121">
        <f t="shared" si="48"/>
        <v>0.41067761806981523</v>
      </c>
      <c r="H78" s="121">
        <f t="shared" si="48"/>
        <v>6.0460871549167239</v>
      </c>
      <c r="I78" s="121">
        <f t="shared" si="48"/>
        <v>0</v>
      </c>
      <c r="J78" s="121">
        <f t="shared" si="48"/>
        <v>0.43349304129591604</v>
      </c>
      <c r="K78" s="121">
        <f t="shared" si="48"/>
        <v>47.958019621263972</v>
      </c>
      <c r="L78" s="121">
        <f t="shared" si="48"/>
        <v>52.041980378736028</v>
      </c>
      <c r="M78" s="121">
        <f t="shared" si="48"/>
        <v>100</v>
      </c>
      <c r="N78" s="117">
        <f t="shared" si="15"/>
        <v>0.46043851286939941</v>
      </c>
      <c r="O78" s="117">
        <f t="shared" si="19"/>
        <v>41.067761806981522</v>
      </c>
      <c r="P78" s="117">
        <f t="shared" si="20"/>
        <v>6.4795801962126403</v>
      </c>
      <c r="S78" s="117">
        <f t="shared" si="21"/>
        <v>0.23933378964179786</v>
      </c>
      <c r="T78" s="123">
        <v>2009</v>
      </c>
      <c r="U78" s="121">
        <f t="shared" si="22"/>
        <v>41.478439425051334</v>
      </c>
      <c r="V78" s="117">
        <v>44.59447852712244</v>
      </c>
      <c r="W78" s="121">
        <f t="shared" si="16"/>
        <v>6.4795801962126403</v>
      </c>
      <c r="X78" s="123">
        <v>2009</v>
      </c>
      <c r="Y78" s="121">
        <f t="shared" si="17"/>
        <v>47.958019621263972</v>
      </c>
      <c r="Z78" s="117">
        <v>51.75464226409396</v>
      </c>
    </row>
    <row r="79" spans="1:26" ht="15" customHeight="1" x14ac:dyDescent="0.25">
      <c r="A79" s="123">
        <v>2010</v>
      </c>
      <c r="B79" s="122">
        <v>632</v>
      </c>
      <c r="C79" s="121">
        <f t="shared" ref="C79:M79" si="49">C34/$M34*100</f>
        <v>22.244784936311611</v>
      </c>
      <c r="D79" s="121">
        <f t="shared" si="49"/>
        <v>5.2981354993538856</v>
      </c>
      <c r="E79" s="121">
        <f t="shared" si="49"/>
        <v>12.774598486246999</v>
      </c>
      <c r="F79" s="121">
        <f t="shared" si="49"/>
        <v>0</v>
      </c>
      <c r="G79" s="121">
        <f t="shared" si="49"/>
        <v>0.66457448772383243</v>
      </c>
      <c r="H79" s="121">
        <f t="shared" si="49"/>
        <v>4.0243677312165405</v>
      </c>
      <c r="I79" s="121">
        <f t="shared" si="49"/>
        <v>0</v>
      </c>
      <c r="J79" s="121">
        <f t="shared" si="49"/>
        <v>1.8645006461140854</v>
      </c>
      <c r="K79" s="121">
        <f t="shared" si="49"/>
        <v>46.870961786966959</v>
      </c>
      <c r="L79" s="121">
        <f t="shared" si="49"/>
        <v>53.129038213033041</v>
      </c>
      <c r="M79" s="121">
        <f t="shared" si="49"/>
        <v>100</v>
      </c>
      <c r="N79" s="117">
        <f t="shared" si="15"/>
        <v>0.57427385892116178</v>
      </c>
      <c r="O79" s="117">
        <f t="shared" si="19"/>
        <v>40.317518921912495</v>
      </c>
      <c r="P79" s="117">
        <f t="shared" si="20"/>
        <v>5.8888683773306258</v>
      </c>
      <c r="S79" s="117">
        <f t="shared" si="21"/>
        <v>0.2224478493631161</v>
      </c>
      <c r="T79" s="123">
        <v>2010</v>
      </c>
      <c r="U79" s="121">
        <f t="shared" si="22"/>
        <v>40.982093409636327</v>
      </c>
      <c r="V79" s="117">
        <v>43.587293067273386</v>
      </c>
      <c r="W79" s="121">
        <f t="shared" si="16"/>
        <v>5.8888683773306258</v>
      </c>
      <c r="X79" s="123">
        <v>2010</v>
      </c>
      <c r="Y79" s="121">
        <f t="shared" si="17"/>
        <v>46.870961786966959</v>
      </c>
      <c r="Z79" s="117">
        <v>51.064384463863952</v>
      </c>
    </row>
    <row r="80" spans="1:26" ht="15" customHeight="1" x14ac:dyDescent="0.25">
      <c r="A80" s="123">
        <v>2011</v>
      </c>
      <c r="B80" s="122">
        <v>376</v>
      </c>
      <c r="C80" s="121">
        <f t="shared" ref="C80:M80" si="50">C35/$M35*100</f>
        <v>19.761239522479045</v>
      </c>
      <c r="D80" s="121">
        <f t="shared" si="50"/>
        <v>3.7592075184150371</v>
      </c>
      <c r="E80" s="121">
        <f t="shared" si="50"/>
        <v>10.591821183642368</v>
      </c>
      <c r="F80" s="121">
        <f t="shared" si="50"/>
        <v>0</v>
      </c>
      <c r="G80" s="121">
        <f t="shared" si="50"/>
        <v>0.63500127000254003</v>
      </c>
      <c r="H80" s="121">
        <f t="shared" si="50"/>
        <v>4.8006096012192021</v>
      </c>
      <c r="I80" s="121">
        <f t="shared" si="50"/>
        <v>0.10160020320040639</v>
      </c>
      <c r="J80" s="121">
        <f t="shared" si="50"/>
        <v>6.0706121412242826</v>
      </c>
      <c r="K80" s="121">
        <f t="shared" si="50"/>
        <v>45.720091440182884</v>
      </c>
      <c r="L80" s="121">
        <f t="shared" si="50"/>
        <v>54.279908559817123</v>
      </c>
      <c r="M80" s="121">
        <f t="shared" si="50"/>
        <v>100</v>
      </c>
      <c r="N80" s="117">
        <f t="shared" si="15"/>
        <v>0.53598971722365041</v>
      </c>
      <c r="O80" s="117">
        <f t="shared" si="19"/>
        <v>34.11226822453645</v>
      </c>
      <c r="P80" s="117">
        <f t="shared" si="20"/>
        <v>10.97282194564389</v>
      </c>
      <c r="S80" s="117">
        <f t="shared" si="21"/>
        <v>0.19761239522479046</v>
      </c>
      <c r="T80" s="123">
        <v>2011</v>
      </c>
      <c r="U80" s="121">
        <f t="shared" si="22"/>
        <v>34.74726949453899</v>
      </c>
      <c r="V80" s="117">
        <v>42.912774005662008</v>
      </c>
      <c r="W80" s="121">
        <f t="shared" si="16"/>
        <v>10.97282194564389</v>
      </c>
      <c r="X80" s="123">
        <v>2011</v>
      </c>
      <c r="Y80" s="121">
        <f t="shared" si="17"/>
        <v>45.720091440182884</v>
      </c>
      <c r="Z80" s="117">
        <v>50.294958085270167</v>
      </c>
    </row>
    <row r="81" spans="1:30" ht="15" customHeight="1" x14ac:dyDescent="0.25">
      <c r="A81" s="123">
        <v>2012</v>
      </c>
      <c r="B81" s="122">
        <v>542</v>
      </c>
      <c r="C81" s="121">
        <f t="shared" ref="C81:M81" si="51">C36/$M36*100</f>
        <v>19.721354792217152</v>
      </c>
      <c r="D81" s="121">
        <f t="shared" si="51"/>
        <v>8.3593562334854674</v>
      </c>
      <c r="E81" s="121">
        <f t="shared" si="51"/>
        <v>16.886860437184723</v>
      </c>
      <c r="F81" s="121">
        <f t="shared" si="51"/>
        <v>0</v>
      </c>
      <c r="G81" s="121">
        <f t="shared" si="51"/>
        <v>0.98486668268075905</v>
      </c>
      <c r="H81" s="121">
        <f t="shared" si="51"/>
        <v>4.0595724237328854</v>
      </c>
      <c r="I81" s="121">
        <f t="shared" si="51"/>
        <v>0</v>
      </c>
      <c r="J81" s="121">
        <f t="shared" si="51"/>
        <v>4.1556569781407644</v>
      </c>
      <c r="K81" s="121">
        <f t="shared" si="51"/>
        <v>54.167667547441745</v>
      </c>
      <c r="L81" s="121">
        <f t="shared" si="51"/>
        <v>45.832332452558248</v>
      </c>
      <c r="M81" s="121">
        <f t="shared" si="51"/>
        <v>100</v>
      </c>
      <c r="N81" s="117">
        <f t="shared" si="15"/>
        <v>0.85627283800243603</v>
      </c>
      <c r="O81" s="117">
        <f t="shared" si="19"/>
        <v>44.967571462887342</v>
      </c>
      <c r="P81" s="117">
        <f t="shared" si="20"/>
        <v>8.2152294018736498</v>
      </c>
      <c r="Q81" s="117">
        <f>H81/$P81</f>
        <v>0.49415204678362573</v>
      </c>
      <c r="R81" s="117">
        <f t="shared" ref="R81:R86" si="52">I81/$P81</f>
        <v>0</v>
      </c>
      <c r="S81" s="117">
        <f t="shared" si="21"/>
        <v>0.19721354792217152</v>
      </c>
      <c r="T81" s="123">
        <v>2012</v>
      </c>
      <c r="U81" s="121">
        <f t="shared" si="22"/>
        <v>45.952438145568102</v>
      </c>
      <c r="V81" s="117">
        <v>43.130069014256662</v>
      </c>
      <c r="W81" s="121">
        <f t="shared" si="16"/>
        <v>8.2152294018736498</v>
      </c>
      <c r="X81" s="123">
        <v>2012</v>
      </c>
      <c r="Y81" s="121">
        <f t="shared" si="17"/>
        <v>54.167667547441745</v>
      </c>
      <c r="Z81" s="117">
        <v>50.302119297488957</v>
      </c>
    </row>
    <row r="82" spans="1:30" ht="15" customHeight="1" x14ac:dyDescent="0.25">
      <c r="A82" s="123">
        <v>2013</v>
      </c>
      <c r="B82" s="122">
        <v>552</v>
      </c>
      <c r="C82" s="121">
        <f t="shared" ref="C82:M82" si="53">C37/$M37*100</f>
        <v>25.39820445988995</v>
      </c>
      <c r="D82" s="121">
        <f t="shared" si="53"/>
        <v>11.106284390385172</v>
      </c>
      <c r="E82" s="121">
        <f t="shared" si="53"/>
        <v>11.482768607008397</v>
      </c>
      <c r="F82" s="121">
        <f t="shared" si="53"/>
        <v>0</v>
      </c>
      <c r="G82" s="121">
        <f t="shared" si="53"/>
        <v>1.5638575152041705</v>
      </c>
      <c r="H82" s="121">
        <f t="shared" si="53"/>
        <v>4.0978858963220386</v>
      </c>
      <c r="I82" s="121">
        <f t="shared" si="53"/>
        <v>0.46336518969012452</v>
      </c>
      <c r="J82" s="121">
        <f t="shared" si="53"/>
        <v>1.7520996235157835</v>
      </c>
      <c r="K82" s="121">
        <f t="shared" si="53"/>
        <v>55.864465682015641</v>
      </c>
      <c r="L82" s="121">
        <f t="shared" si="53"/>
        <v>44.135534317984359</v>
      </c>
      <c r="M82" s="121">
        <f t="shared" si="53"/>
        <v>100</v>
      </c>
      <c r="N82" s="117">
        <f t="shared" si="15"/>
        <v>0.45210946408209801</v>
      </c>
      <c r="O82" s="117">
        <f t="shared" si="19"/>
        <v>47.987257457283519</v>
      </c>
      <c r="P82" s="117">
        <f t="shared" si="20"/>
        <v>6.3133507095279464</v>
      </c>
      <c r="Q82" s="117">
        <f t="shared" ref="Q82:Q86" si="54">H82/$P82</f>
        <v>0.6490825688073395</v>
      </c>
      <c r="R82" s="117">
        <f t="shared" si="52"/>
        <v>7.3394495412844041E-2</v>
      </c>
      <c r="S82" s="117">
        <f t="shared" si="21"/>
        <v>0.2539820445988995</v>
      </c>
      <c r="T82" s="123">
        <v>2013</v>
      </c>
      <c r="U82" s="121">
        <f t="shared" si="22"/>
        <v>49.551114972487689</v>
      </c>
      <c r="V82" s="117">
        <v>44.543234984158659</v>
      </c>
      <c r="W82" s="121">
        <f t="shared" si="16"/>
        <v>6.3133507095279464</v>
      </c>
      <c r="X82" s="123">
        <v>2013</v>
      </c>
      <c r="Y82" s="121">
        <f t="shared" si="17"/>
        <v>55.864465682015641</v>
      </c>
      <c r="Z82" s="117">
        <v>51.316958655405642</v>
      </c>
    </row>
    <row r="83" spans="1:30" ht="15" customHeight="1" x14ac:dyDescent="0.25">
      <c r="A83" s="123">
        <v>2014</v>
      </c>
      <c r="B83" s="122">
        <v>566</v>
      </c>
      <c r="C83" s="121">
        <f t="shared" ref="C83:M83" si="55">C38/$M38*100</f>
        <v>24.302582068249642</v>
      </c>
      <c r="D83" s="121">
        <f t="shared" si="55"/>
        <v>5.1771117166212539</v>
      </c>
      <c r="E83" s="121">
        <f t="shared" si="55"/>
        <v>10.354223433242508</v>
      </c>
      <c r="F83" s="121">
        <f t="shared" si="55"/>
        <v>0</v>
      </c>
      <c r="G83" s="121">
        <f t="shared" si="55"/>
        <v>1.5700012975217332</v>
      </c>
      <c r="H83" s="121">
        <f t="shared" si="55"/>
        <v>2.8285973790060983</v>
      </c>
      <c r="I83" s="121">
        <f t="shared" si="55"/>
        <v>0</v>
      </c>
      <c r="J83" s="121">
        <f t="shared" si="55"/>
        <v>2.4393408589593877</v>
      </c>
      <c r="K83" s="121">
        <f t="shared" si="55"/>
        <v>46.671856753600622</v>
      </c>
      <c r="L83" s="121">
        <f t="shared" si="55"/>
        <v>53.328143246399371</v>
      </c>
      <c r="M83" s="121">
        <f t="shared" si="55"/>
        <v>100</v>
      </c>
      <c r="N83" s="117">
        <f t="shared" si="15"/>
        <v>0.42605445808862796</v>
      </c>
      <c r="O83" s="117">
        <f t="shared" si="19"/>
        <v>39.833917218113406</v>
      </c>
      <c r="P83" s="117">
        <f t="shared" si="20"/>
        <v>5.2679382379654864</v>
      </c>
      <c r="Q83" s="117">
        <f t="shared" si="54"/>
        <v>0.53694581280788167</v>
      </c>
      <c r="R83" s="117">
        <f t="shared" si="52"/>
        <v>0</v>
      </c>
      <c r="S83" s="117">
        <f t="shared" si="21"/>
        <v>0.24302582068249642</v>
      </c>
      <c r="T83" s="123">
        <v>2014</v>
      </c>
      <c r="U83" s="121">
        <f t="shared" si="22"/>
        <v>41.403918515635141</v>
      </c>
      <c r="V83" s="117">
        <v>45.763268116527705</v>
      </c>
      <c r="W83" s="121">
        <f t="shared" si="16"/>
        <v>5.2679382379654864</v>
      </c>
      <c r="X83" s="123">
        <v>2014</v>
      </c>
      <c r="Y83" s="121">
        <f t="shared" si="17"/>
        <v>46.671856753600622</v>
      </c>
      <c r="Z83" s="117">
        <v>51.932275532694469</v>
      </c>
    </row>
    <row r="84" spans="1:30" ht="15" customHeight="1" x14ac:dyDescent="0.25">
      <c r="A84" s="123">
        <v>2015</v>
      </c>
      <c r="B84" s="122">
        <v>203</v>
      </c>
      <c r="C84" s="121">
        <f t="shared" ref="C84:M84" si="56">C39/$M39*100</f>
        <v>24.053224155578302</v>
      </c>
      <c r="D84" s="121">
        <f t="shared" si="56"/>
        <v>5.7318321392016376</v>
      </c>
      <c r="E84" s="121">
        <f t="shared" si="56"/>
        <v>13.920163766632548</v>
      </c>
      <c r="F84" s="121">
        <f t="shared" si="56"/>
        <v>0</v>
      </c>
      <c r="G84" s="121">
        <f t="shared" si="56"/>
        <v>1.2282497441146365</v>
      </c>
      <c r="H84" s="121">
        <f t="shared" si="56"/>
        <v>5.2200614124872056</v>
      </c>
      <c r="I84" s="121">
        <f t="shared" si="56"/>
        <v>0.30706243602865912</v>
      </c>
      <c r="J84" s="121">
        <f t="shared" si="56"/>
        <v>0.61412487205731825</v>
      </c>
      <c r="K84" s="121">
        <f t="shared" si="56"/>
        <v>51.074718526100305</v>
      </c>
      <c r="L84" s="121">
        <f t="shared" si="56"/>
        <v>48.925281473899695</v>
      </c>
      <c r="M84" s="121">
        <f t="shared" si="56"/>
        <v>100</v>
      </c>
      <c r="N84" s="117">
        <f t="shared" si="15"/>
        <v>0.5787234042553191</v>
      </c>
      <c r="O84" s="117">
        <f t="shared" si="19"/>
        <v>43.70522006141249</v>
      </c>
      <c r="P84" s="117">
        <f t="shared" si="20"/>
        <v>6.1412487205731834</v>
      </c>
      <c r="Q84" s="117">
        <f t="shared" si="54"/>
        <v>0.85</v>
      </c>
      <c r="R84" s="117">
        <f t="shared" si="52"/>
        <v>4.9999999999999996E-2</v>
      </c>
      <c r="S84" s="117">
        <f t="shared" si="21"/>
        <v>0.24053224155578301</v>
      </c>
      <c r="T84" s="123">
        <v>2015</v>
      </c>
      <c r="U84" s="121">
        <f t="shared" si="22"/>
        <v>44.933469805527125</v>
      </c>
      <c r="V84" s="117">
        <v>46.678249864604339</v>
      </c>
      <c r="W84" s="121">
        <f t="shared" si="16"/>
        <v>6.1412487205731834</v>
      </c>
      <c r="X84" s="123">
        <v>2015</v>
      </c>
      <c r="Y84" s="121">
        <f t="shared" si="17"/>
        <v>51.074718526100305</v>
      </c>
      <c r="Z84" s="117">
        <v>52.32649616628747</v>
      </c>
    </row>
    <row r="85" spans="1:30" ht="15" customHeight="1" x14ac:dyDescent="0.25">
      <c r="A85" s="123">
        <v>2016</v>
      </c>
      <c r="B85" s="122">
        <v>123</v>
      </c>
      <c r="C85" s="121">
        <f t="shared" ref="C85:M85" si="57">C40/$M40*100</f>
        <v>31.103000811030007</v>
      </c>
      <c r="D85" s="121">
        <f t="shared" si="57"/>
        <v>6.0827250608272507</v>
      </c>
      <c r="E85" s="121">
        <f t="shared" si="57"/>
        <v>17.396593673965938</v>
      </c>
      <c r="F85" s="121">
        <f t="shared" si="57"/>
        <v>0</v>
      </c>
      <c r="G85" s="121">
        <f t="shared" si="57"/>
        <v>3.6496350364963499</v>
      </c>
      <c r="H85" s="121">
        <f t="shared" si="57"/>
        <v>1.5815085158150852</v>
      </c>
      <c r="I85" s="121">
        <f t="shared" si="57"/>
        <v>0</v>
      </c>
      <c r="J85" s="121">
        <f t="shared" si="57"/>
        <v>1.7437145174371453</v>
      </c>
      <c r="K85" s="121">
        <f t="shared" si="57"/>
        <v>61.557177615571781</v>
      </c>
      <c r="L85" s="121">
        <f t="shared" si="57"/>
        <v>38.442822384428219</v>
      </c>
      <c r="M85" s="121">
        <f t="shared" si="57"/>
        <v>100</v>
      </c>
      <c r="N85" s="117">
        <f t="shared" si="15"/>
        <v>0.55932203389830515</v>
      </c>
      <c r="O85" s="117">
        <f t="shared" si="19"/>
        <v>54.582319545823196</v>
      </c>
      <c r="P85" s="117">
        <f>SUM(H85:J85)</f>
        <v>3.3252230332522306</v>
      </c>
      <c r="Q85" s="117">
        <f t="shared" si="54"/>
        <v>0.47560975609756095</v>
      </c>
      <c r="R85" s="117">
        <f t="shared" si="52"/>
        <v>0</v>
      </c>
      <c r="S85" s="117">
        <f t="shared" si="21"/>
        <v>0.31103000811030007</v>
      </c>
      <c r="T85" s="123">
        <v>2016</v>
      </c>
      <c r="U85" s="121">
        <f t="shared" si="22"/>
        <v>58.231954582319545</v>
      </c>
      <c r="V85" s="117">
        <v>47.571401198304528</v>
      </c>
      <c r="W85" s="121">
        <f t="shared" si="16"/>
        <v>3.3252230332522306</v>
      </c>
      <c r="X85" s="123">
        <v>2016</v>
      </c>
      <c r="Y85" s="121">
        <f t="shared" si="17"/>
        <v>61.557177615571781</v>
      </c>
      <c r="Z85" s="117">
        <v>52.696590892845627</v>
      </c>
    </row>
    <row r="86" spans="1:30" ht="15" customHeight="1" x14ac:dyDescent="0.25">
      <c r="A86" s="123">
        <v>2017</v>
      </c>
      <c r="B86" s="122">
        <v>93</v>
      </c>
      <c r="C86" s="121">
        <f t="shared" ref="C86:M86" si="58">C41/$M41*100</f>
        <v>27.793814432989688</v>
      </c>
      <c r="D86" s="121">
        <f t="shared" si="58"/>
        <v>2.0618556701030926</v>
      </c>
      <c r="E86" s="121">
        <f t="shared" si="58"/>
        <v>11.257731958762887</v>
      </c>
      <c r="F86" s="121">
        <f t="shared" si="58"/>
        <v>0</v>
      </c>
      <c r="G86" s="121">
        <f t="shared" si="58"/>
        <v>2.3092783505154637</v>
      </c>
      <c r="H86" s="121">
        <f t="shared" si="58"/>
        <v>4.3711340206185572</v>
      </c>
      <c r="I86" s="121">
        <f t="shared" si="58"/>
        <v>0</v>
      </c>
      <c r="J86" s="121">
        <f t="shared" si="58"/>
        <v>0</v>
      </c>
      <c r="K86" s="121">
        <f t="shared" si="58"/>
        <v>47.793814432989691</v>
      </c>
      <c r="L86" s="121">
        <f t="shared" si="58"/>
        <v>52.206185567010309</v>
      </c>
      <c r="M86" s="121">
        <f t="shared" si="58"/>
        <v>100</v>
      </c>
      <c r="N86" s="117">
        <f t="shared" si="15"/>
        <v>0.40504451038575673</v>
      </c>
      <c r="O86" s="117">
        <f t="shared" si="19"/>
        <v>41.113402061855666</v>
      </c>
      <c r="P86" s="117">
        <f>SUM(H86:J86)</f>
        <v>4.3711340206185572</v>
      </c>
      <c r="Q86" s="117">
        <f t="shared" si="54"/>
        <v>1</v>
      </c>
      <c r="R86" s="117">
        <f t="shared" si="52"/>
        <v>0</v>
      </c>
      <c r="S86" s="117">
        <f t="shared" si="21"/>
        <v>0.27793814432989689</v>
      </c>
      <c r="T86" s="123">
        <v>2017</v>
      </c>
      <c r="U86" s="121">
        <f t="shared" si="22"/>
        <v>43.422680412371129</v>
      </c>
      <c r="V86" s="117">
        <v>48.452619058015287</v>
      </c>
      <c r="W86" s="121">
        <f t="shared" si="16"/>
        <v>4.3711340206185572</v>
      </c>
      <c r="X86" s="123">
        <v>2017</v>
      </c>
      <c r="Y86" s="121">
        <f t="shared" si="17"/>
        <v>47.793814432989691</v>
      </c>
      <c r="Z86" s="121">
        <v>53.057847192843035</v>
      </c>
      <c r="AA86" s="121"/>
      <c r="AB86" s="121"/>
      <c r="AC86" s="121"/>
      <c r="AD86" s="121"/>
    </row>
    <row r="87" spans="1:30" ht="15" customHeight="1" x14ac:dyDescent="0.25">
      <c r="A87" s="123">
        <v>2018</v>
      </c>
      <c r="B87" s="122"/>
      <c r="C87" s="121">
        <f t="shared" ref="C87:M87" si="59">C42/$M42*100</f>
        <v>17.450682852807283</v>
      </c>
      <c r="D87" s="121">
        <f t="shared" si="59"/>
        <v>7.5113808801213962</v>
      </c>
      <c r="E87" s="121">
        <f t="shared" si="59"/>
        <v>21.16843702579666</v>
      </c>
      <c r="F87" s="121">
        <f t="shared" si="59"/>
        <v>0</v>
      </c>
      <c r="G87" s="121">
        <f t="shared" si="59"/>
        <v>1.2898330804248861</v>
      </c>
      <c r="H87" s="121">
        <f t="shared" si="59"/>
        <v>3.7177541729893777</v>
      </c>
      <c r="I87" s="121">
        <f t="shared" si="59"/>
        <v>0.15174506828528073</v>
      </c>
      <c r="J87" s="121">
        <f t="shared" si="59"/>
        <v>1.7450682852807284</v>
      </c>
      <c r="K87" s="121">
        <f t="shared" si="59"/>
        <v>53.034901365705608</v>
      </c>
      <c r="L87" s="121">
        <f t="shared" si="59"/>
        <v>46.965098634294385</v>
      </c>
      <c r="M87" s="121">
        <f t="shared" si="59"/>
        <v>100</v>
      </c>
      <c r="N87" s="117">
        <f>E87/C87</f>
        <v>1.2130434782608694</v>
      </c>
      <c r="O87" s="117">
        <f t="shared" si="19"/>
        <v>46.13050075872534</v>
      </c>
      <c r="Q87" s="121"/>
      <c r="R87" s="121"/>
      <c r="S87" s="117">
        <f t="shared" si="21"/>
        <v>0.17450682852807284</v>
      </c>
      <c r="T87" s="123">
        <v>2018</v>
      </c>
      <c r="U87" s="121">
        <f t="shared" si="22"/>
        <v>47.420333839150224</v>
      </c>
      <c r="V87" s="117">
        <v>49.253160719446726</v>
      </c>
      <c r="W87" s="121">
        <f t="shared" si="16"/>
        <v>5.6145675265553869</v>
      </c>
      <c r="X87" s="123">
        <v>2018</v>
      </c>
      <c r="Y87" s="121">
        <f t="shared" si="17"/>
        <v>53.034901365705608</v>
      </c>
      <c r="Z87" s="121">
        <v>53.362723387394524</v>
      </c>
      <c r="AA87" s="121"/>
      <c r="AB87" s="121"/>
      <c r="AC87" s="121"/>
      <c r="AD87" s="121"/>
    </row>
    <row r="88" spans="1:30" ht="15" customHeight="1" x14ac:dyDescent="0.25">
      <c r="A88" s="120" t="s">
        <v>32</v>
      </c>
      <c r="B88" s="119"/>
      <c r="C88" s="118">
        <f>AVERAGEA(C51:C86)</f>
        <v>32.976722935314051</v>
      </c>
      <c r="D88" s="118">
        <f t="shared" ref="D88:M88" si="60">AVERAGEA(D51:D86)</f>
        <v>8.3920465714273913</v>
      </c>
      <c r="E88" s="118">
        <f>AVERAGEA(E51:E86)</f>
        <v>12.349487817873879</v>
      </c>
      <c r="F88" s="118">
        <f t="shared" si="60"/>
        <v>7.1939836569431287E-2</v>
      </c>
      <c r="G88" s="118">
        <f t="shared" si="60"/>
        <v>1.5078595649054776</v>
      </c>
      <c r="H88" s="118">
        <f t="shared" si="60"/>
        <v>4.5966152725100198</v>
      </c>
      <c r="I88" s="118">
        <f>AVERAGEA(I51:I86)</f>
        <v>0.52852794968686567</v>
      </c>
      <c r="J88" s="118">
        <f t="shared" si="60"/>
        <v>1.0662511326087292</v>
      </c>
      <c r="K88" s="118">
        <f>AVERAGEA(K51:K86)</f>
        <v>61.489451080895847</v>
      </c>
      <c r="L88" s="118">
        <f t="shared" si="60"/>
        <v>38.510548919104146</v>
      </c>
      <c r="M88" s="118">
        <f t="shared" si="60"/>
        <v>100</v>
      </c>
    </row>
    <row r="89" spans="1:30" x14ac:dyDescent="0.2">
      <c r="P89" s="117">
        <f>AVERAGE(P81:P86)</f>
        <v>5.6056873539685093</v>
      </c>
      <c r="Q89" s="117">
        <f>AVERAGE(Q81:Q86)</f>
        <v>0.66763169741606798</v>
      </c>
      <c r="R89" s="117">
        <f t="shared" ref="R89:S89" si="61">AVERAGE(R81:R86)</f>
        <v>2.0565749235474006E-2</v>
      </c>
      <c r="S89" s="117">
        <f t="shared" si="61"/>
        <v>0.25395363453325792</v>
      </c>
    </row>
    <row r="90" spans="1:30" ht="15" x14ac:dyDescent="0.25">
      <c r="A90" s="117" t="s">
        <v>418</v>
      </c>
      <c r="C90" s="121">
        <f>AVERAGE(C77:C86)</f>
        <v>23.727344854970482</v>
      </c>
      <c r="D90" s="121">
        <f>AVERAGE(D77:D86)</f>
        <v>6.015290605976749</v>
      </c>
      <c r="E90" s="121">
        <f>AVERAGE(E77:E86)</f>
        <v>13.631490757506256</v>
      </c>
      <c r="K90" s="121">
        <f>AVERAGE(K77:K86)</f>
        <v>51.157178188070979</v>
      </c>
      <c r="P90" s="117">
        <f>P89/100</f>
        <v>5.6056873539685095E-2</v>
      </c>
      <c r="Q90" s="117">
        <f>74*Q89</f>
        <v>49.404745608789028</v>
      </c>
      <c r="R90" s="117">
        <f t="shared" ref="R90:S90" si="62">74*R89</f>
        <v>1.5218654434250765</v>
      </c>
      <c r="S90" s="117">
        <f t="shared" si="62"/>
        <v>18.792568955461086</v>
      </c>
    </row>
    <row r="91" spans="1:30" ht="15" x14ac:dyDescent="0.25">
      <c r="A91" s="117" t="s">
        <v>419</v>
      </c>
      <c r="C91" s="121">
        <f t="shared" ref="C91:E92" si="63">(C77+C79+C81+C83+C85)/5</f>
        <v>23.266717402917614</v>
      </c>
      <c r="D91" s="121">
        <f t="shared" si="63"/>
        <v>6.2758385834135044</v>
      </c>
      <c r="E91" s="121">
        <f t="shared" si="63"/>
        <v>15.60851452816193</v>
      </c>
      <c r="K91" s="121">
        <f>(K77+K79+K81+K83+K85)/5</f>
        <v>52.632134435631471</v>
      </c>
      <c r="Q91" s="117">
        <v>49</v>
      </c>
      <c r="R91" s="117">
        <v>2</v>
      </c>
      <c r="S91" s="117">
        <v>23</v>
      </c>
      <c r="T91" s="117">
        <f>SUM(Q91:S91)</f>
        <v>74</v>
      </c>
    </row>
    <row r="92" spans="1:30" ht="15" x14ac:dyDescent="0.25">
      <c r="A92" s="117" t="s">
        <v>420</v>
      </c>
      <c r="C92" s="121">
        <f t="shared" si="63"/>
        <v>24.187972307023355</v>
      </c>
      <c r="D92" s="121">
        <f t="shared" si="63"/>
        <v>5.7547426285399919</v>
      </c>
      <c r="E92" s="121">
        <f t="shared" si="63"/>
        <v>11.654466986850583</v>
      </c>
      <c r="K92" s="121">
        <f>(K78+K80+K82+K84+K86)/5</f>
        <v>49.682221940510502</v>
      </c>
    </row>
    <row r="94" spans="1:30" x14ac:dyDescent="0.2">
      <c r="C94" s="117">
        <f>C87/100</f>
        <v>0.17450682852807284</v>
      </c>
      <c r="M94" s="117" t="s">
        <v>284</v>
      </c>
    </row>
    <row r="95" spans="1:30" x14ac:dyDescent="0.2">
      <c r="C95" s="117">
        <f>AVERAGE(C62:C86)</f>
        <v>31.34650779356431</v>
      </c>
      <c r="D95" s="117">
        <f>COUNT(D61:D86)</f>
        <v>26</v>
      </c>
      <c r="N95" s="117" t="s">
        <v>152</v>
      </c>
      <c r="O95" s="117" t="s">
        <v>205</v>
      </c>
      <c r="P95" s="117" t="s">
        <v>203</v>
      </c>
      <c r="Q95" s="117" t="s">
        <v>426</v>
      </c>
      <c r="R95" s="117" t="s">
        <v>428</v>
      </c>
    </row>
    <row r="96" spans="1:30" x14ac:dyDescent="0.2">
      <c r="E96" s="117">
        <f>AVERAGE(E62:E86)</f>
        <v>13.915797671512323</v>
      </c>
      <c r="N96" s="117" t="s">
        <v>427</v>
      </c>
      <c r="R96" s="117" t="s">
        <v>32</v>
      </c>
    </row>
    <row r="97" spans="1:18" ht="15" x14ac:dyDescent="0.25">
      <c r="M97" s="123">
        <v>2013</v>
      </c>
      <c r="N97" s="510">
        <v>25.39820445988995</v>
      </c>
      <c r="O97" s="511">
        <v>33.302798656759755</v>
      </c>
      <c r="P97" s="512">
        <v>32.069510268562404</v>
      </c>
      <c r="Q97" s="512">
        <f>AVERAGE(O97:P97)</f>
        <v>32.686154462661079</v>
      </c>
      <c r="R97" s="510">
        <f>(N97+Q97)/2</f>
        <v>29.042179461275516</v>
      </c>
    </row>
    <row r="98" spans="1:18" ht="15" x14ac:dyDescent="0.25">
      <c r="M98" s="123">
        <v>2014</v>
      </c>
      <c r="N98" s="510">
        <v>24.302582068249642</v>
      </c>
      <c r="O98" s="511">
        <v>14.156679631530601</v>
      </c>
      <c r="P98" s="512">
        <v>13.759086188992731</v>
      </c>
      <c r="Q98" s="512">
        <f t="shared" ref="Q98:Q100" si="64">AVERAGE(O98:P98)</f>
        <v>13.957882910261667</v>
      </c>
      <c r="R98" s="510">
        <f t="shared" ref="R98:R100" si="65">(N98+Q98)/2</f>
        <v>19.130232489255654</v>
      </c>
    </row>
    <row r="99" spans="1:18" ht="15" x14ac:dyDescent="0.25">
      <c r="M99" s="123">
        <v>2015</v>
      </c>
      <c r="N99" s="510">
        <v>24.053224155578302</v>
      </c>
      <c r="O99" s="511">
        <v>19.63207181248961</v>
      </c>
      <c r="P99" s="512">
        <v>20.289855072463769</v>
      </c>
      <c r="Q99" s="512">
        <f t="shared" si="64"/>
        <v>19.96096344247669</v>
      </c>
      <c r="R99" s="510">
        <f t="shared" si="65"/>
        <v>22.007093799027494</v>
      </c>
    </row>
    <row r="100" spans="1:18" ht="15" x14ac:dyDescent="0.25">
      <c r="M100" s="123">
        <v>2016</v>
      </c>
      <c r="N100" s="510">
        <v>31.103000811030007</v>
      </c>
      <c r="O100" s="511">
        <v>7.9449282338973735</v>
      </c>
      <c r="P100" s="512">
        <v>7.3260073260073266</v>
      </c>
      <c r="Q100" s="512">
        <f t="shared" si="64"/>
        <v>7.63546777995235</v>
      </c>
      <c r="R100" s="510">
        <f t="shared" si="65"/>
        <v>19.369234295491179</v>
      </c>
    </row>
    <row r="106" spans="1:18" x14ac:dyDescent="0.2">
      <c r="A106" s="117" t="s">
        <v>152</v>
      </c>
    </row>
    <row r="107" spans="1:18" ht="15" x14ac:dyDescent="0.25">
      <c r="A107" s="123">
        <v>2000</v>
      </c>
      <c r="B107" s="121">
        <v>36.285760235885306</v>
      </c>
      <c r="C107" s="123">
        <v>1999</v>
      </c>
      <c r="D107" s="121">
        <v>41.613988262821955</v>
      </c>
      <c r="E107" t="s">
        <v>399</v>
      </c>
      <c r="F107"/>
      <c r="G107"/>
    </row>
    <row r="108" spans="1:18" ht="15.75" thickBot="1" x14ac:dyDescent="0.3">
      <c r="A108" s="123">
        <v>2002</v>
      </c>
      <c r="B108" s="121">
        <v>16.491348153576414</v>
      </c>
      <c r="C108" s="123">
        <v>2001</v>
      </c>
      <c r="D108" s="121">
        <v>22.32574362913661</v>
      </c>
      <c r="E108"/>
      <c r="F108"/>
      <c r="G108"/>
    </row>
    <row r="109" spans="1:18" ht="15" x14ac:dyDescent="0.25">
      <c r="A109" s="123">
        <v>2004</v>
      </c>
      <c r="B109" s="121">
        <v>40.801279633241485</v>
      </c>
      <c r="C109" s="123">
        <v>2003</v>
      </c>
      <c r="D109" s="121">
        <v>24.329343891395833</v>
      </c>
      <c r="E109" s="415"/>
      <c r="F109" s="415" t="s">
        <v>400</v>
      </c>
      <c r="G109" s="415" t="s">
        <v>401</v>
      </c>
    </row>
    <row r="110" spans="1:18" ht="15" x14ac:dyDescent="0.25">
      <c r="A110" s="123">
        <v>2006</v>
      </c>
      <c r="B110" s="121">
        <v>36.481419829523155</v>
      </c>
      <c r="C110" s="123">
        <v>2005</v>
      </c>
      <c r="D110" s="121">
        <v>31.83871925484258</v>
      </c>
      <c r="E110" s="383" t="s">
        <v>402</v>
      </c>
      <c r="F110" s="383">
        <v>27.377043874090489</v>
      </c>
      <c r="G110" s="383">
        <v>27.919061077812142</v>
      </c>
    </row>
    <row r="111" spans="1:18" ht="15" x14ac:dyDescent="0.25">
      <c r="A111" s="123">
        <v>2008</v>
      </c>
      <c r="B111" s="121">
        <v>18.961864406779661</v>
      </c>
      <c r="C111" s="123">
        <v>2007</v>
      </c>
      <c r="D111" s="121">
        <v>38.142954204807687</v>
      </c>
      <c r="E111" s="383" t="s">
        <v>403</v>
      </c>
      <c r="F111" s="383">
        <v>80.007917358866962</v>
      </c>
      <c r="G111" s="383">
        <v>50.596091713208303</v>
      </c>
    </row>
    <row r="112" spans="1:18" ht="15" x14ac:dyDescent="0.25">
      <c r="A112" s="123">
        <v>2010</v>
      </c>
      <c r="B112" s="121">
        <v>22.244784936311611</v>
      </c>
      <c r="C112" s="123">
        <v>2009</v>
      </c>
      <c r="D112" s="121">
        <v>23.933378964179784</v>
      </c>
      <c r="E112" s="383" t="s">
        <v>335</v>
      </c>
      <c r="F112" s="383">
        <v>9</v>
      </c>
      <c r="G112" s="383">
        <v>10</v>
      </c>
    </row>
    <row r="113" spans="1:7" ht="15" x14ac:dyDescent="0.25">
      <c r="A113" s="123">
        <v>2012</v>
      </c>
      <c r="B113" s="121">
        <v>19.721354792217152</v>
      </c>
      <c r="C113" s="123">
        <v>2011</v>
      </c>
      <c r="D113" s="121">
        <v>19.761239522479045</v>
      </c>
      <c r="E113" s="383" t="s">
        <v>404</v>
      </c>
      <c r="F113" s="383">
        <v>0</v>
      </c>
      <c r="G113" s="383"/>
    </row>
    <row r="114" spans="1:7" ht="15" x14ac:dyDescent="0.25">
      <c r="A114" s="123">
        <v>2014</v>
      </c>
      <c r="B114" s="121">
        <v>24.302582068249642</v>
      </c>
      <c r="C114" s="123">
        <v>2013</v>
      </c>
      <c r="D114" s="121">
        <v>25.39820445988995</v>
      </c>
      <c r="E114" s="383" t="s">
        <v>339</v>
      </c>
      <c r="F114" s="383">
        <v>15</v>
      </c>
      <c r="G114" s="383"/>
    </row>
    <row r="115" spans="1:7" ht="15" x14ac:dyDescent="0.25">
      <c r="A115" s="123">
        <v>2016</v>
      </c>
      <c r="B115" s="121">
        <v>31.103000811030007</v>
      </c>
      <c r="C115" s="123">
        <v>2015</v>
      </c>
      <c r="D115" s="121">
        <v>24.053224155578302</v>
      </c>
      <c r="E115" s="383" t="s">
        <v>345</v>
      </c>
      <c r="F115" s="383">
        <v>-0.14512280147919787</v>
      </c>
      <c r="G115" s="383"/>
    </row>
    <row r="116" spans="1:7" ht="15" x14ac:dyDescent="0.25">
      <c r="C116" s="123">
        <v>2017</v>
      </c>
      <c r="D116" s="121">
        <v>27.793814432989688</v>
      </c>
      <c r="E116" s="383" t="s">
        <v>405</v>
      </c>
      <c r="F116" s="383">
        <v>0.44327299178680146</v>
      </c>
      <c r="G116" s="383"/>
    </row>
    <row r="117" spans="1:7" ht="12.75" x14ac:dyDescent="0.2">
      <c r="E117" s="383" t="s">
        <v>406</v>
      </c>
      <c r="F117" s="383">
        <v>1.7530503556925723</v>
      </c>
      <c r="G117" s="383"/>
    </row>
    <row r="118" spans="1:7" ht="12.75" x14ac:dyDescent="0.2">
      <c r="B118" s="497">
        <f>AVERAGE(B107:B116)</f>
        <v>27.377043874090489</v>
      </c>
      <c r="C118" s="497"/>
      <c r="D118" s="497">
        <f>AVERAGE(D107:D116)</f>
        <v>27.919061077812142</v>
      </c>
      <c r="E118" s="383" t="s">
        <v>407</v>
      </c>
      <c r="F118" s="498">
        <v>0.88654598357360292</v>
      </c>
      <c r="G118" s="383"/>
    </row>
    <row r="119" spans="1:7" ht="13.5" thickBot="1" x14ac:dyDescent="0.25">
      <c r="E119" s="385" t="s">
        <v>408</v>
      </c>
      <c r="F119" s="385">
        <v>2.1314495455597742</v>
      </c>
      <c r="G119" s="385"/>
    </row>
    <row r="124" spans="1:7" x14ac:dyDescent="0.2">
      <c r="A124" s="117" t="s">
        <v>203</v>
      </c>
    </row>
    <row r="125" spans="1:7" ht="12.75" x14ac:dyDescent="0.2">
      <c r="A125" s="102">
        <v>2000</v>
      </c>
      <c r="B125" s="101">
        <v>23.52941176470588</v>
      </c>
      <c r="C125" s="102">
        <v>1999</v>
      </c>
      <c r="D125" s="101">
        <v>33.797909407665507</v>
      </c>
      <c r="E125" t="s">
        <v>399</v>
      </c>
      <c r="F125"/>
      <c r="G125"/>
    </row>
    <row r="126" spans="1:7" ht="13.5" thickBot="1" x14ac:dyDescent="0.25">
      <c r="A126" s="102">
        <v>2002</v>
      </c>
      <c r="B126" s="101">
        <v>18</v>
      </c>
      <c r="C126" s="102">
        <v>2001</v>
      </c>
      <c r="D126" s="101">
        <v>30.938833570412516</v>
      </c>
      <c r="E126"/>
      <c r="F126"/>
      <c r="G126"/>
    </row>
    <row r="127" spans="1:7" ht="12.75" x14ac:dyDescent="0.2">
      <c r="A127" s="102">
        <v>2004</v>
      </c>
      <c r="B127" s="101">
        <v>26.604278074866311</v>
      </c>
      <c r="C127" s="102">
        <v>2003</v>
      </c>
      <c r="D127" s="101">
        <v>23.340707964601769</v>
      </c>
      <c r="E127" s="415"/>
      <c r="F127" s="415" t="s">
        <v>400</v>
      </c>
      <c r="G127" s="415" t="s">
        <v>401</v>
      </c>
    </row>
    <row r="128" spans="1:7" ht="12.75" x14ac:dyDescent="0.2">
      <c r="A128" s="102">
        <v>2006</v>
      </c>
      <c r="B128" s="101">
        <v>22.272727272727273</v>
      </c>
      <c r="C128" s="102">
        <v>2005</v>
      </c>
      <c r="D128" s="101">
        <v>33.012379642365886</v>
      </c>
      <c r="E128" s="383" t="s">
        <v>402</v>
      </c>
      <c r="F128" s="383">
        <v>20.706286672021925</v>
      </c>
      <c r="G128" s="383">
        <v>27.991832901442557</v>
      </c>
    </row>
    <row r="129" spans="1:12" ht="12.75" x14ac:dyDescent="0.2">
      <c r="A129" s="102">
        <v>2008</v>
      </c>
      <c r="B129" s="101">
        <v>29.887410440122824</v>
      </c>
      <c r="C129" s="102">
        <v>2007</v>
      </c>
      <c r="D129" s="101">
        <v>25</v>
      </c>
      <c r="E129" s="383" t="s">
        <v>403</v>
      </c>
      <c r="F129" s="383">
        <v>48.276020197273624</v>
      </c>
      <c r="G129" s="383">
        <v>36.743084453641735</v>
      </c>
    </row>
    <row r="130" spans="1:12" ht="12.75" x14ac:dyDescent="0.2">
      <c r="A130" s="102">
        <v>2010</v>
      </c>
      <c r="B130" s="101">
        <v>25.293350717079534</v>
      </c>
      <c r="C130" s="102">
        <v>2009</v>
      </c>
      <c r="D130" s="101">
        <v>30.185497470489036</v>
      </c>
      <c r="E130" s="383" t="s">
        <v>335</v>
      </c>
      <c r="F130" s="383">
        <v>9</v>
      </c>
      <c r="G130" s="383">
        <v>10</v>
      </c>
    </row>
    <row r="131" spans="1:12" ht="12.75" x14ac:dyDescent="0.2">
      <c r="A131" s="102">
        <v>2012</v>
      </c>
      <c r="B131" s="101">
        <v>19.684308263695449</v>
      </c>
      <c r="C131" s="102">
        <v>2011</v>
      </c>
      <c r="D131" s="101">
        <v>17.2544080604534</v>
      </c>
      <c r="E131" s="383" t="s">
        <v>404</v>
      </c>
      <c r="F131" s="383">
        <v>0</v>
      </c>
      <c r="G131" s="383"/>
    </row>
    <row r="132" spans="1:12" ht="12.75" x14ac:dyDescent="0.2">
      <c r="A132" s="102">
        <v>2014</v>
      </c>
      <c r="B132" s="101">
        <v>13.759086188992731</v>
      </c>
      <c r="C132" s="102">
        <v>2013</v>
      </c>
      <c r="D132" s="101">
        <v>32.069510268562404</v>
      </c>
      <c r="E132" s="383" t="s">
        <v>339</v>
      </c>
      <c r="F132" s="383">
        <v>16</v>
      </c>
      <c r="G132" s="383"/>
      <c r="L132" s="117">
        <f>D136/B136</f>
        <v>1.3518518962294079</v>
      </c>
    </row>
    <row r="133" spans="1:12" ht="12.75" x14ac:dyDescent="0.2">
      <c r="A133" s="102">
        <v>2016</v>
      </c>
      <c r="B133" s="101">
        <v>7.3260073260073266</v>
      </c>
      <c r="C133" s="102">
        <v>2015</v>
      </c>
      <c r="D133" s="101">
        <v>20.289855072463769</v>
      </c>
      <c r="E133" s="383" t="s">
        <v>345</v>
      </c>
      <c r="F133" s="383">
        <v>-2.42336306980219</v>
      </c>
      <c r="G133" s="383"/>
      <c r="L133" s="117">
        <f>31/24.9</f>
        <v>1.244979919678715</v>
      </c>
    </row>
    <row r="134" spans="1:12" ht="12.75" x14ac:dyDescent="0.2">
      <c r="C134" s="102">
        <v>2017</v>
      </c>
      <c r="D134" s="101">
        <v>34.029227557411275</v>
      </c>
      <c r="E134" s="383" t="s">
        <v>405</v>
      </c>
      <c r="F134" s="383">
        <v>1.3801856668520662E-2</v>
      </c>
      <c r="G134" s="383"/>
    </row>
    <row r="135" spans="1:12" ht="12.75" x14ac:dyDescent="0.2">
      <c r="E135" s="383" t="s">
        <v>406</v>
      </c>
      <c r="F135" s="383">
        <v>1.7458836762762506</v>
      </c>
      <c r="G135" s="383"/>
    </row>
    <row r="136" spans="1:12" ht="12.75" x14ac:dyDescent="0.2">
      <c r="B136" s="497">
        <f>AVERAGE(B125:B134)</f>
        <v>20.706286672021925</v>
      </c>
      <c r="C136" s="497"/>
      <c r="D136" s="497">
        <f>AVERAGE(D125:D134)</f>
        <v>27.991832901442557</v>
      </c>
      <c r="E136" s="383" t="s">
        <v>407</v>
      </c>
      <c r="F136" s="498">
        <v>2.7603713337041324E-2</v>
      </c>
      <c r="G136" s="383"/>
    </row>
    <row r="137" spans="1:12" ht="13.5" thickBot="1" x14ac:dyDescent="0.25">
      <c r="E137" s="385" t="s">
        <v>408</v>
      </c>
      <c r="F137" s="385">
        <v>2.119905299221255</v>
      </c>
      <c r="G137" s="385"/>
    </row>
    <row r="140" spans="1:12" ht="15" x14ac:dyDescent="0.25">
      <c r="B140"/>
      <c r="C140" s="499" t="s">
        <v>409</v>
      </c>
    </row>
    <row r="141" spans="1:12" ht="12.75" x14ac:dyDescent="0.2">
      <c r="B141">
        <v>1999</v>
      </c>
      <c r="C141">
        <v>5.7643509359306044</v>
      </c>
    </row>
    <row r="142" spans="1:12" ht="12.75" x14ac:dyDescent="0.2">
      <c r="B142">
        <v>2000</v>
      </c>
      <c r="C142">
        <v>6.1894596140729172</v>
      </c>
    </row>
    <row r="143" spans="1:12" ht="12.75" x14ac:dyDescent="0.2">
      <c r="B143">
        <v>2001</v>
      </c>
      <c r="C143">
        <v>5.4590943644016408</v>
      </c>
    </row>
    <row r="144" spans="1:12" ht="12.75" x14ac:dyDescent="0.2">
      <c r="B144">
        <v>2002</v>
      </c>
      <c r="C144">
        <v>2.6746135213135291</v>
      </c>
    </row>
    <row r="145" spans="2:3" ht="12.75" x14ac:dyDescent="0.2">
      <c r="B145">
        <v>2003</v>
      </c>
      <c r="C145">
        <v>2.6181817403641827</v>
      </c>
    </row>
    <row r="146" spans="2:3" ht="12.75" x14ac:dyDescent="0.2">
      <c r="B146">
        <v>2004</v>
      </c>
      <c r="C146">
        <v>5.6462303475215121</v>
      </c>
    </row>
    <row r="147" spans="2:3" ht="12.75" x14ac:dyDescent="0.2">
      <c r="B147">
        <v>2005</v>
      </c>
      <c r="C147">
        <v>6.8427208454467934</v>
      </c>
    </row>
    <row r="148" spans="2:3" ht="12.75" x14ac:dyDescent="0.2">
      <c r="B148">
        <v>2006</v>
      </c>
      <c r="C148">
        <v>4.9054104148596558</v>
      </c>
    </row>
    <row r="149" spans="2:3" ht="12.75" x14ac:dyDescent="0.2">
      <c r="B149">
        <v>2007</v>
      </c>
      <c r="C149">
        <v>6.7525247328266715</v>
      </c>
    </row>
    <row r="150" spans="2:3" ht="12.75" x14ac:dyDescent="0.2">
      <c r="B150">
        <v>2008</v>
      </c>
      <c r="C150">
        <v>3.4255263346129086</v>
      </c>
    </row>
    <row r="151" spans="2:3" ht="12.75" x14ac:dyDescent="0.2">
      <c r="B151">
        <v>2009</v>
      </c>
      <c r="C151">
        <v>4.5295858745983546</v>
      </c>
    </row>
    <row r="152" spans="2:3" ht="12.75" x14ac:dyDescent="0.2">
      <c r="B152">
        <v>2010</v>
      </c>
      <c r="C152">
        <v>2.3248397058619878</v>
      </c>
    </row>
    <row r="153" spans="2:3" ht="12.75" x14ac:dyDescent="0.2">
      <c r="B153">
        <v>2011</v>
      </c>
      <c r="C153">
        <v>4.5949826554020028</v>
      </c>
    </row>
    <row r="154" spans="2:3" ht="12.75" x14ac:dyDescent="0.2">
      <c r="B154">
        <v>2012</v>
      </c>
      <c r="C154">
        <v>3.9655492161126711</v>
      </c>
    </row>
    <row r="155" spans="2:3" ht="12.75" x14ac:dyDescent="0.2">
      <c r="B155">
        <v>2013</v>
      </c>
      <c r="C155">
        <v>4.9619470475692999</v>
      </c>
    </row>
    <row r="156" spans="2:3" ht="12.75" x14ac:dyDescent="0.2">
      <c r="B156">
        <v>2014</v>
      </c>
      <c r="C156">
        <v>3.7472623689556142</v>
      </c>
    </row>
    <row r="157" spans="2:3" ht="12.75" x14ac:dyDescent="0.2">
      <c r="B157">
        <v>2015</v>
      </c>
      <c r="C157">
        <v>4.5145848262515962</v>
      </c>
    </row>
    <row r="158" spans="2:3" ht="12.75" x14ac:dyDescent="0.2">
      <c r="B158">
        <v>2016</v>
      </c>
      <c r="C158">
        <v>4.6276026631513956</v>
      </c>
    </row>
    <row r="159" spans="2:3" ht="12.75" x14ac:dyDescent="0.2">
      <c r="B159">
        <v>2017</v>
      </c>
      <c r="C159">
        <v>11.438340270163822</v>
      </c>
    </row>
    <row r="162" spans="2:8" ht="15" x14ac:dyDescent="0.25">
      <c r="B162"/>
      <c r="C162" s="499" t="s">
        <v>409</v>
      </c>
      <c r="F162" s="117" t="s">
        <v>410</v>
      </c>
    </row>
    <row r="163" spans="2:8" ht="12.75" x14ac:dyDescent="0.2">
      <c r="B163">
        <v>2000</v>
      </c>
      <c r="C163">
        <v>6.1894596140729172</v>
      </c>
      <c r="D163">
        <v>1999</v>
      </c>
      <c r="E163">
        <v>5.7643509359306044</v>
      </c>
      <c r="F163" t="s">
        <v>399</v>
      </c>
      <c r="G163"/>
      <c r="H163"/>
    </row>
    <row r="164" spans="2:8" ht="13.5" thickBot="1" x14ac:dyDescent="0.25">
      <c r="B164">
        <v>2002</v>
      </c>
      <c r="C164">
        <v>2.6746135213135291</v>
      </c>
      <c r="D164">
        <v>2001</v>
      </c>
      <c r="E164">
        <v>5.4590943644016408</v>
      </c>
      <c r="F164"/>
      <c r="G164"/>
      <c r="H164"/>
    </row>
    <row r="165" spans="2:8" ht="12.75" x14ac:dyDescent="0.2">
      <c r="B165">
        <v>2004</v>
      </c>
      <c r="C165">
        <v>5.6462303475215121</v>
      </c>
      <c r="D165">
        <v>2003</v>
      </c>
      <c r="E165">
        <v>2.6181817403641827</v>
      </c>
      <c r="F165" s="415"/>
      <c r="G165" s="415" t="s">
        <v>400</v>
      </c>
      <c r="H165" s="415" t="s">
        <v>401</v>
      </c>
    </row>
    <row r="166" spans="2:8" ht="12.75" x14ac:dyDescent="0.2">
      <c r="B166">
        <v>2006</v>
      </c>
      <c r="C166">
        <v>4.9054104148596558</v>
      </c>
      <c r="D166">
        <v>2005</v>
      </c>
      <c r="E166">
        <v>6.8427208454467934</v>
      </c>
      <c r="F166" s="383" t="s">
        <v>402</v>
      </c>
      <c r="G166" s="383">
        <v>4.1673882429402429</v>
      </c>
      <c r="H166" s="383">
        <v>5.7476313292954959</v>
      </c>
    </row>
    <row r="167" spans="2:8" ht="12.75" x14ac:dyDescent="0.2">
      <c r="B167">
        <v>2008</v>
      </c>
      <c r="C167">
        <v>3.4255263346129086</v>
      </c>
      <c r="D167">
        <v>2007</v>
      </c>
      <c r="E167">
        <v>6.7525247328266715</v>
      </c>
      <c r="F167" s="383" t="s">
        <v>403</v>
      </c>
      <c r="G167" s="383">
        <v>1.6778982442297234</v>
      </c>
      <c r="H167" s="383">
        <v>5.4911250077666161</v>
      </c>
    </row>
    <row r="168" spans="2:8" ht="12.75" x14ac:dyDescent="0.2">
      <c r="B168">
        <v>2010</v>
      </c>
      <c r="C168">
        <v>2.3248397058619878</v>
      </c>
      <c r="D168">
        <v>2009</v>
      </c>
      <c r="E168">
        <v>4.5295858745983546</v>
      </c>
      <c r="F168" s="383" t="s">
        <v>335</v>
      </c>
      <c r="G168" s="383">
        <v>9</v>
      </c>
      <c r="H168" s="383">
        <v>10</v>
      </c>
    </row>
    <row r="169" spans="2:8" ht="12.75" x14ac:dyDescent="0.2">
      <c r="B169">
        <v>2012</v>
      </c>
      <c r="C169">
        <v>3.9655492161126711</v>
      </c>
      <c r="D169">
        <v>2011</v>
      </c>
      <c r="E169">
        <v>4.5949826554020028</v>
      </c>
      <c r="F169" s="383" t="s">
        <v>404</v>
      </c>
      <c r="G169" s="383">
        <v>0</v>
      </c>
      <c r="H169" s="383"/>
    </row>
    <row r="170" spans="2:8" ht="12.75" x14ac:dyDescent="0.2">
      <c r="B170">
        <v>2014</v>
      </c>
      <c r="C170">
        <v>3.7472623689556142</v>
      </c>
      <c r="D170">
        <v>2013</v>
      </c>
      <c r="E170">
        <v>4.9619470475692999</v>
      </c>
      <c r="F170" s="383" t="s">
        <v>339</v>
      </c>
      <c r="G170" s="383">
        <v>14</v>
      </c>
      <c r="H170" s="383"/>
    </row>
    <row r="171" spans="2:8" ht="12.75" x14ac:dyDescent="0.2">
      <c r="B171">
        <v>2016</v>
      </c>
      <c r="C171">
        <v>4.6276026631513956</v>
      </c>
      <c r="D171">
        <v>2015</v>
      </c>
      <c r="E171">
        <v>4.5145848262515962</v>
      </c>
      <c r="F171" s="383" t="s">
        <v>345</v>
      </c>
      <c r="G171" s="383">
        <v>-1.8425491711414892</v>
      </c>
      <c r="H171" s="383"/>
    </row>
    <row r="172" spans="2:8" ht="12.75" x14ac:dyDescent="0.2">
      <c r="D172">
        <v>2017</v>
      </c>
      <c r="E172">
        <v>11.438340270163822</v>
      </c>
      <c r="F172" s="383" t="s">
        <v>405</v>
      </c>
      <c r="G172" s="383">
        <v>4.3335424751840136E-2</v>
      </c>
      <c r="H172" s="383"/>
    </row>
    <row r="173" spans="2:8" ht="12.75" x14ac:dyDescent="0.2">
      <c r="F173" s="383" t="s">
        <v>406</v>
      </c>
      <c r="G173" s="383">
        <v>1.7613101357748921</v>
      </c>
      <c r="H173" s="383"/>
    </row>
    <row r="174" spans="2:8" ht="12.75" x14ac:dyDescent="0.2">
      <c r="C174" s="117">
        <f>AVERAGE(C163:C172)</f>
        <v>4.1673882429402429</v>
      </c>
      <c r="E174" s="117">
        <f>AVERAGE(E163:E172)</f>
        <v>5.7476313292954959</v>
      </c>
      <c r="F174" s="383" t="s">
        <v>407</v>
      </c>
      <c r="G174" s="498">
        <v>8.6670849503680272E-2</v>
      </c>
      <c r="H174" s="383"/>
    </row>
    <row r="175" spans="2:8" ht="13.5" thickBot="1" x14ac:dyDescent="0.25">
      <c r="E175" s="117">
        <f>E174/C174</f>
        <v>1.3791926727806705</v>
      </c>
      <c r="F175" s="385" t="s">
        <v>408</v>
      </c>
      <c r="G175" s="385">
        <v>2.1447866879178044</v>
      </c>
      <c r="H175" s="385"/>
    </row>
    <row r="179" spans="1:10" x14ac:dyDescent="0.2">
      <c r="B179" s="117" t="s">
        <v>4</v>
      </c>
      <c r="C179" s="117" t="s">
        <v>15</v>
      </c>
      <c r="D179" s="117" t="s">
        <v>421</v>
      </c>
      <c r="E179" s="117" t="s">
        <v>29</v>
      </c>
    </row>
    <row r="180" spans="1:10" ht="15" x14ac:dyDescent="0.25">
      <c r="A180" s="123">
        <v>2000</v>
      </c>
      <c r="B180" s="121">
        <v>36.285760235885306</v>
      </c>
      <c r="C180" s="121">
        <v>3.3753530299399155</v>
      </c>
      <c r="D180" s="121">
        <v>8.5961747263634525</v>
      </c>
      <c r="E180" s="121">
        <v>55.437680259848911</v>
      </c>
      <c r="F180" s="123">
        <v>1999</v>
      </c>
      <c r="G180" s="121">
        <v>41.613988262821955</v>
      </c>
      <c r="H180" s="121">
        <v>6.701371487225714</v>
      </c>
      <c r="I180" s="121">
        <v>17.194773951507347</v>
      </c>
      <c r="J180" s="121">
        <v>70.482203418622134</v>
      </c>
    </row>
    <row r="181" spans="1:10" ht="15" x14ac:dyDescent="0.25">
      <c r="A181" s="123">
        <v>2002</v>
      </c>
      <c r="B181" s="121">
        <v>16.491348153576414</v>
      </c>
      <c r="C181" s="121">
        <v>8.3414254238516374</v>
      </c>
      <c r="D181" s="121">
        <v>10.262876689220986</v>
      </c>
      <c r="E181" s="121">
        <v>39.122610306592165</v>
      </c>
      <c r="F181" s="123">
        <v>2001</v>
      </c>
      <c r="G181" s="121">
        <v>22.32574362913661</v>
      </c>
      <c r="H181" s="121">
        <v>14.555720573483862</v>
      </c>
      <c r="I181" s="121">
        <v>10.386812300979845</v>
      </c>
      <c r="J181" s="121">
        <v>49.349393557994972</v>
      </c>
    </row>
    <row r="182" spans="1:10" ht="15" x14ac:dyDescent="0.25">
      <c r="A182" s="123">
        <v>2004</v>
      </c>
      <c r="B182" s="121">
        <v>40.801279633241485</v>
      </c>
      <c r="C182" s="121">
        <v>7.8585159023329201</v>
      </c>
      <c r="D182" s="121">
        <v>9.7340695492477689</v>
      </c>
      <c r="E182" s="121">
        <v>66.28615985433018</v>
      </c>
      <c r="F182" s="123">
        <v>2003</v>
      </c>
      <c r="G182" s="121">
        <v>24.329343891395833</v>
      </c>
      <c r="H182" s="121">
        <v>9.6250587289062732</v>
      </c>
      <c r="I182" s="121">
        <v>18.766224487044024</v>
      </c>
      <c r="J182" s="121">
        <v>58.927236748703514</v>
      </c>
    </row>
    <row r="183" spans="1:10" ht="15" x14ac:dyDescent="0.25">
      <c r="A183" s="123">
        <v>2006</v>
      </c>
      <c r="B183" s="121">
        <v>36.481419829523155</v>
      </c>
      <c r="C183" s="121">
        <v>3.3105634531644226</v>
      </c>
      <c r="D183" s="121">
        <v>8.8054461479175838</v>
      </c>
      <c r="E183" s="121">
        <v>53.735464980361016</v>
      </c>
      <c r="F183" s="123">
        <v>2005</v>
      </c>
      <c r="G183" s="121">
        <v>31.83871925484258</v>
      </c>
      <c r="H183" s="121">
        <v>3.3524349400413933</v>
      </c>
      <c r="I183" s="121">
        <v>14.565532914332488</v>
      </c>
      <c r="J183" s="121">
        <v>52.576734727738881</v>
      </c>
    </row>
    <row r="184" spans="1:10" ht="15" x14ac:dyDescent="0.25">
      <c r="A184" s="123">
        <v>2008</v>
      </c>
      <c r="B184" s="121">
        <v>18.961864406779661</v>
      </c>
      <c r="C184" s="121">
        <v>6.4618644067796609</v>
      </c>
      <c r="D184" s="121">
        <v>20.630296610169491</v>
      </c>
      <c r="E184" s="121">
        <v>53.893008474576277</v>
      </c>
      <c r="F184" s="123">
        <v>2007</v>
      </c>
      <c r="G184" s="121">
        <v>38.142954204807687</v>
      </c>
      <c r="H184" s="121">
        <v>5.2823865642394088</v>
      </c>
      <c r="I184" s="121">
        <v>9.0795152438204152</v>
      </c>
      <c r="J184" s="121">
        <v>62.406197904982939</v>
      </c>
    </row>
    <row r="185" spans="1:10" ht="15" x14ac:dyDescent="0.25">
      <c r="A185" s="123">
        <v>2010</v>
      </c>
      <c r="B185" s="121">
        <v>22.244784936311611</v>
      </c>
      <c r="C185" s="121">
        <v>5.2981354993538856</v>
      </c>
      <c r="D185" s="121">
        <v>12.774598486246999</v>
      </c>
      <c r="E185" s="121">
        <v>46.870961786966959</v>
      </c>
      <c r="F185" s="123">
        <v>2009</v>
      </c>
      <c r="G185" s="121">
        <v>23.933378964179784</v>
      </c>
      <c r="H185" s="121">
        <v>6.1145334245950265</v>
      </c>
      <c r="I185" s="121">
        <v>11.019849418206707</v>
      </c>
      <c r="J185" s="121">
        <v>47.958019621263972</v>
      </c>
    </row>
    <row r="186" spans="1:10" ht="15" x14ac:dyDescent="0.25">
      <c r="A186" s="123">
        <v>2012</v>
      </c>
      <c r="B186" s="121">
        <v>19.721354792217152</v>
      </c>
      <c r="C186" s="121">
        <v>8.3593562334854674</v>
      </c>
      <c r="D186" s="121">
        <v>16.886860437184723</v>
      </c>
      <c r="E186" s="121">
        <v>54.167667547441745</v>
      </c>
      <c r="F186" s="123">
        <v>2011</v>
      </c>
      <c r="G186" s="121">
        <v>19.761239522479045</v>
      </c>
      <c r="H186" s="121">
        <v>3.7592075184150371</v>
      </c>
      <c r="I186" s="121">
        <v>10.591821183642368</v>
      </c>
      <c r="J186" s="121">
        <v>45.720091440182884</v>
      </c>
    </row>
    <row r="187" spans="1:10" ht="15" x14ac:dyDescent="0.25">
      <c r="A187" s="123">
        <v>2014</v>
      </c>
      <c r="B187" s="121">
        <v>24.302582068249642</v>
      </c>
      <c r="C187" s="121">
        <v>5.1771117166212539</v>
      </c>
      <c r="D187" s="121">
        <v>10.354223433242508</v>
      </c>
      <c r="E187" s="121">
        <v>46.671856753600622</v>
      </c>
      <c r="F187" s="123">
        <v>2013</v>
      </c>
      <c r="G187" s="121">
        <v>25.39820445988995</v>
      </c>
      <c r="H187" s="121">
        <v>11.106284390385172</v>
      </c>
      <c r="I187" s="121">
        <v>11.482768607008397</v>
      </c>
      <c r="J187" s="121">
        <v>55.864465682015641</v>
      </c>
    </row>
    <row r="188" spans="1:10" ht="15" x14ac:dyDescent="0.25">
      <c r="A188" s="123">
        <v>2016</v>
      </c>
      <c r="B188" s="121">
        <v>31.103000811030007</v>
      </c>
      <c r="C188" s="121">
        <v>6.0827250608272507</v>
      </c>
      <c r="D188" s="121">
        <v>17.396593673965938</v>
      </c>
      <c r="E188" s="121">
        <v>61.557177615571781</v>
      </c>
      <c r="F188" s="123">
        <v>2015</v>
      </c>
      <c r="G188" s="121">
        <v>24.053224155578302</v>
      </c>
      <c r="H188" s="121">
        <v>5.7318321392016376</v>
      </c>
      <c r="I188" s="121">
        <v>13.920163766632548</v>
      </c>
      <c r="J188" s="121">
        <v>51.074718526100305</v>
      </c>
    </row>
    <row r="189" spans="1:10" ht="15" x14ac:dyDescent="0.25">
      <c r="A189" s="123">
        <v>2018</v>
      </c>
      <c r="B189" s="121">
        <v>17.325227963525837</v>
      </c>
      <c r="C189" s="121">
        <v>7.3708206686930096</v>
      </c>
      <c r="D189" s="121">
        <v>20.89665653495441</v>
      </c>
      <c r="E189" s="121">
        <v>52.507598784194528</v>
      </c>
      <c r="F189" s="123">
        <v>2017</v>
      </c>
      <c r="G189" s="121">
        <v>27.793814432989688</v>
      </c>
      <c r="H189" s="121">
        <v>2.0618556701030926</v>
      </c>
      <c r="I189" s="121">
        <v>11.257731958762887</v>
      </c>
      <c r="J189" s="121">
        <v>47.793814432989691</v>
      </c>
    </row>
    <row r="191" spans="1:10" ht="15" x14ac:dyDescent="0.25">
      <c r="B191" s="121">
        <f>AVERAGE(B180:B189)</f>
        <v>26.371862283034027</v>
      </c>
      <c r="C191" s="121">
        <f t="shared" ref="C191:E191" si="66">AVERAGE(C180:C189)</f>
        <v>6.1635871395049424</v>
      </c>
      <c r="D191" s="121">
        <f t="shared" si="66"/>
        <v>13.633779628851386</v>
      </c>
      <c r="E191" s="121">
        <f t="shared" si="66"/>
        <v>53.02501863634842</v>
      </c>
      <c r="G191" s="121">
        <f>AVERAGE(G180:G189)</f>
        <v>27.919061077812142</v>
      </c>
      <c r="H191" s="121">
        <f>AVERAGE(H180:H189)</f>
        <v>6.8290685436596616</v>
      </c>
      <c r="I191" s="121">
        <f>AVERAGE(I180:I189)</f>
        <v>12.826519383193702</v>
      </c>
      <c r="J191" s="121">
        <f>AVERAGE(J180:J189)</f>
        <v>54.215287606059498</v>
      </c>
    </row>
  </sheetData>
  <sortState ref="AC6:AO41">
    <sortCondition ref="AO6:AO41"/>
  </sortState>
  <pageMargins left="1.1000000000000001" right="0.5" top="1" bottom="0.5" header="0.5" footer="0.5"/>
  <pageSetup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97"/>
  <sheetViews>
    <sheetView workbookViewId="0">
      <selection activeCell="M70" sqref="M70:M89"/>
    </sheetView>
  </sheetViews>
  <sheetFormatPr defaultRowHeight="12.75" x14ac:dyDescent="0.2"/>
  <cols>
    <col min="1" max="1" width="7.42578125" style="94" customWidth="1"/>
    <col min="2" max="2" width="7" style="94" customWidth="1"/>
    <col min="3" max="3" width="5.85546875" style="94" customWidth="1"/>
    <col min="4" max="5" width="8.42578125" style="94" customWidth="1"/>
    <col min="6" max="6" width="7.7109375" style="94" customWidth="1"/>
    <col min="7" max="7" width="9.28515625" style="94" customWidth="1"/>
    <col min="8" max="8" width="10.5703125" style="94" customWidth="1"/>
    <col min="9" max="9" width="9.28515625" style="94" customWidth="1"/>
    <col min="10" max="16384" width="9.140625" style="94"/>
  </cols>
  <sheetData>
    <row r="1" spans="1:14" ht="15.75" x14ac:dyDescent="0.25">
      <c r="A1" s="107" t="s">
        <v>68</v>
      </c>
      <c r="B1" s="110"/>
    </row>
    <row r="2" spans="1:14" ht="6" customHeight="1" x14ac:dyDescent="0.2">
      <c r="A2" s="116"/>
      <c r="B2" s="116"/>
      <c r="C2" s="116"/>
      <c r="D2" s="116"/>
      <c r="E2" s="116"/>
      <c r="F2" s="116"/>
      <c r="G2" s="116"/>
      <c r="H2" s="116"/>
      <c r="I2" s="116"/>
    </row>
    <row r="3" spans="1:14" ht="15.75" x14ac:dyDescent="0.25">
      <c r="A3" s="109"/>
      <c r="B3" s="108" t="s">
        <v>33</v>
      </c>
      <c r="C3" s="98"/>
      <c r="D3" s="98"/>
      <c r="E3" s="98"/>
      <c r="F3" s="99" t="s">
        <v>67</v>
      </c>
      <c r="G3" s="98"/>
      <c r="H3" s="98"/>
      <c r="I3" s="98"/>
      <c r="L3" s="107"/>
    </row>
    <row r="4" spans="1:14" x14ac:dyDescent="0.2">
      <c r="A4" s="106" t="s">
        <v>64</v>
      </c>
      <c r="B4" s="105" t="s">
        <v>63</v>
      </c>
      <c r="C4" s="106"/>
      <c r="D4" s="106"/>
      <c r="E4" s="105" t="s">
        <v>38</v>
      </c>
      <c r="F4" s="106"/>
      <c r="G4" s="105" t="s">
        <v>26</v>
      </c>
      <c r="H4" s="106"/>
      <c r="I4" s="105" t="s">
        <v>27</v>
      </c>
    </row>
    <row r="5" spans="1:14" x14ac:dyDescent="0.2">
      <c r="A5" s="104" t="s">
        <v>62</v>
      </c>
      <c r="B5" s="104" t="s">
        <v>61</v>
      </c>
      <c r="C5" s="104" t="s">
        <v>4</v>
      </c>
      <c r="D5" s="104" t="s">
        <v>60</v>
      </c>
      <c r="E5" s="104" t="s">
        <v>16</v>
      </c>
      <c r="F5" s="104" t="s">
        <v>17</v>
      </c>
      <c r="G5" s="104" t="s">
        <v>23</v>
      </c>
      <c r="H5" s="104" t="s">
        <v>5</v>
      </c>
      <c r="I5" s="104" t="s">
        <v>24</v>
      </c>
    </row>
    <row r="6" spans="1:14" x14ac:dyDescent="0.2">
      <c r="A6" s="105">
        <v>1980</v>
      </c>
      <c r="B6" s="115">
        <v>15</v>
      </c>
      <c r="C6" s="115">
        <v>117</v>
      </c>
      <c r="D6" s="115">
        <v>0</v>
      </c>
      <c r="E6" s="115">
        <v>29</v>
      </c>
      <c r="F6" s="115">
        <v>24</v>
      </c>
      <c r="G6" s="115">
        <v>170</v>
      </c>
      <c r="H6" s="115">
        <f>'Master escapements'!B13</f>
        <v>698</v>
      </c>
      <c r="I6" s="115">
        <f>SUM(G6:H6)</f>
        <v>868</v>
      </c>
    </row>
    <row r="7" spans="1:14" x14ac:dyDescent="0.2">
      <c r="A7" s="105">
        <v>1981</v>
      </c>
      <c r="B7" s="115">
        <v>70</v>
      </c>
      <c r="C7" s="115">
        <v>280</v>
      </c>
      <c r="D7" s="115">
        <v>0</v>
      </c>
      <c r="E7" s="115">
        <v>31</v>
      </c>
      <c r="F7" s="115">
        <v>19</v>
      </c>
      <c r="G7" s="115">
        <v>330</v>
      </c>
      <c r="H7" s="115">
        <f>'Master escapements'!B14</f>
        <v>646</v>
      </c>
      <c r="I7" s="115">
        <f t="shared" ref="I7:I29" si="0">SUM(G7:H7)</f>
        <v>976</v>
      </c>
    </row>
    <row r="8" spans="1:14" x14ac:dyDescent="0.2">
      <c r="A8" s="105">
        <v>1982</v>
      </c>
      <c r="B8" s="115">
        <v>45</v>
      </c>
      <c r="C8" s="115">
        <v>149</v>
      </c>
      <c r="D8" s="115">
        <v>117</v>
      </c>
      <c r="E8" s="115">
        <v>24</v>
      </c>
      <c r="F8" s="115">
        <v>2</v>
      </c>
      <c r="G8" s="115">
        <v>292</v>
      </c>
      <c r="H8" s="115">
        <f>'Master escapements'!B15</f>
        <v>447</v>
      </c>
      <c r="I8" s="115">
        <f t="shared" si="0"/>
        <v>739</v>
      </c>
      <c r="L8" s="111"/>
      <c r="M8" s="111"/>
      <c r="N8" s="111"/>
    </row>
    <row r="9" spans="1:14" x14ac:dyDescent="0.2">
      <c r="A9" s="105">
        <v>1983</v>
      </c>
      <c r="B9" s="115">
        <v>129</v>
      </c>
      <c r="C9" s="115">
        <v>385</v>
      </c>
      <c r="D9" s="115">
        <v>10</v>
      </c>
      <c r="E9" s="115">
        <v>28</v>
      </c>
      <c r="F9" s="115">
        <v>122</v>
      </c>
      <c r="G9" s="115">
        <v>545</v>
      </c>
      <c r="H9" s="115">
        <f>'Master escapements'!B16</f>
        <v>694</v>
      </c>
      <c r="I9" s="115">
        <f t="shared" si="0"/>
        <v>1239</v>
      </c>
      <c r="L9" s="111"/>
      <c r="M9" s="111"/>
      <c r="N9" s="111"/>
    </row>
    <row r="10" spans="1:14" x14ac:dyDescent="0.2">
      <c r="A10" s="105">
        <v>1984</v>
      </c>
      <c r="B10" s="115">
        <v>124</v>
      </c>
      <c r="C10" s="115">
        <v>372</v>
      </c>
      <c r="D10" s="115">
        <v>8</v>
      </c>
      <c r="E10" s="115">
        <v>13</v>
      </c>
      <c r="F10" s="115">
        <v>51</v>
      </c>
      <c r="G10" s="115">
        <v>444</v>
      </c>
      <c r="H10" s="115">
        <f>'Master escapements'!B17</f>
        <v>651</v>
      </c>
      <c r="I10" s="115">
        <f t="shared" si="0"/>
        <v>1095</v>
      </c>
      <c r="L10" s="111"/>
      <c r="M10" s="111"/>
      <c r="N10" s="111"/>
    </row>
    <row r="11" spans="1:14" x14ac:dyDescent="0.2">
      <c r="A11" s="105">
        <v>1985</v>
      </c>
      <c r="B11" s="115">
        <v>177</v>
      </c>
      <c r="C11" s="115">
        <v>594</v>
      </c>
      <c r="D11" s="115">
        <v>3</v>
      </c>
      <c r="E11" s="115">
        <v>71</v>
      </c>
      <c r="F11" s="115">
        <v>73</v>
      </c>
      <c r="G11" s="115">
        <v>741</v>
      </c>
      <c r="H11" s="115">
        <f>'Master escapements'!B18</f>
        <v>942</v>
      </c>
      <c r="I11" s="115">
        <f t="shared" si="0"/>
        <v>1683</v>
      </c>
      <c r="L11" s="111"/>
      <c r="M11" s="111"/>
      <c r="N11" s="111"/>
    </row>
    <row r="12" spans="1:14" x14ac:dyDescent="0.2">
      <c r="A12" s="105">
        <v>1986</v>
      </c>
      <c r="B12" s="115">
        <v>110</v>
      </c>
      <c r="C12" s="115">
        <v>421</v>
      </c>
      <c r="D12" s="115">
        <v>2</v>
      </c>
      <c r="E12" s="115">
        <v>60</v>
      </c>
      <c r="F12" s="115">
        <v>37</v>
      </c>
      <c r="G12" s="115">
        <v>520</v>
      </c>
      <c r="H12" s="115">
        <f>'Master escapements'!B19</f>
        <v>454</v>
      </c>
      <c r="I12" s="115">
        <f t="shared" si="0"/>
        <v>974</v>
      </c>
      <c r="L12" s="111"/>
      <c r="M12" s="111"/>
      <c r="N12" s="111"/>
    </row>
    <row r="13" spans="1:14" x14ac:dyDescent="0.2">
      <c r="A13" s="105">
        <v>1987</v>
      </c>
      <c r="B13" s="115">
        <v>145</v>
      </c>
      <c r="C13" s="115">
        <v>438</v>
      </c>
      <c r="D13" s="115">
        <v>2</v>
      </c>
      <c r="E13" s="115">
        <v>48</v>
      </c>
      <c r="F13" s="115">
        <v>23</v>
      </c>
      <c r="G13" s="115">
        <v>511</v>
      </c>
      <c r="H13" s="115">
        <f>'Master escapements'!B20</f>
        <v>668</v>
      </c>
      <c r="I13" s="115">
        <f t="shared" si="0"/>
        <v>1179</v>
      </c>
      <c r="L13" s="111"/>
      <c r="M13" s="111"/>
      <c r="N13" s="111"/>
    </row>
    <row r="14" spans="1:14" x14ac:dyDescent="0.2">
      <c r="A14" s="105">
        <v>1988</v>
      </c>
      <c r="B14" s="115">
        <v>145</v>
      </c>
      <c r="C14" s="115">
        <v>306</v>
      </c>
      <c r="D14" s="115">
        <v>12</v>
      </c>
      <c r="E14" s="115">
        <v>72</v>
      </c>
      <c r="F14" s="115">
        <v>55</v>
      </c>
      <c r="G14" s="115">
        <v>445</v>
      </c>
      <c r="H14" s="115">
        <f>'Master escapements'!B21</f>
        <v>756</v>
      </c>
      <c r="I14" s="115">
        <f t="shared" si="0"/>
        <v>1201</v>
      </c>
      <c r="L14" s="111"/>
      <c r="M14" s="111"/>
      <c r="N14" s="111"/>
    </row>
    <row r="15" spans="1:14" x14ac:dyDescent="0.2">
      <c r="A15" s="105">
        <v>1989</v>
      </c>
      <c r="B15" s="115">
        <v>182</v>
      </c>
      <c r="C15" s="115">
        <v>533</v>
      </c>
      <c r="D15" s="115">
        <v>7</v>
      </c>
      <c r="E15" s="115">
        <v>15</v>
      </c>
      <c r="F15" s="115">
        <v>49</v>
      </c>
      <c r="G15" s="115">
        <v>604</v>
      </c>
      <c r="H15" s="115">
        <f>'Master escapements'!B22</f>
        <v>502</v>
      </c>
      <c r="I15" s="115">
        <f t="shared" si="0"/>
        <v>1106</v>
      </c>
      <c r="L15" s="111"/>
      <c r="M15" s="111"/>
      <c r="N15" s="111"/>
    </row>
    <row r="16" spans="1:14" x14ac:dyDescent="0.2">
      <c r="A16" s="105">
        <v>1990</v>
      </c>
      <c r="B16" s="115">
        <v>168</v>
      </c>
      <c r="C16" s="115">
        <v>635</v>
      </c>
      <c r="D16" s="115">
        <v>15</v>
      </c>
      <c r="E16" s="115">
        <v>57</v>
      </c>
      <c r="F16" s="115">
        <v>78</v>
      </c>
      <c r="G16" s="115">
        <v>785</v>
      </c>
      <c r="H16" s="115">
        <f>'Master escapements'!B23</f>
        <v>697</v>
      </c>
      <c r="I16" s="115">
        <f t="shared" si="0"/>
        <v>1482</v>
      </c>
      <c r="L16" s="111"/>
      <c r="M16" s="111"/>
      <c r="N16" s="111"/>
    </row>
    <row r="17" spans="1:14" x14ac:dyDescent="0.2">
      <c r="A17" s="105">
        <v>1991</v>
      </c>
      <c r="B17" s="115">
        <v>47</v>
      </c>
      <c r="C17" s="115">
        <v>200</v>
      </c>
      <c r="D17" s="115">
        <v>8</v>
      </c>
      <c r="E17" s="115">
        <v>152</v>
      </c>
      <c r="F17" s="115">
        <v>11</v>
      </c>
      <c r="G17" s="115">
        <v>371</v>
      </c>
      <c r="H17" s="115">
        <f>'Master escapements'!B24</f>
        <v>808</v>
      </c>
      <c r="I17" s="115">
        <f t="shared" si="0"/>
        <v>1179</v>
      </c>
      <c r="L17" s="111"/>
      <c r="M17" s="111"/>
      <c r="N17" s="111"/>
    </row>
    <row r="18" spans="1:14" x14ac:dyDescent="0.2">
      <c r="A18" s="105">
        <v>1992</v>
      </c>
      <c r="B18" s="115">
        <v>53</v>
      </c>
      <c r="C18" s="115">
        <v>603</v>
      </c>
      <c r="D18" s="115">
        <v>10</v>
      </c>
      <c r="E18" s="115">
        <v>196</v>
      </c>
      <c r="F18" s="115">
        <v>46</v>
      </c>
      <c r="G18" s="115">
        <v>855</v>
      </c>
      <c r="H18" s="115">
        <f>'Master escapements'!B25</f>
        <v>1020</v>
      </c>
      <c r="I18" s="115">
        <f t="shared" si="0"/>
        <v>1875</v>
      </c>
      <c r="L18" s="111"/>
      <c r="M18" s="111"/>
      <c r="N18" s="111"/>
    </row>
    <row r="19" spans="1:14" x14ac:dyDescent="0.2">
      <c r="A19" s="105">
        <v>1993</v>
      </c>
      <c r="B19" s="115">
        <v>169</v>
      </c>
      <c r="C19" s="115">
        <v>611</v>
      </c>
      <c r="D19" s="115">
        <v>8</v>
      </c>
      <c r="E19" s="115">
        <v>92</v>
      </c>
      <c r="F19" s="115">
        <v>19</v>
      </c>
      <c r="G19" s="115">
        <v>730</v>
      </c>
      <c r="H19" s="115">
        <f>'Master escapements'!B26</f>
        <v>859</v>
      </c>
      <c r="I19" s="115">
        <f t="shared" si="0"/>
        <v>1589</v>
      </c>
      <c r="L19" s="111"/>
      <c r="M19" s="111"/>
      <c r="N19" s="111"/>
    </row>
    <row r="20" spans="1:14" x14ac:dyDescent="0.2">
      <c r="A20" s="105">
        <v>1994</v>
      </c>
      <c r="B20" s="115">
        <v>330</v>
      </c>
      <c r="C20" s="115">
        <v>1064</v>
      </c>
      <c r="D20" s="115">
        <v>224</v>
      </c>
      <c r="E20" s="115">
        <v>218</v>
      </c>
      <c r="F20" s="115">
        <v>112</v>
      </c>
      <c r="G20" s="115">
        <v>1618</v>
      </c>
      <c r="H20" s="115">
        <f>'Master escapements'!B27</f>
        <v>1437</v>
      </c>
      <c r="I20" s="115">
        <f t="shared" si="0"/>
        <v>3055</v>
      </c>
      <c r="L20" s="111"/>
      <c r="M20" s="111"/>
      <c r="N20" s="111"/>
    </row>
    <row r="21" spans="1:14" x14ac:dyDescent="0.2">
      <c r="A21" s="105">
        <v>1995</v>
      </c>
      <c r="B21" s="115">
        <v>82</v>
      </c>
      <c r="C21" s="115">
        <v>264</v>
      </c>
      <c r="D21" s="115">
        <v>5</v>
      </c>
      <c r="E21" s="115">
        <v>65</v>
      </c>
      <c r="F21" s="115">
        <v>26</v>
      </c>
      <c r="G21" s="115">
        <v>360</v>
      </c>
      <c r="H21" s="115">
        <f>'Master escapements'!B28</f>
        <v>460</v>
      </c>
      <c r="I21" s="115">
        <f t="shared" si="0"/>
        <v>820</v>
      </c>
      <c r="L21" s="111"/>
      <c r="M21" s="111"/>
      <c r="N21" s="111"/>
    </row>
    <row r="22" spans="1:14" x14ac:dyDescent="0.2">
      <c r="A22" s="105">
        <v>1996</v>
      </c>
      <c r="B22" s="115">
        <v>160</v>
      </c>
      <c r="C22" s="115">
        <v>446</v>
      </c>
      <c r="D22" s="115">
        <v>11</v>
      </c>
      <c r="E22" s="115">
        <v>133</v>
      </c>
      <c r="F22" s="115">
        <v>36</v>
      </c>
      <c r="G22" s="115">
        <v>626</v>
      </c>
      <c r="H22" s="115">
        <f>'Master escapements'!B29</f>
        <v>515</v>
      </c>
      <c r="I22" s="115">
        <f t="shared" si="0"/>
        <v>1141</v>
      </c>
      <c r="L22" s="111"/>
      <c r="M22" s="111"/>
      <c r="N22" s="111"/>
    </row>
    <row r="23" spans="1:14" x14ac:dyDescent="0.2">
      <c r="A23" s="106">
        <v>1997</v>
      </c>
      <c r="B23" s="115">
        <v>43</v>
      </c>
      <c r="C23" s="115">
        <v>94</v>
      </c>
      <c r="D23" s="115">
        <v>4</v>
      </c>
      <c r="E23" s="115">
        <v>0</v>
      </c>
      <c r="F23" s="115">
        <v>50</v>
      </c>
      <c r="G23" s="115">
        <v>148</v>
      </c>
      <c r="H23" s="115">
        <f>'Master escapements'!B30</f>
        <v>609</v>
      </c>
      <c r="I23" s="115">
        <f t="shared" si="0"/>
        <v>757</v>
      </c>
      <c r="L23" s="111"/>
      <c r="M23" s="111"/>
      <c r="N23" s="111"/>
    </row>
    <row r="24" spans="1:14" x14ac:dyDescent="0.2">
      <c r="A24" s="106">
        <v>1998</v>
      </c>
      <c r="B24" s="115">
        <v>157</v>
      </c>
      <c r="C24" s="115">
        <v>437</v>
      </c>
      <c r="D24" s="115">
        <v>17</v>
      </c>
      <c r="E24" s="115">
        <v>43</v>
      </c>
      <c r="F24" s="115">
        <v>54</v>
      </c>
      <c r="G24" s="115">
        <f t="shared" ref="G24:G43" si="1">SUM(C24:F24)</f>
        <v>551</v>
      </c>
      <c r="H24" s="115">
        <f>'Master escapements'!B31</f>
        <v>862</v>
      </c>
      <c r="I24" s="115">
        <f t="shared" si="0"/>
        <v>1413</v>
      </c>
      <c r="L24" s="111"/>
      <c r="M24" s="111"/>
      <c r="N24" s="111"/>
    </row>
    <row r="25" spans="1:14" x14ac:dyDescent="0.2">
      <c r="A25" s="106">
        <v>1999</v>
      </c>
      <c r="B25" s="115">
        <v>160</v>
      </c>
      <c r="C25" s="115">
        <v>485</v>
      </c>
      <c r="D25" s="115">
        <v>5</v>
      </c>
      <c r="E25" s="115">
        <v>58</v>
      </c>
      <c r="F25" s="115">
        <v>42</v>
      </c>
      <c r="G25" s="115">
        <f t="shared" si="1"/>
        <v>590</v>
      </c>
      <c r="H25" s="115">
        <f>'Master escapements'!B32</f>
        <v>845</v>
      </c>
      <c r="I25" s="115">
        <f t="shared" si="0"/>
        <v>1435</v>
      </c>
      <c r="L25" s="111"/>
      <c r="M25" s="111"/>
      <c r="N25" s="111"/>
    </row>
    <row r="26" spans="1:14" x14ac:dyDescent="0.2">
      <c r="A26" s="106">
        <v>2000</v>
      </c>
      <c r="B26" s="115">
        <v>103</v>
      </c>
      <c r="C26" s="115">
        <v>228</v>
      </c>
      <c r="D26" s="115">
        <v>6</v>
      </c>
      <c r="E26" s="115">
        <v>23</v>
      </c>
      <c r="F26" s="115">
        <v>29</v>
      </c>
      <c r="G26" s="115">
        <f t="shared" si="1"/>
        <v>286</v>
      </c>
      <c r="H26" s="115">
        <f>'Master escapements'!B33</f>
        <v>683</v>
      </c>
      <c r="I26" s="115">
        <f t="shared" si="0"/>
        <v>969</v>
      </c>
      <c r="L26" s="111"/>
      <c r="M26" s="111"/>
      <c r="N26" s="111"/>
    </row>
    <row r="27" spans="1:14" x14ac:dyDescent="0.2">
      <c r="A27" s="106">
        <v>2001</v>
      </c>
      <c r="B27" s="115">
        <v>149</v>
      </c>
      <c r="C27" s="115">
        <v>435</v>
      </c>
      <c r="D27" s="115">
        <v>10</v>
      </c>
      <c r="E27" s="115">
        <v>41</v>
      </c>
      <c r="F27" s="115">
        <v>55</v>
      </c>
      <c r="G27" s="115">
        <f t="shared" si="1"/>
        <v>541</v>
      </c>
      <c r="H27" s="115">
        <f>'Master escapements'!B34</f>
        <v>865</v>
      </c>
      <c r="I27" s="115">
        <f t="shared" si="0"/>
        <v>1406</v>
      </c>
      <c r="L27" s="111"/>
      <c r="M27" s="111"/>
      <c r="N27" s="111"/>
    </row>
    <row r="28" spans="1:14" x14ac:dyDescent="0.2">
      <c r="A28" s="106">
        <v>2002</v>
      </c>
      <c r="B28" s="115">
        <v>125</v>
      </c>
      <c r="C28" s="115">
        <v>288</v>
      </c>
      <c r="D28" s="115">
        <v>8</v>
      </c>
      <c r="E28" s="115">
        <v>77</v>
      </c>
      <c r="F28" s="115">
        <v>51</v>
      </c>
      <c r="G28" s="115">
        <f t="shared" si="1"/>
        <v>424</v>
      </c>
      <c r="H28" s="115">
        <f>'Master escapements'!B35</f>
        <v>1176</v>
      </c>
      <c r="I28" s="115">
        <f t="shared" si="0"/>
        <v>1600</v>
      </c>
      <c r="L28" s="111"/>
      <c r="M28" s="111"/>
      <c r="N28" s="111"/>
    </row>
    <row r="29" spans="1:14" x14ac:dyDescent="0.2">
      <c r="A29" s="106">
        <v>2003</v>
      </c>
      <c r="B29" s="115">
        <v>97</v>
      </c>
      <c r="C29" s="115">
        <v>211</v>
      </c>
      <c r="D29" s="115">
        <v>4</v>
      </c>
      <c r="E29" s="115">
        <v>59</v>
      </c>
      <c r="F29" s="115">
        <v>45</v>
      </c>
      <c r="G29" s="115">
        <f t="shared" si="1"/>
        <v>319</v>
      </c>
      <c r="H29" s="115">
        <f>'Master escapements'!B36</f>
        <v>585</v>
      </c>
      <c r="I29" s="115">
        <f t="shared" si="0"/>
        <v>904</v>
      </c>
      <c r="L29" s="111"/>
      <c r="M29" s="111"/>
      <c r="N29" s="111"/>
    </row>
    <row r="30" spans="1:14" x14ac:dyDescent="0.2">
      <c r="A30" s="106">
        <v>2004</v>
      </c>
      <c r="B30" s="115">
        <v>62</v>
      </c>
      <c r="C30" s="115">
        <v>199</v>
      </c>
      <c r="D30" s="115">
        <v>47</v>
      </c>
      <c r="E30" s="115">
        <v>71</v>
      </c>
      <c r="F30" s="115">
        <v>15</v>
      </c>
      <c r="G30" s="115">
        <f t="shared" si="1"/>
        <v>332</v>
      </c>
      <c r="H30" s="115">
        <f>'Master escapements'!B37</f>
        <v>416</v>
      </c>
      <c r="I30" s="115">
        <f t="shared" ref="I30:I43" si="2">SUM(G30:H30)</f>
        <v>748</v>
      </c>
      <c r="L30" s="111"/>
      <c r="M30" s="111"/>
      <c r="N30" s="111"/>
    </row>
    <row r="31" spans="1:14" x14ac:dyDescent="0.2">
      <c r="A31" s="106">
        <v>2005</v>
      </c>
      <c r="B31" s="115">
        <v>66</v>
      </c>
      <c r="C31" s="115">
        <v>240</v>
      </c>
      <c r="D31" s="115">
        <v>0</v>
      </c>
      <c r="E31" s="115">
        <v>6</v>
      </c>
      <c r="F31" s="115">
        <v>31</v>
      </c>
      <c r="G31" s="115">
        <f t="shared" si="1"/>
        <v>277</v>
      </c>
      <c r="H31" s="115">
        <f>'Master escapements'!B38</f>
        <v>450</v>
      </c>
      <c r="I31" s="115">
        <f t="shared" si="2"/>
        <v>727</v>
      </c>
      <c r="L31" s="111"/>
      <c r="M31" s="111"/>
      <c r="N31" s="111"/>
    </row>
    <row r="32" spans="1:14" x14ac:dyDescent="0.2">
      <c r="A32" s="106">
        <v>2006</v>
      </c>
      <c r="B32" s="115">
        <v>80</v>
      </c>
      <c r="C32" s="115">
        <v>196</v>
      </c>
      <c r="D32" s="115">
        <v>0</v>
      </c>
      <c r="E32" s="115">
        <v>77</v>
      </c>
      <c r="F32" s="115">
        <v>26</v>
      </c>
      <c r="G32" s="115">
        <f t="shared" si="1"/>
        <v>299</v>
      </c>
      <c r="H32" s="115">
        <f>'Master escapements'!B39</f>
        <v>581</v>
      </c>
      <c r="I32" s="115">
        <f t="shared" si="2"/>
        <v>880</v>
      </c>
      <c r="L32" s="111"/>
      <c r="M32" s="111"/>
      <c r="N32" s="111"/>
    </row>
    <row r="33" spans="1:15" x14ac:dyDescent="0.2">
      <c r="A33" s="106">
        <v>2007</v>
      </c>
      <c r="B33" s="115">
        <v>47</v>
      </c>
      <c r="C33" s="115">
        <v>134</v>
      </c>
      <c r="D33" s="115">
        <v>6</v>
      </c>
      <c r="E33" s="115">
        <v>30</v>
      </c>
      <c r="F33" s="115">
        <v>14</v>
      </c>
      <c r="G33" s="115">
        <f t="shared" si="1"/>
        <v>184</v>
      </c>
      <c r="H33" s="115">
        <f>'Master escapements'!B40</f>
        <v>352</v>
      </c>
      <c r="I33" s="115">
        <f t="shared" si="2"/>
        <v>536</v>
      </c>
      <c r="L33" s="111"/>
      <c r="M33" s="111"/>
      <c r="N33" s="111"/>
    </row>
    <row r="34" spans="1:15" x14ac:dyDescent="0.2">
      <c r="A34" s="106">
        <v>2008</v>
      </c>
      <c r="B34" s="115">
        <v>105</v>
      </c>
      <c r="C34" s="115">
        <v>292</v>
      </c>
      <c r="D34" s="115">
        <v>0</v>
      </c>
      <c r="E34" s="115">
        <v>76</v>
      </c>
      <c r="F34" s="115">
        <v>9</v>
      </c>
      <c r="G34" s="115">
        <f t="shared" si="1"/>
        <v>377</v>
      </c>
      <c r="H34" s="115">
        <f>'Master escapements'!B41</f>
        <v>600</v>
      </c>
      <c r="I34" s="115">
        <f t="shared" si="2"/>
        <v>977</v>
      </c>
      <c r="L34" s="111"/>
      <c r="M34" s="111"/>
      <c r="N34" s="111"/>
    </row>
    <row r="35" spans="1:15" x14ac:dyDescent="0.2">
      <c r="A35" s="106">
        <v>2009</v>
      </c>
      <c r="B35" s="115">
        <v>75</v>
      </c>
      <c r="C35" s="115">
        <v>179</v>
      </c>
      <c r="D35" s="115">
        <v>0</v>
      </c>
      <c r="E35" s="115">
        <v>46</v>
      </c>
      <c r="F35" s="115">
        <v>8</v>
      </c>
      <c r="G35" s="115">
        <f t="shared" si="1"/>
        <v>233</v>
      </c>
      <c r="H35" s="115">
        <f>'Master escapements'!B42</f>
        <v>360</v>
      </c>
      <c r="I35" s="115">
        <f t="shared" si="2"/>
        <v>593</v>
      </c>
      <c r="L35" s="111"/>
      <c r="M35" s="111"/>
      <c r="N35" s="111"/>
    </row>
    <row r="36" spans="1:15" x14ac:dyDescent="0.2">
      <c r="A36" s="106">
        <v>2010</v>
      </c>
      <c r="B36" s="115">
        <v>86</v>
      </c>
      <c r="C36" s="115">
        <v>194</v>
      </c>
      <c r="D36" s="115">
        <v>0</v>
      </c>
      <c r="E36" s="115">
        <v>134</v>
      </c>
      <c r="F36" s="115">
        <v>22</v>
      </c>
      <c r="G36" s="115">
        <f t="shared" si="1"/>
        <v>350</v>
      </c>
      <c r="H36" s="115">
        <f>'Master escapements'!B43</f>
        <v>417</v>
      </c>
      <c r="I36" s="115">
        <f t="shared" si="2"/>
        <v>767</v>
      </c>
      <c r="L36" s="111"/>
      <c r="M36" s="111"/>
      <c r="N36" s="111"/>
    </row>
    <row r="37" spans="1:15" x14ac:dyDescent="0.2">
      <c r="A37" s="106">
        <v>2011</v>
      </c>
      <c r="B37" s="115">
        <v>79</v>
      </c>
      <c r="C37" s="115">
        <v>137</v>
      </c>
      <c r="D37" s="115">
        <v>31</v>
      </c>
      <c r="E37" s="115">
        <v>93</v>
      </c>
      <c r="F37" s="115">
        <v>16</v>
      </c>
      <c r="G37" s="115">
        <f t="shared" si="1"/>
        <v>277</v>
      </c>
      <c r="H37" s="115">
        <f>'Master escapements'!B44</f>
        <v>517</v>
      </c>
      <c r="I37" s="115">
        <f t="shared" si="2"/>
        <v>794</v>
      </c>
      <c r="L37" s="111"/>
      <c r="M37" s="111"/>
      <c r="N37" s="111"/>
    </row>
    <row r="38" spans="1:15" x14ac:dyDescent="0.2">
      <c r="A38" s="106">
        <v>2012</v>
      </c>
      <c r="B38" s="115">
        <v>65</v>
      </c>
      <c r="C38" s="115">
        <v>212</v>
      </c>
      <c r="D38" s="115">
        <v>4</v>
      </c>
      <c r="E38" s="115">
        <v>7</v>
      </c>
      <c r="F38" s="115">
        <v>17</v>
      </c>
      <c r="G38" s="115">
        <f t="shared" si="1"/>
        <v>240</v>
      </c>
      <c r="H38" s="115">
        <f>'Master escapements'!B45</f>
        <v>837</v>
      </c>
      <c r="I38" s="115">
        <f t="shared" si="2"/>
        <v>1077</v>
      </c>
      <c r="L38" s="111"/>
      <c r="M38" s="111"/>
      <c r="N38" s="111"/>
      <c r="O38" s="351"/>
    </row>
    <row r="39" spans="1:15" x14ac:dyDescent="0.2">
      <c r="A39" s="106">
        <v>2013</v>
      </c>
      <c r="B39" s="115">
        <v>128</v>
      </c>
      <c r="C39" s="115">
        <v>406</v>
      </c>
      <c r="D39" s="115">
        <v>28</v>
      </c>
      <c r="E39" s="115">
        <v>69</v>
      </c>
      <c r="F39" s="115">
        <v>27</v>
      </c>
      <c r="G39" s="115">
        <f t="shared" si="1"/>
        <v>530</v>
      </c>
      <c r="H39" s="115">
        <f>'Master escapements'!B46</f>
        <v>736</v>
      </c>
      <c r="I39" s="115">
        <f t="shared" si="2"/>
        <v>1266</v>
      </c>
      <c r="L39" s="111"/>
      <c r="M39" s="111"/>
      <c r="N39" s="111"/>
      <c r="O39" s="351"/>
    </row>
    <row r="40" spans="1:15" x14ac:dyDescent="0.2">
      <c r="A40" s="106">
        <v>2014</v>
      </c>
      <c r="B40" s="115">
        <v>86</v>
      </c>
      <c r="C40" s="115">
        <v>265</v>
      </c>
      <c r="D40" s="115">
        <v>0</v>
      </c>
      <c r="E40" s="115">
        <v>107</v>
      </c>
      <c r="F40" s="115">
        <v>21</v>
      </c>
      <c r="G40" s="115">
        <f t="shared" si="1"/>
        <v>393</v>
      </c>
      <c r="H40" s="115">
        <f>'Master escapements'!B47</f>
        <v>1533</v>
      </c>
      <c r="I40" s="115">
        <f t="shared" si="2"/>
        <v>1926</v>
      </c>
      <c r="L40" s="111"/>
      <c r="M40" s="111"/>
      <c r="N40" s="111"/>
      <c r="O40" s="351"/>
    </row>
    <row r="41" spans="1:15" x14ac:dyDescent="0.2">
      <c r="A41" s="106">
        <v>2015</v>
      </c>
      <c r="B41" s="115">
        <v>44</v>
      </c>
      <c r="C41" s="115">
        <v>140</v>
      </c>
      <c r="D41" s="115">
        <v>2</v>
      </c>
      <c r="E41" s="115">
        <v>14</v>
      </c>
      <c r="F41" s="115">
        <v>17</v>
      </c>
      <c r="G41" s="115">
        <f t="shared" si="1"/>
        <v>173</v>
      </c>
      <c r="H41" s="115">
        <f>'Master escapements'!B48</f>
        <v>517</v>
      </c>
      <c r="I41" s="115">
        <f t="shared" si="2"/>
        <v>690</v>
      </c>
      <c r="L41" s="111"/>
      <c r="M41" s="111"/>
      <c r="N41" s="111"/>
      <c r="O41" s="351"/>
    </row>
    <row r="42" spans="1:15" s="351" customFormat="1" x14ac:dyDescent="0.2">
      <c r="A42" s="422">
        <v>2016</v>
      </c>
      <c r="B42" s="423">
        <v>22</v>
      </c>
      <c r="C42" s="423">
        <v>20</v>
      </c>
      <c r="D42" s="423">
        <v>0</v>
      </c>
      <c r="E42" s="423">
        <v>49</v>
      </c>
      <c r="F42" s="423">
        <v>0</v>
      </c>
      <c r="G42" s="423">
        <f t="shared" ref="G42" si="3">SUM(C42:F42)</f>
        <v>69</v>
      </c>
      <c r="H42" s="115">
        <f>'Master escapements'!B49</f>
        <v>204</v>
      </c>
      <c r="I42" s="423">
        <f t="shared" ref="I42" si="4">SUM(G42:H42)</f>
        <v>273</v>
      </c>
      <c r="K42" s="111">
        <f>C42</f>
        <v>20</v>
      </c>
      <c r="L42" s="111">
        <f>SUM(D42:F42)</f>
        <v>49</v>
      </c>
      <c r="M42" s="111"/>
      <c r="N42" s="111"/>
    </row>
    <row r="43" spans="1:15" x14ac:dyDescent="0.2">
      <c r="A43" s="422">
        <v>2017</v>
      </c>
      <c r="B43" s="423">
        <v>39</v>
      </c>
      <c r="C43" s="423">
        <v>163</v>
      </c>
      <c r="D43" s="423">
        <v>0</v>
      </c>
      <c r="E43" s="423">
        <v>19</v>
      </c>
      <c r="F43" s="423">
        <v>14</v>
      </c>
      <c r="G43" s="423">
        <f t="shared" si="1"/>
        <v>196</v>
      </c>
      <c r="H43" s="115">
        <v>283</v>
      </c>
      <c r="I43" s="423">
        <f t="shared" si="2"/>
        <v>479</v>
      </c>
      <c r="K43" s="111">
        <f>C43</f>
        <v>163</v>
      </c>
      <c r="L43" s="111">
        <f>SUM(D43:F43)</f>
        <v>33</v>
      </c>
      <c r="M43" s="111"/>
      <c r="N43" s="111"/>
      <c r="O43" s="351"/>
    </row>
    <row r="44" spans="1:15" x14ac:dyDescent="0.2">
      <c r="A44" s="114" t="s">
        <v>32</v>
      </c>
      <c r="B44" s="113"/>
      <c r="C44" s="112">
        <f>AVERAGE(C6:C43)</f>
        <v>325.60526315789474</v>
      </c>
      <c r="D44" s="112">
        <f t="shared" ref="D44:I44" si="5">AVERAGE(D6:D43)</f>
        <v>16.157894736842106</v>
      </c>
      <c r="E44" s="112">
        <f t="shared" si="5"/>
        <v>63.236842105263158</v>
      </c>
      <c r="F44" s="112">
        <f t="shared" si="5"/>
        <v>35.421052631578945</v>
      </c>
      <c r="G44" s="112">
        <f t="shared" si="5"/>
        <v>440.42105263157896</v>
      </c>
      <c r="H44" s="112">
        <f t="shared" si="5"/>
        <v>675.84210526315792</v>
      </c>
      <c r="I44" s="112">
        <f t="shared" si="5"/>
        <v>1116.2631578947369</v>
      </c>
      <c r="O44" s="351"/>
    </row>
    <row r="45" spans="1:15" x14ac:dyDescent="0.2">
      <c r="A45" s="506" t="s">
        <v>412</v>
      </c>
      <c r="C45" s="423">
        <v>65</v>
      </c>
      <c r="D45" s="423">
        <v>0</v>
      </c>
      <c r="E45" s="423">
        <v>105</v>
      </c>
      <c r="F45" s="423">
        <v>18</v>
      </c>
      <c r="G45" s="423">
        <f t="shared" ref="G45" si="6">SUM(C45:F45)</f>
        <v>188</v>
      </c>
      <c r="H45" s="115">
        <v>146</v>
      </c>
      <c r="I45" s="423">
        <f t="shared" ref="I45" si="7">SUM(G45:H45)</f>
        <v>334</v>
      </c>
      <c r="O45" s="351"/>
    </row>
    <row r="46" spans="1:15" ht="6" customHeight="1" x14ac:dyDescent="0.2">
      <c r="O46" s="351"/>
    </row>
    <row r="47" spans="1:15" ht="15.75" x14ac:dyDescent="0.25">
      <c r="A47" s="107" t="s">
        <v>66</v>
      </c>
      <c r="B47" s="110"/>
      <c r="O47" s="351"/>
    </row>
    <row r="48" spans="1:15" ht="15.75" x14ac:dyDescent="0.25">
      <c r="A48" s="107"/>
      <c r="B48" s="110"/>
      <c r="O48"/>
    </row>
    <row r="49" spans="1:12" ht="15.75" x14ac:dyDescent="0.25">
      <c r="A49" s="109"/>
      <c r="B49" s="108" t="s">
        <v>33</v>
      </c>
      <c r="C49" s="98"/>
      <c r="D49" s="98"/>
      <c r="E49" s="98"/>
      <c r="F49" s="99" t="s">
        <v>65</v>
      </c>
      <c r="G49" s="98"/>
      <c r="H49" s="98"/>
      <c r="I49" s="98"/>
      <c r="L49" s="107"/>
    </row>
    <row r="50" spans="1:12" x14ac:dyDescent="0.2">
      <c r="A50" s="106" t="s">
        <v>64</v>
      </c>
      <c r="B50" s="105" t="s">
        <v>63</v>
      </c>
      <c r="C50" s="106"/>
      <c r="D50" s="106"/>
      <c r="E50" s="105" t="s">
        <v>38</v>
      </c>
      <c r="F50" s="106"/>
      <c r="G50" s="105" t="s">
        <v>26</v>
      </c>
      <c r="H50" s="106"/>
      <c r="I50" s="105" t="s">
        <v>27</v>
      </c>
    </row>
    <row r="51" spans="1:12" x14ac:dyDescent="0.2">
      <c r="A51" s="104" t="s">
        <v>62</v>
      </c>
      <c r="B51" s="104" t="s">
        <v>61</v>
      </c>
      <c r="C51" s="104" t="s">
        <v>4</v>
      </c>
      <c r="D51" s="104" t="s">
        <v>60</v>
      </c>
      <c r="E51" s="104" t="s">
        <v>16</v>
      </c>
      <c r="F51" s="104" t="s">
        <v>17</v>
      </c>
      <c r="G51" s="104" t="s">
        <v>23</v>
      </c>
      <c r="H51" s="104" t="s">
        <v>5</v>
      </c>
      <c r="I51" s="104" t="s">
        <v>24</v>
      </c>
    </row>
    <row r="52" spans="1:12" x14ac:dyDescent="0.2">
      <c r="A52" s="103">
        <v>1980</v>
      </c>
      <c r="B52" s="115">
        <f>B6</f>
        <v>15</v>
      </c>
      <c r="C52" s="101">
        <f t="shared" ref="C52:I61" si="8">C6/$I6*100</f>
        <v>13.47926267281106</v>
      </c>
      <c r="D52" s="101">
        <f t="shared" si="8"/>
        <v>0</v>
      </c>
      <c r="E52" s="101">
        <f t="shared" si="8"/>
        <v>3.3410138248847927</v>
      </c>
      <c r="F52" s="100">
        <f t="shared" si="8"/>
        <v>2.7649769585253456</v>
      </c>
      <c r="G52" s="100">
        <f t="shared" si="8"/>
        <v>19.585253456221199</v>
      </c>
      <c r="H52" s="100">
        <f t="shared" si="8"/>
        <v>80.414746543778804</v>
      </c>
      <c r="I52" s="100">
        <f t="shared" si="8"/>
        <v>100</v>
      </c>
    </row>
    <row r="53" spans="1:12" x14ac:dyDescent="0.2">
      <c r="A53" s="103">
        <v>1981</v>
      </c>
      <c r="B53" s="115">
        <f t="shared" ref="B53:B89" si="9">B7</f>
        <v>70</v>
      </c>
      <c r="C53" s="101">
        <f t="shared" si="8"/>
        <v>28.688524590163933</v>
      </c>
      <c r="D53" s="101">
        <f t="shared" si="8"/>
        <v>0</v>
      </c>
      <c r="E53" s="101">
        <f t="shared" si="8"/>
        <v>3.1762295081967213</v>
      </c>
      <c r="F53" s="100">
        <f t="shared" si="8"/>
        <v>1.9467213114754098</v>
      </c>
      <c r="G53" s="100">
        <f t="shared" si="8"/>
        <v>33.811475409836063</v>
      </c>
      <c r="H53" s="100">
        <f t="shared" si="8"/>
        <v>66.188524590163937</v>
      </c>
      <c r="I53" s="100">
        <f t="shared" si="8"/>
        <v>100</v>
      </c>
    </row>
    <row r="54" spans="1:12" x14ac:dyDescent="0.2">
      <c r="A54" s="103">
        <v>1982</v>
      </c>
      <c r="B54" s="115">
        <f t="shared" si="9"/>
        <v>45</v>
      </c>
      <c r="C54" s="101">
        <f t="shared" si="8"/>
        <v>20.162381596752368</v>
      </c>
      <c r="D54" s="101">
        <f t="shared" si="8"/>
        <v>15.832205683355886</v>
      </c>
      <c r="E54" s="101">
        <f t="shared" si="8"/>
        <v>3.247631935047361</v>
      </c>
      <c r="F54" s="100">
        <f t="shared" si="8"/>
        <v>0.2706359945872801</v>
      </c>
      <c r="G54" s="100">
        <f t="shared" si="8"/>
        <v>39.512855209742895</v>
      </c>
      <c r="H54" s="100">
        <f t="shared" si="8"/>
        <v>60.487144790257105</v>
      </c>
      <c r="I54" s="100">
        <f t="shared" si="8"/>
        <v>100</v>
      </c>
      <c r="L54" s="95">
        <f>SUM(C54:E54)</f>
        <v>39.242219215155615</v>
      </c>
    </row>
    <row r="55" spans="1:12" x14ac:dyDescent="0.2">
      <c r="A55" s="103">
        <v>1983</v>
      </c>
      <c r="B55" s="115">
        <f t="shared" si="9"/>
        <v>129</v>
      </c>
      <c r="C55" s="101">
        <f t="shared" si="8"/>
        <v>31.073446327683619</v>
      </c>
      <c r="D55" s="101">
        <f t="shared" si="8"/>
        <v>0.80710250201775613</v>
      </c>
      <c r="E55" s="101">
        <f t="shared" si="8"/>
        <v>2.2598870056497176</v>
      </c>
      <c r="F55" s="100">
        <f t="shared" si="8"/>
        <v>9.846650524616626</v>
      </c>
      <c r="G55" s="100">
        <f t="shared" si="8"/>
        <v>43.987086359967712</v>
      </c>
      <c r="H55" s="100">
        <f t="shared" si="8"/>
        <v>56.012913640032281</v>
      </c>
      <c r="I55" s="100">
        <f t="shared" si="8"/>
        <v>100</v>
      </c>
      <c r="L55" s="95">
        <f t="shared" ref="L55:L91" si="10">SUM(C55:E55)</f>
        <v>34.140435835351091</v>
      </c>
    </row>
    <row r="56" spans="1:12" x14ac:dyDescent="0.2">
      <c r="A56" s="103">
        <v>1984</v>
      </c>
      <c r="B56" s="115">
        <f t="shared" si="9"/>
        <v>124</v>
      </c>
      <c r="C56" s="101">
        <f t="shared" si="8"/>
        <v>33.972602739726028</v>
      </c>
      <c r="D56" s="101">
        <f t="shared" si="8"/>
        <v>0.73059360730593603</v>
      </c>
      <c r="E56" s="101">
        <f t="shared" si="8"/>
        <v>1.1872146118721461</v>
      </c>
      <c r="F56" s="100">
        <f t="shared" si="8"/>
        <v>4.6575342465753424</v>
      </c>
      <c r="G56" s="100">
        <f t="shared" si="8"/>
        <v>40.547945205479451</v>
      </c>
      <c r="H56" s="100">
        <f t="shared" si="8"/>
        <v>59.452054794520549</v>
      </c>
      <c r="I56" s="100">
        <f t="shared" si="8"/>
        <v>100</v>
      </c>
      <c r="J56" s="95">
        <f>AVERAGE(C52:C56)</f>
        <v>25.475243585427403</v>
      </c>
      <c r="L56" s="95">
        <f t="shared" si="10"/>
        <v>35.890410958904106</v>
      </c>
    </row>
    <row r="57" spans="1:12" x14ac:dyDescent="0.2">
      <c r="A57" s="103">
        <v>1985</v>
      </c>
      <c r="B57" s="115">
        <f t="shared" si="9"/>
        <v>177</v>
      </c>
      <c r="C57" s="101">
        <f t="shared" si="8"/>
        <v>35.294117647058826</v>
      </c>
      <c r="D57" s="101">
        <f t="shared" si="8"/>
        <v>0.17825311942959002</v>
      </c>
      <c r="E57" s="101">
        <f t="shared" si="8"/>
        <v>4.2186571598336302</v>
      </c>
      <c r="F57" s="100">
        <f t="shared" si="8"/>
        <v>4.3374925727866911</v>
      </c>
      <c r="G57" s="100">
        <f t="shared" si="8"/>
        <v>44.028520499108737</v>
      </c>
      <c r="H57" s="100">
        <f t="shared" si="8"/>
        <v>55.971479500891263</v>
      </c>
      <c r="I57" s="100">
        <f t="shared" si="8"/>
        <v>100</v>
      </c>
      <c r="J57" s="95">
        <f t="shared" ref="J57:J89" si="11">AVERAGE(C53:C57)</f>
        <v>29.838214580276951</v>
      </c>
      <c r="L57" s="95">
        <f t="shared" si="10"/>
        <v>39.69102792632205</v>
      </c>
    </row>
    <row r="58" spans="1:12" x14ac:dyDescent="0.2">
      <c r="A58" s="103">
        <v>1986</v>
      </c>
      <c r="B58" s="115">
        <f t="shared" si="9"/>
        <v>110</v>
      </c>
      <c r="C58" s="101">
        <f t="shared" si="8"/>
        <v>43.223819301848046</v>
      </c>
      <c r="D58" s="101">
        <f t="shared" si="8"/>
        <v>0.20533880903490762</v>
      </c>
      <c r="E58" s="101">
        <f t="shared" si="8"/>
        <v>6.1601642710472273</v>
      </c>
      <c r="F58" s="100">
        <f t="shared" si="8"/>
        <v>3.7987679671457908</v>
      </c>
      <c r="G58" s="100">
        <f t="shared" si="8"/>
        <v>53.388090349075981</v>
      </c>
      <c r="H58" s="100">
        <f t="shared" si="8"/>
        <v>46.611909650924026</v>
      </c>
      <c r="I58" s="100">
        <f t="shared" si="8"/>
        <v>100</v>
      </c>
      <c r="J58" s="95">
        <f t="shared" si="11"/>
        <v>32.745273522613779</v>
      </c>
      <c r="L58" s="95">
        <f t="shared" si="10"/>
        <v>49.589322381930181</v>
      </c>
    </row>
    <row r="59" spans="1:12" x14ac:dyDescent="0.2">
      <c r="A59" s="103">
        <v>1987</v>
      </c>
      <c r="B59" s="115">
        <f t="shared" si="9"/>
        <v>145</v>
      </c>
      <c r="C59" s="101">
        <f t="shared" si="8"/>
        <v>37.150127226463106</v>
      </c>
      <c r="D59" s="101">
        <f t="shared" si="8"/>
        <v>0.16963528413910092</v>
      </c>
      <c r="E59" s="101">
        <f t="shared" si="8"/>
        <v>4.0712468193384224</v>
      </c>
      <c r="F59" s="100">
        <f t="shared" si="8"/>
        <v>1.9508057675996608</v>
      </c>
      <c r="G59" s="100">
        <f t="shared" si="8"/>
        <v>43.341815097540284</v>
      </c>
      <c r="H59" s="100">
        <f t="shared" si="8"/>
        <v>56.658184902459709</v>
      </c>
      <c r="I59" s="100">
        <f t="shared" si="8"/>
        <v>100</v>
      </c>
      <c r="J59" s="95">
        <f t="shared" si="11"/>
        <v>36.142822648555928</v>
      </c>
      <c r="L59" s="95">
        <f t="shared" si="10"/>
        <v>41.391009329940623</v>
      </c>
    </row>
    <row r="60" spans="1:12" x14ac:dyDescent="0.2">
      <c r="A60" s="103">
        <v>1988</v>
      </c>
      <c r="B60" s="115">
        <f t="shared" si="9"/>
        <v>145</v>
      </c>
      <c r="C60" s="101">
        <f t="shared" si="8"/>
        <v>25.478767693588679</v>
      </c>
      <c r="D60" s="101">
        <f t="shared" si="8"/>
        <v>0.99916736053288924</v>
      </c>
      <c r="E60" s="101">
        <f t="shared" si="8"/>
        <v>5.9950041631973354</v>
      </c>
      <c r="F60" s="100">
        <f t="shared" si="8"/>
        <v>4.5795170691090759</v>
      </c>
      <c r="G60" s="100">
        <f t="shared" si="8"/>
        <v>37.052456286427976</v>
      </c>
      <c r="H60" s="100">
        <f t="shared" si="8"/>
        <v>62.947543713572017</v>
      </c>
      <c r="I60" s="100">
        <f t="shared" si="8"/>
        <v>100</v>
      </c>
      <c r="J60" s="95">
        <f t="shared" si="11"/>
        <v>35.023886921736938</v>
      </c>
      <c r="L60" s="95">
        <f>SUM(C60:E60)</f>
        <v>32.472939217318903</v>
      </c>
    </row>
    <row r="61" spans="1:12" x14ac:dyDescent="0.2">
      <c r="A61" s="103">
        <v>1989</v>
      </c>
      <c r="B61" s="115">
        <f t="shared" si="9"/>
        <v>182</v>
      </c>
      <c r="C61" s="101">
        <f t="shared" si="8"/>
        <v>48.191681735985533</v>
      </c>
      <c r="D61" s="101">
        <f t="shared" si="8"/>
        <v>0.63291139240506333</v>
      </c>
      <c r="E61" s="101">
        <f t="shared" si="8"/>
        <v>1.3562386980108498</v>
      </c>
      <c r="F61" s="100">
        <f t="shared" si="8"/>
        <v>4.4303797468354427</v>
      </c>
      <c r="G61" s="100">
        <f t="shared" si="8"/>
        <v>54.611211573236893</v>
      </c>
      <c r="H61" s="100">
        <f t="shared" si="8"/>
        <v>45.388788426763114</v>
      </c>
      <c r="I61" s="100">
        <f t="shared" si="8"/>
        <v>100</v>
      </c>
      <c r="J61" s="95">
        <f t="shared" si="11"/>
        <v>37.867702720988838</v>
      </c>
      <c r="K61" s="95">
        <f>AVERAGE(C52:C61)</f>
        <v>31.671473153208119</v>
      </c>
      <c r="L61" s="95">
        <f t="shared" si="10"/>
        <v>50.180831826401445</v>
      </c>
    </row>
    <row r="62" spans="1:12" x14ac:dyDescent="0.2">
      <c r="A62" s="103">
        <v>1990</v>
      </c>
      <c r="B62" s="115">
        <f t="shared" si="9"/>
        <v>168</v>
      </c>
      <c r="C62" s="101">
        <f t="shared" ref="C62:I71" si="12">C16/$I16*100</f>
        <v>42.847503373819166</v>
      </c>
      <c r="D62" s="101">
        <f t="shared" si="12"/>
        <v>1.0121457489878543</v>
      </c>
      <c r="E62" s="101">
        <f t="shared" si="12"/>
        <v>3.8461538461538463</v>
      </c>
      <c r="F62" s="100">
        <f t="shared" si="12"/>
        <v>5.2631578947368416</v>
      </c>
      <c r="G62" s="100">
        <f t="shared" si="12"/>
        <v>52.968960863697703</v>
      </c>
      <c r="H62" s="100">
        <f t="shared" si="12"/>
        <v>47.031039136302297</v>
      </c>
      <c r="I62" s="100">
        <f t="shared" si="12"/>
        <v>100</v>
      </c>
      <c r="J62" s="432">
        <f>AVERAGE(C58:C62)</f>
        <v>39.378379866340907</v>
      </c>
      <c r="K62" s="95">
        <f t="shared" ref="K62:K89" si="13">AVERAGE(C53:C62)</f>
        <v>34.608297223308924</v>
      </c>
      <c r="L62" s="95">
        <f t="shared" si="10"/>
        <v>47.705802968960867</v>
      </c>
    </row>
    <row r="63" spans="1:12" x14ac:dyDescent="0.2">
      <c r="A63" s="103">
        <v>1991</v>
      </c>
      <c r="B63" s="115">
        <f t="shared" si="9"/>
        <v>47</v>
      </c>
      <c r="C63" s="101">
        <f t="shared" si="12"/>
        <v>16.963528413910094</v>
      </c>
      <c r="D63" s="101">
        <f t="shared" si="12"/>
        <v>0.67854113655640369</v>
      </c>
      <c r="E63" s="101">
        <f t="shared" si="12"/>
        <v>12.892281594571669</v>
      </c>
      <c r="F63" s="100">
        <f t="shared" si="12"/>
        <v>0.93299406276505514</v>
      </c>
      <c r="G63" s="100">
        <f t="shared" si="12"/>
        <v>31.46734520780322</v>
      </c>
      <c r="H63" s="100">
        <f t="shared" si="12"/>
        <v>68.53265479219678</v>
      </c>
      <c r="I63" s="100">
        <f t="shared" si="12"/>
        <v>100</v>
      </c>
      <c r="J63" s="95">
        <f t="shared" si="11"/>
        <v>34.126321688753315</v>
      </c>
      <c r="K63" s="95">
        <f t="shared" si="13"/>
        <v>33.435797605683547</v>
      </c>
      <c r="L63" s="95">
        <f t="shared" si="10"/>
        <v>30.534351145038165</v>
      </c>
    </row>
    <row r="64" spans="1:12" x14ac:dyDescent="0.2">
      <c r="A64" s="103">
        <v>1992</v>
      </c>
      <c r="B64" s="115">
        <f t="shared" si="9"/>
        <v>53</v>
      </c>
      <c r="C64" s="101">
        <f t="shared" si="12"/>
        <v>32.159999999999997</v>
      </c>
      <c r="D64" s="101">
        <f t="shared" si="12"/>
        <v>0.53333333333333333</v>
      </c>
      <c r="E64" s="101">
        <f t="shared" si="12"/>
        <v>10.453333333333333</v>
      </c>
      <c r="F64" s="100">
        <f t="shared" si="12"/>
        <v>2.4533333333333336</v>
      </c>
      <c r="G64" s="100">
        <f t="shared" si="12"/>
        <v>45.6</v>
      </c>
      <c r="H64" s="100">
        <f t="shared" si="12"/>
        <v>54.400000000000006</v>
      </c>
      <c r="I64" s="100">
        <f t="shared" si="12"/>
        <v>100</v>
      </c>
      <c r="J64" s="95">
        <f t="shared" si="11"/>
        <v>33.128296243460696</v>
      </c>
      <c r="K64" s="95">
        <f t="shared" si="13"/>
        <v>34.635559446008315</v>
      </c>
      <c r="L64" s="95">
        <f t="shared" si="10"/>
        <v>43.146666666666661</v>
      </c>
    </row>
    <row r="65" spans="1:13" x14ac:dyDescent="0.2">
      <c r="A65" s="103">
        <v>1993</v>
      </c>
      <c r="B65" s="115">
        <f t="shared" si="9"/>
        <v>169</v>
      </c>
      <c r="C65" s="101">
        <f t="shared" si="12"/>
        <v>38.451856513530522</v>
      </c>
      <c r="D65" s="101">
        <f t="shared" si="12"/>
        <v>0.50346129641283832</v>
      </c>
      <c r="E65" s="101">
        <f t="shared" si="12"/>
        <v>5.78980490874764</v>
      </c>
      <c r="F65" s="100">
        <f t="shared" si="12"/>
        <v>1.195720578980491</v>
      </c>
      <c r="G65" s="100">
        <f t="shared" si="12"/>
        <v>45.940843297671492</v>
      </c>
      <c r="H65" s="100">
        <f t="shared" si="12"/>
        <v>54.059156702328501</v>
      </c>
      <c r="I65" s="100">
        <f t="shared" si="12"/>
        <v>100</v>
      </c>
      <c r="J65" s="95">
        <f t="shared" si="11"/>
        <v>35.722914007449063</v>
      </c>
      <c r="K65" s="95">
        <f t="shared" si="13"/>
        <v>35.373400464592997</v>
      </c>
      <c r="L65" s="95">
        <f t="shared" si="10"/>
        <v>44.745122718691</v>
      </c>
    </row>
    <row r="66" spans="1:13" x14ac:dyDescent="0.2">
      <c r="A66" s="103">
        <v>1994</v>
      </c>
      <c r="B66" s="115">
        <f t="shared" si="9"/>
        <v>330</v>
      </c>
      <c r="C66" s="101">
        <f t="shared" si="12"/>
        <v>34.828150572831426</v>
      </c>
      <c r="D66" s="101">
        <f t="shared" si="12"/>
        <v>7.3322422258592468</v>
      </c>
      <c r="E66" s="101">
        <f t="shared" si="12"/>
        <v>7.1358428805237324</v>
      </c>
      <c r="F66" s="100">
        <f t="shared" si="12"/>
        <v>3.6661211129296234</v>
      </c>
      <c r="G66" s="100">
        <f t="shared" si="12"/>
        <v>52.962356792144028</v>
      </c>
      <c r="H66" s="100">
        <f t="shared" si="12"/>
        <v>47.037643207855972</v>
      </c>
      <c r="I66" s="100">
        <f t="shared" si="12"/>
        <v>100</v>
      </c>
      <c r="J66" s="95">
        <f t="shared" si="11"/>
        <v>33.05020777481824</v>
      </c>
      <c r="K66" s="432">
        <f>AVERAGE(C57:C66)</f>
        <v>35.458955247903539</v>
      </c>
      <c r="L66" s="95">
        <f t="shared" si="10"/>
        <v>49.296235679214405</v>
      </c>
    </row>
    <row r="67" spans="1:13" x14ac:dyDescent="0.2">
      <c r="A67" s="103">
        <v>1995</v>
      </c>
      <c r="B67" s="115">
        <f t="shared" si="9"/>
        <v>82</v>
      </c>
      <c r="C67" s="101">
        <f t="shared" si="12"/>
        <v>32.195121951219512</v>
      </c>
      <c r="D67" s="101">
        <f t="shared" si="12"/>
        <v>0.6097560975609756</v>
      </c>
      <c r="E67" s="101">
        <f t="shared" si="12"/>
        <v>7.9268292682926829</v>
      </c>
      <c r="F67" s="100">
        <f t="shared" si="12"/>
        <v>3.1707317073170733</v>
      </c>
      <c r="G67" s="100">
        <f t="shared" si="12"/>
        <v>43.902439024390247</v>
      </c>
      <c r="H67" s="100">
        <f t="shared" si="12"/>
        <v>56.09756097560976</v>
      </c>
      <c r="I67" s="100">
        <f t="shared" si="12"/>
        <v>100</v>
      </c>
      <c r="J67" s="95">
        <f t="shared" si="11"/>
        <v>30.919731490298307</v>
      </c>
      <c r="K67" s="95">
        <f t="shared" si="13"/>
        <v>35.149055678319613</v>
      </c>
      <c r="L67" s="95">
        <f t="shared" si="10"/>
        <v>40.731707317073173</v>
      </c>
    </row>
    <row r="68" spans="1:13" x14ac:dyDescent="0.2">
      <c r="A68" s="103">
        <v>1996</v>
      </c>
      <c r="B68" s="115">
        <f t="shared" si="9"/>
        <v>160</v>
      </c>
      <c r="C68" s="101">
        <f t="shared" si="12"/>
        <v>39.08851884312007</v>
      </c>
      <c r="D68" s="101">
        <f t="shared" si="12"/>
        <v>0.9640666082383873</v>
      </c>
      <c r="E68" s="101">
        <f t="shared" si="12"/>
        <v>11.656441717791409</v>
      </c>
      <c r="F68" s="100">
        <f t="shared" si="12"/>
        <v>3.1551270815074495</v>
      </c>
      <c r="G68" s="100">
        <f t="shared" si="12"/>
        <v>54.864154250657315</v>
      </c>
      <c r="H68" s="100">
        <f t="shared" si="12"/>
        <v>45.135845749342685</v>
      </c>
      <c r="I68" s="100">
        <f t="shared" si="12"/>
        <v>100</v>
      </c>
      <c r="J68" s="95">
        <f t="shared" si="11"/>
        <v>35.344729576140296</v>
      </c>
      <c r="K68" s="95">
        <f t="shared" si="13"/>
        <v>34.735525632446809</v>
      </c>
      <c r="L68" s="95">
        <f t="shared" si="10"/>
        <v>51.70902716914987</v>
      </c>
    </row>
    <row r="69" spans="1:13" x14ac:dyDescent="0.2">
      <c r="A69" s="102">
        <v>1997</v>
      </c>
      <c r="B69" s="115">
        <f t="shared" si="9"/>
        <v>43</v>
      </c>
      <c r="C69" s="101">
        <f t="shared" si="12"/>
        <v>12.417437252311757</v>
      </c>
      <c r="D69" s="101">
        <f t="shared" si="12"/>
        <v>0.52840158520475566</v>
      </c>
      <c r="E69" s="101">
        <f t="shared" si="12"/>
        <v>0</v>
      </c>
      <c r="F69" s="100">
        <f t="shared" si="12"/>
        <v>6.6050198150594461</v>
      </c>
      <c r="G69" s="100">
        <f t="shared" si="12"/>
        <v>19.550858652575958</v>
      </c>
      <c r="H69" s="100">
        <f t="shared" si="12"/>
        <v>80.449141347424046</v>
      </c>
      <c r="I69" s="100">
        <f t="shared" si="12"/>
        <v>100</v>
      </c>
      <c r="J69" s="95">
        <f t="shared" si="11"/>
        <v>31.396217026602653</v>
      </c>
      <c r="K69" s="95">
        <f t="shared" si="13"/>
        <v>32.262256635031676</v>
      </c>
      <c r="L69" s="95">
        <f t="shared" si="10"/>
        <v>12.945838837516513</v>
      </c>
    </row>
    <row r="70" spans="1:13" x14ac:dyDescent="0.2">
      <c r="A70" s="102">
        <v>1998</v>
      </c>
      <c r="B70" s="115">
        <f t="shared" si="9"/>
        <v>157</v>
      </c>
      <c r="C70" s="101">
        <f t="shared" si="12"/>
        <v>30.927105449398447</v>
      </c>
      <c r="D70" s="101">
        <f t="shared" si="12"/>
        <v>1.203113941967445</v>
      </c>
      <c r="E70" s="101">
        <f t="shared" si="12"/>
        <v>3.043170559094126</v>
      </c>
      <c r="F70" s="100">
        <f t="shared" si="12"/>
        <v>3.8216560509554141</v>
      </c>
      <c r="G70" s="100">
        <f t="shared" si="12"/>
        <v>38.995046001415432</v>
      </c>
      <c r="H70" s="100">
        <f t="shared" si="12"/>
        <v>61.004953998584575</v>
      </c>
      <c r="I70" s="100">
        <f t="shared" si="12"/>
        <v>100</v>
      </c>
      <c r="J70" s="95">
        <f t="shared" si="11"/>
        <v>29.891266813776241</v>
      </c>
      <c r="K70" s="95">
        <f t="shared" si="13"/>
        <v>32.807090410612645</v>
      </c>
      <c r="L70" s="95">
        <f t="shared" si="10"/>
        <v>35.17338995046002</v>
      </c>
      <c r="M70" s="533">
        <f>E70/(+H70)*100</f>
        <v>4.9883990719257536</v>
      </c>
    </row>
    <row r="71" spans="1:13" x14ac:dyDescent="0.2">
      <c r="A71" s="102">
        <v>1999</v>
      </c>
      <c r="B71" s="115">
        <f t="shared" si="9"/>
        <v>160</v>
      </c>
      <c r="C71" s="101">
        <f t="shared" si="12"/>
        <v>33.797909407665507</v>
      </c>
      <c r="D71" s="101">
        <f t="shared" si="12"/>
        <v>0.34843205574912894</v>
      </c>
      <c r="E71" s="101">
        <f t="shared" si="12"/>
        <v>4.0418118466898951</v>
      </c>
      <c r="F71" s="100">
        <f t="shared" si="12"/>
        <v>2.9268292682926833</v>
      </c>
      <c r="G71" s="100">
        <f t="shared" si="12"/>
        <v>41.11498257839721</v>
      </c>
      <c r="H71" s="100">
        <f t="shared" si="12"/>
        <v>58.88501742160279</v>
      </c>
      <c r="I71" s="100">
        <f t="shared" si="12"/>
        <v>100</v>
      </c>
      <c r="J71" s="95">
        <f t="shared" si="11"/>
        <v>29.685218580743062</v>
      </c>
      <c r="K71" s="95">
        <f t="shared" si="13"/>
        <v>31.367713177780644</v>
      </c>
      <c r="L71" s="95">
        <f t="shared" si="10"/>
        <v>38.188153310104532</v>
      </c>
      <c r="M71" s="95">
        <f t="shared" ref="M71:M89" si="14">E71/(+H71)*100</f>
        <v>6.8639053254437865</v>
      </c>
    </row>
    <row r="72" spans="1:13" x14ac:dyDescent="0.2">
      <c r="A72" s="102">
        <v>2000</v>
      </c>
      <c r="B72" s="115">
        <f t="shared" si="9"/>
        <v>103</v>
      </c>
      <c r="C72" s="101">
        <f t="shared" ref="C72:I81" si="15">C26/$I26*100</f>
        <v>23.52941176470588</v>
      </c>
      <c r="D72" s="101">
        <f t="shared" si="15"/>
        <v>0.61919504643962853</v>
      </c>
      <c r="E72" s="101">
        <f t="shared" si="15"/>
        <v>2.3735810113519094</v>
      </c>
      <c r="F72" s="100">
        <f t="shared" si="15"/>
        <v>2.9927760577915374</v>
      </c>
      <c r="G72" s="100">
        <f t="shared" si="15"/>
        <v>29.51496388028896</v>
      </c>
      <c r="H72" s="100">
        <f t="shared" si="15"/>
        <v>70.48503611971104</v>
      </c>
      <c r="I72" s="100">
        <f t="shared" si="15"/>
        <v>100</v>
      </c>
      <c r="J72" s="95">
        <f t="shared" si="11"/>
        <v>27.952076543440334</v>
      </c>
      <c r="K72" s="95">
        <f t="shared" si="13"/>
        <v>29.435904016869319</v>
      </c>
      <c r="L72" s="95">
        <f t="shared" si="10"/>
        <v>26.522187822497418</v>
      </c>
      <c r="M72" s="533">
        <f t="shared" si="14"/>
        <v>3.3674963396778916</v>
      </c>
    </row>
    <row r="73" spans="1:13" x14ac:dyDescent="0.2">
      <c r="A73" s="102">
        <v>2001</v>
      </c>
      <c r="B73" s="115">
        <f t="shared" si="9"/>
        <v>149</v>
      </c>
      <c r="C73" s="101">
        <f t="shared" si="15"/>
        <v>30.938833570412516</v>
      </c>
      <c r="D73" s="101">
        <f t="shared" si="15"/>
        <v>0.71123755334281646</v>
      </c>
      <c r="E73" s="101">
        <f t="shared" si="15"/>
        <v>2.9160739687055477</v>
      </c>
      <c r="F73" s="100">
        <f t="shared" si="15"/>
        <v>3.9118065433854912</v>
      </c>
      <c r="G73" s="100">
        <f t="shared" si="15"/>
        <v>38.477951635846374</v>
      </c>
      <c r="H73" s="100">
        <f t="shared" si="15"/>
        <v>61.522048364153626</v>
      </c>
      <c r="I73" s="100">
        <f t="shared" si="15"/>
        <v>100</v>
      </c>
      <c r="J73" s="95">
        <f t="shared" si="11"/>
        <v>26.322139488898824</v>
      </c>
      <c r="K73" s="95">
        <f t="shared" si="13"/>
        <v>30.833434532519554</v>
      </c>
      <c r="L73" s="95">
        <f t="shared" si="10"/>
        <v>34.566145092460879</v>
      </c>
      <c r="M73" s="95">
        <f t="shared" si="14"/>
        <v>4.7398843930635843</v>
      </c>
    </row>
    <row r="74" spans="1:13" x14ac:dyDescent="0.2">
      <c r="A74" s="102">
        <v>2002</v>
      </c>
      <c r="B74" s="115">
        <f t="shared" si="9"/>
        <v>125</v>
      </c>
      <c r="C74" s="101">
        <f t="shared" si="15"/>
        <v>18</v>
      </c>
      <c r="D74" s="101">
        <f t="shared" si="15"/>
        <v>0.5</v>
      </c>
      <c r="E74" s="101">
        <f t="shared" si="15"/>
        <v>4.8125</v>
      </c>
      <c r="F74" s="100">
        <f t="shared" si="15"/>
        <v>3.1875</v>
      </c>
      <c r="G74" s="100">
        <f t="shared" si="15"/>
        <v>26.5</v>
      </c>
      <c r="H74" s="100">
        <f t="shared" si="15"/>
        <v>73.5</v>
      </c>
      <c r="I74" s="100">
        <f t="shared" si="15"/>
        <v>100</v>
      </c>
      <c r="J74" s="95">
        <f t="shared" si="11"/>
        <v>27.438652038436469</v>
      </c>
      <c r="K74" s="95">
        <f t="shared" si="13"/>
        <v>29.417434532519565</v>
      </c>
      <c r="L74" s="95">
        <f t="shared" si="10"/>
        <v>23.3125</v>
      </c>
      <c r="M74" s="533">
        <f t="shared" si="14"/>
        <v>6.5476190476190483</v>
      </c>
    </row>
    <row r="75" spans="1:13" x14ac:dyDescent="0.2">
      <c r="A75" s="102">
        <v>2003</v>
      </c>
      <c r="B75" s="115">
        <f t="shared" si="9"/>
        <v>97</v>
      </c>
      <c r="C75" s="101">
        <f t="shared" si="15"/>
        <v>23.340707964601769</v>
      </c>
      <c r="D75" s="101">
        <f t="shared" si="15"/>
        <v>0.44247787610619471</v>
      </c>
      <c r="E75" s="101">
        <f t="shared" si="15"/>
        <v>6.5265486725663724</v>
      </c>
      <c r="F75" s="100">
        <f t="shared" si="15"/>
        <v>4.9778761061946906</v>
      </c>
      <c r="G75" s="100">
        <f t="shared" si="15"/>
        <v>35.287610619469028</v>
      </c>
      <c r="H75" s="100">
        <f t="shared" si="15"/>
        <v>64.712389380530979</v>
      </c>
      <c r="I75" s="100">
        <f t="shared" si="15"/>
        <v>100</v>
      </c>
      <c r="J75" s="95">
        <f t="shared" si="11"/>
        <v>25.921372541477133</v>
      </c>
      <c r="K75" s="95">
        <f t="shared" si="13"/>
        <v>27.906319677626691</v>
      </c>
      <c r="L75" s="95">
        <f t="shared" si="10"/>
        <v>30.309734513274336</v>
      </c>
      <c r="M75" s="95">
        <f t="shared" si="14"/>
        <v>10.085470085470085</v>
      </c>
    </row>
    <row r="76" spans="1:13" x14ac:dyDescent="0.2">
      <c r="A76" s="102">
        <v>2004</v>
      </c>
      <c r="B76" s="115">
        <f t="shared" si="9"/>
        <v>62</v>
      </c>
      <c r="C76" s="101">
        <f t="shared" si="15"/>
        <v>26.604278074866311</v>
      </c>
      <c r="D76" s="101">
        <f t="shared" si="15"/>
        <v>6.2834224598930479</v>
      </c>
      <c r="E76" s="101">
        <f t="shared" si="15"/>
        <v>9.4919786096256686</v>
      </c>
      <c r="F76" s="100">
        <f t="shared" si="15"/>
        <v>2.0053475935828877</v>
      </c>
      <c r="G76" s="100">
        <f t="shared" si="15"/>
        <v>44.385026737967912</v>
      </c>
      <c r="H76" s="100">
        <f t="shared" si="15"/>
        <v>55.614973262032088</v>
      </c>
      <c r="I76" s="100">
        <f t="shared" si="15"/>
        <v>100</v>
      </c>
      <c r="J76" s="95">
        <f t="shared" si="11"/>
        <v>24.482646274917297</v>
      </c>
      <c r="K76" s="95">
        <f t="shared" si="13"/>
        <v>27.083932427830177</v>
      </c>
      <c r="L76" s="95">
        <f t="shared" si="10"/>
        <v>42.37967914438503</v>
      </c>
      <c r="M76" s="533">
        <f t="shared" si="14"/>
        <v>17.067307692307693</v>
      </c>
    </row>
    <row r="77" spans="1:13" x14ac:dyDescent="0.2">
      <c r="A77" s="102">
        <v>2005</v>
      </c>
      <c r="B77" s="115">
        <f t="shared" si="9"/>
        <v>66</v>
      </c>
      <c r="C77" s="101">
        <f t="shared" si="15"/>
        <v>33.012379642365886</v>
      </c>
      <c r="D77" s="101">
        <f t="shared" si="15"/>
        <v>0</v>
      </c>
      <c r="E77" s="101">
        <f t="shared" si="15"/>
        <v>0.82530949105914708</v>
      </c>
      <c r="F77" s="100">
        <f t="shared" si="15"/>
        <v>4.2640990371389274</v>
      </c>
      <c r="G77" s="100">
        <f t="shared" si="15"/>
        <v>38.101788170563964</v>
      </c>
      <c r="H77" s="100">
        <f t="shared" si="15"/>
        <v>61.898211829436036</v>
      </c>
      <c r="I77" s="100">
        <f t="shared" si="15"/>
        <v>100</v>
      </c>
      <c r="J77" s="95">
        <f t="shared" si="11"/>
        <v>26.379239850449302</v>
      </c>
      <c r="K77" s="95">
        <f t="shared" si="13"/>
        <v>27.165658196944815</v>
      </c>
      <c r="L77" s="95">
        <f t="shared" si="10"/>
        <v>33.83768913342503</v>
      </c>
      <c r="M77" s="95">
        <f t="shared" si="14"/>
        <v>1.3333333333333333</v>
      </c>
    </row>
    <row r="78" spans="1:13" x14ac:dyDescent="0.2">
      <c r="A78" s="102">
        <v>2006</v>
      </c>
      <c r="B78" s="115">
        <f t="shared" si="9"/>
        <v>80</v>
      </c>
      <c r="C78" s="101">
        <f t="shared" si="15"/>
        <v>22.272727272727273</v>
      </c>
      <c r="D78" s="101">
        <f t="shared" si="15"/>
        <v>0</v>
      </c>
      <c r="E78" s="101">
        <f t="shared" si="15"/>
        <v>8.75</v>
      </c>
      <c r="F78" s="100">
        <f t="shared" si="15"/>
        <v>2.9545454545454546</v>
      </c>
      <c r="G78" s="100">
        <f t="shared" si="15"/>
        <v>33.977272727272727</v>
      </c>
      <c r="H78" s="100">
        <f t="shared" si="15"/>
        <v>66.02272727272728</v>
      </c>
      <c r="I78" s="100">
        <f t="shared" si="15"/>
        <v>100</v>
      </c>
      <c r="J78" s="95">
        <f t="shared" si="11"/>
        <v>24.646018590912245</v>
      </c>
      <c r="K78" s="95">
        <f t="shared" si="13"/>
        <v>25.484079039905534</v>
      </c>
      <c r="L78" s="95">
        <f t="shared" si="10"/>
        <v>31.022727272727273</v>
      </c>
      <c r="M78" s="533">
        <f t="shared" si="14"/>
        <v>13.253012048192769</v>
      </c>
    </row>
    <row r="79" spans="1:13" x14ac:dyDescent="0.2">
      <c r="A79" s="102">
        <v>2007</v>
      </c>
      <c r="B79" s="115">
        <f t="shared" si="9"/>
        <v>47</v>
      </c>
      <c r="C79" s="101">
        <f t="shared" si="15"/>
        <v>25</v>
      </c>
      <c r="D79" s="101">
        <f t="shared" si="15"/>
        <v>1.1194029850746268</v>
      </c>
      <c r="E79" s="101">
        <f t="shared" si="15"/>
        <v>5.5970149253731343</v>
      </c>
      <c r="F79" s="100">
        <f t="shared" si="15"/>
        <v>2.6119402985074625</v>
      </c>
      <c r="G79" s="100">
        <f t="shared" si="15"/>
        <v>34.328358208955223</v>
      </c>
      <c r="H79" s="100">
        <f t="shared" si="15"/>
        <v>65.671641791044777</v>
      </c>
      <c r="I79" s="100">
        <f t="shared" si="15"/>
        <v>100</v>
      </c>
      <c r="J79" s="95">
        <f t="shared" si="11"/>
        <v>26.046018590912247</v>
      </c>
      <c r="K79" s="95">
        <f t="shared" si="13"/>
        <v>26.742335314674357</v>
      </c>
      <c r="L79" s="95">
        <f t="shared" si="10"/>
        <v>31.71641791044776</v>
      </c>
      <c r="M79" s="95">
        <f t="shared" si="14"/>
        <v>8.5227272727272716</v>
      </c>
    </row>
    <row r="80" spans="1:13" x14ac:dyDescent="0.2">
      <c r="A80" s="102">
        <v>2008</v>
      </c>
      <c r="B80" s="115">
        <f t="shared" si="9"/>
        <v>105</v>
      </c>
      <c r="C80" s="101">
        <f t="shared" si="15"/>
        <v>29.887410440122824</v>
      </c>
      <c r="D80" s="101">
        <f t="shared" si="15"/>
        <v>0</v>
      </c>
      <c r="E80" s="101">
        <f t="shared" si="15"/>
        <v>7.7789150460593648</v>
      </c>
      <c r="F80" s="100">
        <f t="shared" si="15"/>
        <v>0.92118730808597749</v>
      </c>
      <c r="G80" s="100">
        <f t="shared" si="15"/>
        <v>38.587512794268171</v>
      </c>
      <c r="H80" s="100">
        <f t="shared" si="15"/>
        <v>61.412487205731836</v>
      </c>
      <c r="I80" s="100">
        <f t="shared" si="15"/>
        <v>100</v>
      </c>
      <c r="J80" s="95">
        <f t="shared" si="11"/>
        <v>27.35535908601646</v>
      </c>
      <c r="K80" s="95">
        <f t="shared" si="13"/>
        <v>26.638365813746795</v>
      </c>
      <c r="L80" s="95">
        <f t="shared" si="10"/>
        <v>37.666325486182188</v>
      </c>
      <c r="M80" s="533">
        <f t="shared" si="14"/>
        <v>12.666666666666664</v>
      </c>
    </row>
    <row r="81" spans="1:14" x14ac:dyDescent="0.2">
      <c r="A81" s="102">
        <v>2009</v>
      </c>
      <c r="B81" s="115">
        <f t="shared" si="9"/>
        <v>75</v>
      </c>
      <c r="C81" s="101">
        <f t="shared" si="15"/>
        <v>30.185497470489036</v>
      </c>
      <c r="D81" s="101">
        <f t="shared" si="15"/>
        <v>0</v>
      </c>
      <c r="E81" s="101">
        <f t="shared" si="15"/>
        <v>7.75716694772344</v>
      </c>
      <c r="F81" s="100">
        <f t="shared" si="15"/>
        <v>1.3490725126475547</v>
      </c>
      <c r="G81" s="100">
        <f t="shared" si="15"/>
        <v>39.291736930860033</v>
      </c>
      <c r="H81" s="100">
        <f t="shared" si="15"/>
        <v>60.708263069139967</v>
      </c>
      <c r="I81" s="100">
        <f t="shared" si="15"/>
        <v>100</v>
      </c>
      <c r="J81" s="95">
        <f t="shared" si="11"/>
        <v>28.071602965141004</v>
      </c>
      <c r="K81" s="95">
        <f t="shared" si="13"/>
        <v>26.277124620029149</v>
      </c>
      <c r="L81" s="95">
        <f t="shared" si="10"/>
        <v>37.942664418212473</v>
      </c>
      <c r="M81" s="95">
        <f t="shared" si="14"/>
        <v>12.777777777777777</v>
      </c>
    </row>
    <row r="82" spans="1:14" x14ac:dyDescent="0.2">
      <c r="A82" s="102">
        <v>2010</v>
      </c>
      <c r="B82" s="115">
        <f t="shared" si="9"/>
        <v>86</v>
      </c>
      <c r="C82" s="101">
        <f t="shared" ref="C82:I87" si="16">C36/$I36*100</f>
        <v>25.293350717079534</v>
      </c>
      <c r="D82" s="101">
        <f t="shared" si="16"/>
        <v>0</v>
      </c>
      <c r="E82" s="101">
        <f t="shared" si="16"/>
        <v>17.470664928292045</v>
      </c>
      <c r="F82" s="100">
        <f t="shared" si="16"/>
        <v>2.8683181225554106</v>
      </c>
      <c r="G82" s="100">
        <f t="shared" si="16"/>
        <v>45.632333767926987</v>
      </c>
      <c r="H82" s="100">
        <f t="shared" si="16"/>
        <v>54.367666232073006</v>
      </c>
      <c r="I82" s="100">
        <f t="shared" si="16"/>
        <v>100</v>
      </c>
      <c r="J82" s="95">
        <f t="shared" si="11"/>
        <v>26.527797180083734</v>
      </c>
      <c r="K82" s="95">
        <f t="shared" si="13"/>
        <v>26.453518515266516</v>
      </c>
      <c r="L82" s="95">
        <f t="shared" si="10"/>
        <v>42.764015645371579</v>
      </c>
      <c r="M82" s="533">
        <f t="shared" si="14"/>
        <v>32.134292565947241</v>
      </c>
    </row>
    <row r="83" spans="1:14" x14ac:dyDescent="0.2">
      <c r="A83" s="102">
        <v>2011</v>
      </c>
      <c r="B83" s="115">
        <f t="shared" si="9"/>
        <v>79</v>
      </c>
      <c r="C83" s="101">
        <f t="shared" si="16"/>
        <v>17.2544080604534</v>
      </c>
      <c r="D83" s="101">
        <f t="shared" si="16"/>
        <v>3.9042821158690177</v>
      </c>
      <c r="E83" s="101">
        <f t="shared" si="16"/>
        <v>11.712846347607053</v>
      </c>
      <c r="F83" s="100">
        <f t="shared" si="16"/>
        <v>2.0151133501259446</v>
      </c>
      <c r="G83" s="100">
        <f t="shared" si="16"/>
        <v>34.886649874055415</v>
      </c>
      <c r="H83" s="100">
        <f t="shared" si="16"/>
        <v>65.113350125944578</v>
      </c>
      <c r="I83" s="100">
        <f t="shared" si="16"/>
        <v>100</v>
      </c>
      <c r="J83" s="95">
        <f t="shared" si="11"/>
        <v>25.52413333762896</v>
      </c>
      <c r="K83" s="95">
        <f t="shared" si="13"/>
        <v>25.085075964270601</v>
      </c>
      <c r="L83" s="95">
        <f t="shared" si="10"/>
        <v>32.871536523929471</v>
      </c>
      <c r="M83" s="95">
        <f t="shared" si="14"/>
        <v>17.988394584139268</v>
      </c>
    </row>
    <row r="84" spans="1:14" x14ac:dyDescent="0.2">
      <c r="A84" s="102">
        <v>2012</v>
      </c>
      <c r="B84" s="115">
        <f t="shared" si="9"/>
        <v>65</v>
      </c>
      <c r="C84" s="101">
        <f t="shared" si="16"/>
        <v>19.684308263695449</v>
      </c>
      <c r="D84" s="101">
        <f t="shared" si="16"/>
        <v>0.37140204271123489</v>
      </c>
      <c r="E84" s="101">
        <f t="shared" si="16"/>
        <v>0.64995357474466109</v>
      </c>
      <c r="F84" s="100">
        <f t="shared" si="16"/>
        <v>1.5784586815227482</v>
      </c>
      <c r="G84" s="100">
        <f t="shared" si="16"/>
        <v>22.284122562674096</v>
      </c>
      <c r="H84" s="100">
        <f t="shared" si="16"/>
        <v>77.715877437325915</v>
      </c>
      <c r="I84" s="100">
        <f t="shared" si="16"/>
        <v>100</v>
      </c>
      <c r="J84" s="95">
        <f t="shared" si="11"/>
        <v>24.46099499036805</v>
      </c>
      <c r="K84" s="95">
        <f t="shared" si="13"/>
        <v>25.253506790640145</v>
      </c>
      <c r="L84" s="95">
        <f t="shared" si="10"/>
        <v>20.705663881151345</v>
      </c>
      <c r="M84" s="533">
        <f t="shared" si="14"/>
        <v>0.83632019115890077</v>
      </c>
    </row>
    <row r="85" spans="1:14" x14ac:dyDescent="0.2">
      <c r="A85" s="102">
        <v>2013</v>
      </c>
      <c r="B85" s="115">
        <f t="shared" si="9"/>
        <v>128</v>
      </c>
      <c r="C85" s="101">
        <f t="shared" si="16"/>
        <v>32.069510268562404</v>
      </c>
      <c r="D85" s="101">
        <f t="shared" si="16"/>
        <v>2.2116903633491312</v>
      </c>
      <c r="E85" s="101">
        <f t="shared" si="16"/>
        <v>5.4502369668246446</v>
      </c>
      <c r="F85" s="100">
        <f t="shared" si="16"/>
        <v>2.1327014218009479</v>
      </c>
      <c r="G85" s="100">
        <f t="shared" si="16"/>
        <v>41.864139020537124</v>
      </c>
      <c r="H85" s="100">
        <f t="shared" si="16"/>
        <v>58.135860979462869</v>
      </c>
      <c r="I85" s="100">
        <f t="shared" si="16"/>
        <v>100</v>
      </c>
      <c r="J85" s="95">
        <f t="shared" si="11"/>
        <v>24.897414956055961</v>
      </c>
      <c r="K85" s="95">
        <f t="shared" si="13"/>
        <v>26.126387021036216</v>
      </c>
      <c r="L85" s="95">
        <f t="shared" si="10"/>
        <v>39.731437598736179</v>
      </c>
      <c r="M85" s="95">
        <f t="shared" si="14"/>
        <v>9.3750000000000018</v>
      </c>
    </row>
    <row r="86" spans="1:14" x14ac:dyDescent="0.2">
      <c r="A86" s="102">
        <v>2014</v>
      </c>
      <c r="B86" s="115">
        <f t="shared" si="9"/>
        <v>86</v>
      </c>
      <c r="C86" s="101">
        <f t="shared" si="16"/>
        <v>13.759086188992731</v>
      </c>
      <c r="D86" s="101">
        <f t="shared" si="16"/>
        <v>0</v>
      </c>
      <c r="E86" s="101">
        <f t="shared" si="16"/>
        <v>5.5555555555555554</v>
      </c>
      <c r="F86" s="100">
        <f t="shared" si="16"/>
        <v>1.0903426791277258</v>
      </c>
      <c r="G86" s="100">
        <f t="shared" si="16"/>
        <v>20.404984423676012</v>
      </c>
      <c r="H86" s="100">
        <f t="shared" si="16"/>
        <v>79.595015576323988</v>
      </c>
      <c r="I86" s="100">
        <f t="shared" si="16"/>
        <v>100</v>
      </c>
      <c r="J86" s="95">
        <f t="shared" si="11"/>
        <v>21.612132699756703</v>
      </c>
      <c r="K86" s="95">
        <f t="shared" si="13"/>
        <v>24.841867832448852</v>
      </c>
      <c r="L86" s="95">
        <f t="shared" si="10"/>
        <v>19.314641744548286</v>
      </c>
      <c r="M86" s="533">
        <f t="shared" si="14"/>
        <v>6.9797782126549244</v>
      </c>
    </row>
    <row r="87" spans="1:14" x14ac:dyDescent="0.2">
      <c r="A87" s="102">
        <v>2015</v>
      </c>
      <c r="B87" s="115">
        <f t="shared" si="9"/>
        <v>44</v>
      </c>
      <c r="C87" s="101">
        <f t="shared" si="16"/>
        <v>20.289855072463769</v>
      </c>
      <c r="D87" s="101">
        <f t="shared" si="16"/>
        <v>0.28985507246376813</v>
      </c>
      <c r="E87" s="101">
        <f t="shared" si="16"/>
        <v>2.0289855072463765</v>
      </c>
      <c r="F87" s="100">
        <f t="shared" si="16"/>
        <v>2.4637681159420293</v>
      </c>
      <c r="G87" s="100">
        <f t="shared" si="16"/>
        <v>25.072463768115945</v>
      </c>
      <c r="H87" s="100">
        <f t="shared" si="16"/>
        <v>74.927536231884062</v>
      </c>
      <c r="I87" s="100">
        <f t="shared" si="16"/>
        <v>100</v>
      </c>
      <c r="J87" s="95">
        <f t="shared" si="11"/>
        <v>20.611433570833547</v>
      </c>
      <c r="K87" s="95">
        <f t="shared" si="13"/>
        <v>23.569615375458643</v>
      </c>
      <c r="L87" s="95">
        <f t="shared" si="10"/>
        <v>22.608695652173914</v>
      </c>
      <c r="M87" s="95">
        <f t="shared" si="14"/>
        <v>2.7079303675048347</v>
      </c>
    </row>
    <row r="88" spans="1:14" x14ac:dyDescent="0.2">
      <c r="A88" s="102">
        <v>2016</v>
      </c>
      <c r="B88" s="115">
        <f t="shared" si="9"/>
        <v>22</v>
      </c>
      <c r="C88" s="101">
        <f t="shared" ref="C88:I88" si="17">C42/$I42*100</f>
        <v>7.3260073260073266</v>
      </c>
      <c r="D88" s="101">
        <f t="shared" si="17"/>
        <v>0</v>
      </c>
      <c r="E88" s="101">
        <f t="shared" si="17"/>
        <v>17.948717948717949</v>
      </c>
      <c r="F88" s="100">
        <f t="shared" si="17"/>
        <v>0</v>
      </c>
      <c r="G88" s="100">
        <f t="shared" si="17"/>
        <v>25.274725274725274</v>
      </c>
      <c r="H88" s="100">
        <f t="shared" si="17"/>
        <v>74.72527472527473</v>
      </c>
      <c r="I88" s="100">
        <f t="shared" si="17"/>
        <v>100</v>
      </c>
      <c r="J88" s="95">
        <f t="shared" si="11"/>
        <v>18.625753423944335</v>
      </c>
      <c r="K88" s="95">
        <f t="shared" si="13"/>
        <v>22.07494338078665</v>
      </c>
      <c r="L88" s="95">
        <f t="shared" si="10"/>
        <v>25.274725274725277</v>
      </c>
      <c r="M88" s="533">
        <f t="shared" si="14"/>
        <v>24.019607843137251</v>
      </c>
      <c r="N88" s="95"/>
    </row>
    <row r="89" spans="1:14" x14ac:dyDescent="0.2">
      <c r="A89" s="102">
        <v>2017</v>
      </c>
      <c r="B89" s="115">
        <f t="shared" si="9"/>
        <v>39</v>
      </c>
      <c r="C89" s="101">
        <f t="shared" ref="C89:I91" si="18">C43/$I43*100</f>
        <v>34.029227557411275</v>
      </c>
      <c r="D89" s="101">
        <f t="shared" si="18"/>
        <v>0</v>
      </c>
      <c r="E89" s="101">
        <f t="shared" si="18"/>
        <v>3.9665970772442591</v>
      </c>
      <c r="F89" s="100">
        <f t="shared" si="18"/>
        <v>2.9227557411273484</v>
      </c>
      <c r="G89" s="100">
        <f t="shared" si="18"/>
        <v>40.918580375782881</v>
      </c>
      <c r="H89" s="100">
        <f t="shared" si="18"/>
        <v>59.081419624217126</v>
      </c>
      <c r="I89" s="100">
        <f t="shared" si="18"/>
        <v>100</v>
      </c>
      <c r="J89" s="95">
        <f t="shared" si="11"/>
        <v>21.494737282687502</v>
      </c>
      <c r="K89" s="95">
        <f t="shared" si="13"/>
        <v>22.977866136527776</v>
      </c>
      <c r="L89" s="95">
        <f t="shared" si="10"/>
        <v>37.995824634655534</v>
      </c>
      <c r="M89" s="95">
        <f t="shared" si="14"/>
        <v>6.713780918727914</v>
      </c>
    </row>
    <row r="90" spans="1:14" x14ac:dyDescent="0.2">
      <c r="A90" s="99" t="s">
        <v>32</v>
      </c>
      <c r="B90" s="98"/>
      <c r="C90" s="97">
        <f>AVERAGE(C52:C89)</f>
        <v>27.970233235916979</v>
      </c>
      <c r="D90" s="97">
        <f t="shared" ref="D90:F90" si="19">AVERAGE(D52:D89)</f>
        <v>1.3084649290352885</v>
      </c>
      <c r="E90" s="97">
        <f t="shared" si="19"/>
        <v>5.8792527508150956</v>
      </c>
      <c r="F90" s="96">
        <f t="shared" si="19"/>
        <v>3.0532047918214786</v>
      </c>
      <c r="G90" s="96">
        <f>AVERAGE(G52:G89)</f>
        <v>38.211155707588837</v>
      </c>
      <c r="H90" s="96">
        <f t="shared" ref="H90:I90" si="20">AVERAGE(H52:H89)</f>
        <v>61.788844292411149</v>
      </c>
      <c r="I90" s="96">
        <f t="shared" si="20"/>
        <v>100</v>
      </c>
      <c r="J90" s="95"/>
    </row>
    <row r="91" spans="1:14" x14ac:dyDescent="0.2">
      <c r="C91" s="101">
        <f t="shared" si="18"/>
        <v>19.461077844311379</v>
      </c>
      <c r="D91" s="101">
        <f t="shared" si="18"/>
        <v>0</v>
      </c>
      <c r="E91" s="101">
        <f t="shared" si="18"/>
        <v>31.437125748502993</v>
      </c>
      <c r="F91" s="100">
        <f t="shared" si="18"/>
        <v>5.3892215568862278</v>
      </c>
      <c r="G91" s="100">
        <f t="shared" si="18"/>
        <v>56.287425149700596</v>
      </c>
      <c r="H91" s="100">
        <f t="shared" si="18"/>
        <v>43.712574850299404</v>
      </c>
      <c r="I91" s="100">
        <f t="shared" si="18"/>
        <v>100</v>
      </c>
      <c r="L91" s="95">
        <f t="shared" si="10"/>
        <v>50.898203592814369</v>
      </c>
    </row>
    <row r="92" spans="1:14" x14ac:dyDescent="0.2">
      <c r="E92" s="95">
        <f>AVERAGE(E65:E88)</f>
        <v>6.5516646117746804</v>
      </c>
    </row>
    <row r="93" spans="1:14" x14ac:dyDescent="0.2">
      <c r="C93" s="95">
        <f>AVERAGE(C80:C89)</f>
        <v>22.977866136527776</v>
      </c>
    </row>
    <row r="94" spans="1:14" x14ac:dyDescent="0.2">
      <c r="C94" s="94">
        <f>(C80+C82+C84+C86+C88)/5</f>
        <v>19.190032587179573</v>
      </c>
      <c r="E94" s="351">
        <f>(E80+E82+E84+E86+E88)/5</f>
        <v>9.8807614106739159</v>
      </c>
      <c r="G94" s="94">
        <f>C94/E94</f>
        <v>1.9421613162776208</v>
      </c>
    </row>
    <row r="95" spans="1:14" x14ac:dyDescent="0.2">
      <c r="C95" s="351">
        <f>(C81+C83+C85+C87+C89)/5</f>
        <v>26.765699685875973</v>
      </c>
      <c r="D95" s="351"/>
      <c r="E95" s="351">
        <f>(E81+E83+E85+E87+E89)/5</f>
        <v>6.1831665693291544</v>
      </c>
      <c r="G95" s="351">
        <f>C95/E95</f>
        <v>4.3288013327417003</v>
      </c>
    </row>
    <row r="97" spans="3:3" x14ac:dyDescent="0.2">
      <c r="C97" s="95"/>
    </row>
  </sheetData>
  <pageMargins left="1.45" right="0.75" top="1" bottom="1" header="0.5" footer="0.5"/>
  <pageSetup orientation="portrait"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1"/>
  <sheetViews>
    <sheetView showGridLines="0" topLeftCell="A46" workbookViewId="0">
      <selection activeCell="A96" sqref="A96"/>
    </sheetView>
  </sheetViews>
  <sheetFormatPr defaultRowHeight="12.75" x14ac:dyDescent="0.2"/>
  <sheetData>
    <row r="1" spans="1:31" x14ac:dyDescent="0.2">
      <c r="A1" s="11"/>
      <c r="B1" s="11"/>
      <c r="C1" s="11"/>
      <c r="D1" s="11"/>
      <c r="E1" s="11"/>
      <c r="F1" s="11"/>
      <c r="G1" s="11"/>
      <c r="H1" s="11"/>
      <c r="I1" s="11"/>
      <c r="J1" s="11"/>
      <c r="K1" s="11"/>
      <c r="T1" s="11"/>
      <c r="U1" s="11"/>
      <c r="V1" s="11"/>
      <c r="W1" s="11"/>
      <c r="X1" s="11"/>
      <c r="Y1" s="11"/>
      <c r="Z1" s="11"/>
      <c r="AA1" s="11"/>
      <c r="AB1" s="11"/>
      <c r="AC1" s="11"/>
      <c r="AD1" s="11"/>
      <c r="AE1" s="11"/>
    </row>
    <row r="2" spans="1:31" x14ac:dyDescent="0.2">
      <c r="A2" s="11"/>
      <c r="B2" s="11"/>
      <c r="C2" s="11"/>
      <c r="D2" s="11"/>
      <c r="E2" s="11"/>
      <c r="F2" s="11"/>
      <c r="G2" s="11"/>
      <c r="H2" s="11"/>
      <c r="I2" s="11"/>
      <c r="J2" s="11"/>
      <c r="K2" s="11"/>
      <c r="T2" s="11"/>
      <c r="U2" s="11"/>
      <c r="V2" s="11"/>
      <c r="W2" s="11"/>
      <c r="X2" s="11"/>
      <c r="Y2" s="11"/>
      <c r="Z2" s="11"/>
      <c r="AA2" s="11"/>
      <c r="AB2" s="11"/>
      <c r="AC2" s="11"/>
      <c r="AD2" s="11"/>
      <c r="AE2" s="11"/>
    </row>
    <row r="3" spans="1:31" x14ac:dyDescent="0.2">
      <c r="A3" s="11"/>
      <c r="B3" s="11"/>
      <c r="C3" s="11"/>
      <c r="D3" s="11"/>
      <c r="E3" s="11"/>
      <c r="F3" s="11"/>
      <c r="G3" s="11"/>
      <c r="H3" s="11"/>
      <c r="I3" s="11"/>
      <c r="J3" s="11"/>
      <c r="K3" s="11"/>
      <c r="T3" s="11"/>
      <c r="U3" s="11"/>
      <c r="V3" s="11"/>
      <c r="W3" s="11"/>
      <c r="X3" s="11"/>
      <c r="Y3" s="11"/>
      <c r="Z3" s="11"/>
      <c r="AA3" s="11"/>
      <c r="AB3" s="11"/>
      <c r="AC3" s="11"/>
      <c r="AD3" s="11"/>
      <c r="AE3" s="11"/>
    </row>
    <row r="4" spans="1:31" x14ac:dyDescent="0.2">
      <c r="A4" s="11"/>
      <c r="B4" s="11"/>
      <c r="C4" s="11"/>
      <c r="D4" s="11"/>
      <c r="E4" s="11"/>
      <c r="F4" s="11"/>
      <c r="G4" s="11"/>
      <c r="H4" s="11"/>
      <c r="I4" s="11"/>
      <c r="J4" s="11"/>
      <c r="K4" s="11"/>
      <c r="T4" s="11"/>
      <c r="U4" s="11"/>
      <c r="V4" s="11"/>
      <c r="W4" s="11"/>
      <c r="X4" s="11"/>
      <c r="Y4" s="11"/>
      <c r="Z4" s="11"/>
      <c r="AA4" s="11"/>
      <c r="AB4" s="11"/>
      <c r="AC4" s="11"/>
      <c r="AD4" s="11"/>
      <c r="AE4" s="11"/>
    </row>
    <row r="5" spans="1:31" x14ac:dyDescent="0.2">
      <c r="A5" s="11"/>
      <c r="B5" s="11"/>
      <c r="C5" s="11"/>
      <c r="D5" s="11"/>
      <c r="E5" s="11"/>
      <c r="F5" s="11"/>
      <c r="G5" s="11"/>
      <c r="H5" s="11"/>
      <c r="I5" s="11"/>
      <c r="J5" s="11"/>
      <c r="K5" s="11"/>
      <c r="T5" s="11"/>
      <c r="U5" s="11"/>
      <c r="V5" s="11"/>
      <c r="W5" s="11"/>
      <c r="X5" s="11"/>
      <c r="Y5" s="11"/>
      <c r="Z5" s="11"/>
      <c r="AA5" s="11"/>
      <c r="AB5" s="11"/>
      <c r="AC5" s="11"/>
      <c r="AD5" s="11"/>
      <c r="AE5" s="11"/>
    </row>
    <row r="6" spans="1:31" x14ac:dyDescent="0.2">
      <c r="A6" s="11"/>
      <c r="B6" s="11"/>
      <c r="C6" s="11"/>
      <c r="D6" s="11"/>
      <c r="E6" s="11"/>
      <c r="F6" s="11"/>
      <c r="G6" s="11"/>
      <c r="H6" s="11"/>
      <c r="I6" s="11"/>
      <c r="J6" s="11"/>
      <c r="K6" s="11"/>
      <c r="T6" s="11"/>
      <c r="U6" s="11"/>
      <c r="V6" s="11"/>
      <c r="W6" s="11"/>
      <c r="X6" s="11"/>
      <c r="Y6" s="11"/>
      <c r="Z6" s="11"/>
      <c r="AA6" s="11"/>
      <c r="AB6" s="11"/>
      <c r="AC6" s="11"/>
      <c r="AD6" s="11"/>
      <c r="AE6" s="11"/>
    </row>
    <row r="7" spans="1:31" x14ac:dyDescent="0.2">
      <c r="A7" s="11"/>
      <c r="B7" s="11"/>
      <c r="C7" s="11"/>
      <c r="D7" s="11"/>
      <c r="E7" s="11"/>
      <c r="F7" s="11"/>
      <c r="G7" s="11"/>
      <c r="H7" s="11"/>
      <c r="I7" s="11"/>
      <c r="J7" s="11"/>
      <c r="K7" s="11"/>
      <c r="T7" s="11"/>
      <c r="U7" s="11"/>
      <c r="V7" s="11"/>
      <c r="W7" s="11"/>
      <c r="X7" s="11"/>
      <c r="Y7" s="11"/>
      <c r="Z7" s="11"/>
      <c r="AA7" s="11"/>
      <c r="AB7" s="11"/>
      <c r="AC7" s="11"/>
      <c r="AD7" s="11"/>
      <c r="AE7" s="11"/>
    </row>
    <row r="8" spans="1:31" x14ac:dyDescent="0.2">
      <c r="A8" s="11"/>
      <c r="B8" s="11"/>
      <c r="C8" s="11"/>
      <c r="D8" s="11"/>
      <c r="E8" s="11"/>
      <c r="F8" s="11"/>
      <c r="G8" s="11"/>
      <c r="H8" s="11"/>
      <c r="I8" s="11"/>
      <c r="J8" s="11"/>
      <c r="K8" s="11"/>
      <c r="T8" s="11"/>
      <c r="U8" s="11"/>
      <c r="V8" s="11"/>
      <c r="W8" s="11"/>
      <c r="X8" s="11"/>
      <c r="Y8" s="11"/>
      <c r="Z8" s="11"/>
      <c r="AA8" s="11"/>
      <c r="AB8" s="11"/>
      <c r="AC8" s="11"/>
      <c r="AD8" s="11"/>
      <c r="AE8" s="11"/>
    </row>
    <row r="9" spans="1:31" x14ac:dyDescent="0.2">
      <c r="A9" s="11"/>
      <c r="B9" s="11"/>
      <c r="C9" s="11"/>
      <c r="D9" s="11"/>
      <c r="E9" s="11"/>
      <c r="F9" s="11"/>
      <c r="G9" s="11"/>
      <c r="H9" s="11"/>
      <c r="I9" s="11"/>
      <c r="J9" s="11"/>
      <c r="K9" s="11"/>
      <c r="T9" s="11"/>
      <c r="U9" s="11"/>
      <c r="V9" s="11"/>
      <c r="W9" s="11"/>
      <c r="X9" s="11"/>
      <c r="Y9" s="11"/>
      <c r="Z9" s="11"/>
      <c r="AA9" s="11"/>
      <c r="AB9" s="11"/>
      <c r="AC9" s="11"/>
      <c r="AD9" s="11"/>
      <c r="AE9" s="11"/>
    </row>
    <row r="10" spans="1:31" x14ac:dyDescent="0.2">
      <c r="A10" s="11"/>
      <c r="B10" s="11"/>
      <c r="C10" s="11"/>
      <c r="D10" s="11"/>
      <c r="E10" s="11"/>
      <c r="F10" s="11"/>
      <c r="G10" s="11"/>
      <c r="H10" s="11"/>
      <c r="I10" s="11"/>
      <c r="J10" s="11"/>
      <c r="K10" s="11"/>
      <c r="T10" s="11"/>
      <c r="U10" s="11"/>
      <c r="V10" s="11"/>
      <c r="W10" s="11"/>
      <c r="X10" s="11"/>
      <c r="Y10" s="11"/>
      <c r="Z10" s="11"/>
      <c r="AA10" s="11"/>
      <c r="AB10" s="11"/>
      <c r="AC10" s="11"/>
      <c r="AD10" s="11"/>
      <c r="AE10" s="11"/>
    </row>
    <row r="11" spans="1:31" x14ac:dyDescent="0.2">
      <c r="A11" s="11"/>
      <c r="B11" s="11"/>
      <c r="C11" s="11"/>
      <c r="D11" s="11"/>
      <c r="E11" s="11"/>
      <c r="F11" s="11"/>
      <c r="G11" s="11"/>
      <c r="H11" s="11"/>
      <c r="I11" s="11"/>
      <c r="J11" s="11"/>
      <c r="K11" s="11"/>
      <c r="T11" s="11"/>
      <c r="U11" s="11"/>
      <c r="V11" s="11"/>
      <c r="W11" s="11"/>
      <c r="X11" s="11"/>
      <c r="Y11" s="11"/>
      <c r="Z11" s="11"/>
      <c r="AA11" s="11"/>
      <c r="AB11" s="11"/>
      <c r="AC11" s="11"/>
      <c r="AD11" s="11"/>
      <c r="AE11" s="11"/>
    </row>
    <row r="12" spans="1:31" x14ac:dyDescent="0.2">
      <c r="A12" s="11"/>
      <c r="B12" s="21" t="s">
        <v>41</v>
      </c>
      <c r="C12" s="11"/>
      <c r="D12" s="11"/>
      <c r="E12" s="11"/>
      <c r="F12" s="11"/>
      <c r="G12" s="11"/>
      <c r="H12" s="11"/>
      <c r="I12" s="11"/>
      <c r="J12" s="11"/>
      <c r="K12" s="11"/>
      <c r="T12" s="11"/>
      <c r="U12" s="11"/>
      <c r="V12" s="11"/>
      <c r="W12" s="11"/>
      <c r="X12" s="11"/>
      <c r="Y12" s="11"/>
      <c r="Z12" s="11"/>
      <c r="AA12" s="11"/>
      <c r="AB12" s="11"/>
      <c r="AC12" s="11"/>
      <c r="AD12" s="11"/>
      <c r="AE12" s="11"/>
    </row>
    <row r="13" spans="1:31" x14ac:dyDescent="0.2">
      <c r="A13" s="11"/>
      <c r="B13" s="11"/>
      <c r="C13" s="11"/>
      <c r="D13" s="11"/>
      <c r="E13" s="11"/>
      <c r="F13" s="11"/>
      <c r="G13" s="11"/>
      <c r="H13" s="11"/>
      <c r="I13" s="11"/>
      <c r="J13" s="11"/>
      <c r="K13" s="11"/>
      <c r="T13" s="11"/>
      <c r="U13" s="11"/>
      <c r="V13" s="11"/>
      <c r="W13" s="11"/>
      <c r="X13" s="11"/>
      <c r="Y13" s="11"/>
      <c r="Z13" s="11"/>
      <c r="AA13" s="11"/>
      <c r="AB13" s="11"/>
      <c r="AC13" s="11"/>
      <c r="AD13" s="11"/>
      <c r="AE13" s="11"/>
    </row>
    <row r="14" spans="1:31" x14ac:dyDescent="0.2">
      <c r="A14" s="11"/>
      <c r="B14" s="11"/>
      <c r="C14" s="11"/>
      <c r="D14" s="11"/>
      <c r="E14" s="11"/>
      <c r="F14" s="11"/>
      <c r="G14" s="11"/>
      <c r="H14" s="11"/>
      <c r="I14" s="11"/>
      <c r="J14" s="11"/>
      <c r="K14" s="11"/>
      <c r="T14" s="11"/>
      <c r="U14" s="11"/>
      <c r="V14" s="11"/>
      <c r="W14" s="11"/>
      <c r="X14" s="11"/>
      <c r="Y14" s="11"/>
      <c r="Z14" s="11"/>
      <c r="AA14" s="11"/>
      <c r="AB14" s="11"/>
      <c r="AC14" s="11"/>
      <c r="AD14" s="11"/>
      <c r="AE14" s="11"/>
    </row>
    <row r="15" spans="1:31" x14ac:dyDescent="0.2">
      <c r="A15" s="11"/>
      <c r="B15" s="11"/>
      <c r="C15" s="11"/>
      <c r="D15" s="11"/>
      <c r="E15" s="11"/>
      <c r="F15" s="11"/>
      <c r="G15" s="11"/>
      <c r="H15" s="11"/>
      <c r="I15" s="11"/>
      <c r="J15" s="11"/>
      <c r="K15" s="11"/>
      <c r="T15" s="11"/>
      <c r="U15" s="11"/>
      <c r="V15" s="11"/>
      <c r="W15" s="11"/>
      <c r="X15" s="11"/>
      <c r="Y15" s="11"/>
      <c r="Z15" s="11"/>
      <c r="AA15" s="11"/>
      <c r="AB15" s="11"/>
      <c r="AC15" s="11"/>
      <c r="AD15" s="11"/>
      <c r="AE15" s="11"/>
    </row>
    <row r="16" spans="1:31" x14ac:dyDescent="0.2">
      <c r="A16" s="11"/>
      <c r="B16" s="11"/>
      <c r="C16" s="11"/>
      <c r="D16" s="11"/>
      <c r="E16" s="11"/>
      <c r="F16" s="11"/>
      <c r="G16" s="11"/>
      <c r="H16" s="11"/>
      <c r="I16" s="11"/>
      <c r="J16" s="11"/>
      <c r="K16" s="11"/>
      <c r="T16" s="11"/>
      <c r="U16" s="11"/>
      <c r="V16" s="11"/>
      <c r="W16" s="11"/>
      <c r="X16" s="11"/>
      <c r="Y16" s="11"/>
      <c r="Z16" s="11"/>
      <c r="AA16" s="11"/>
      <c r="AB16" s="11"/>
      <c r="AC16" s="11"/>
      <c r="AD16" s="11"/>
      <c r="AE16" s="11"/>
    </row>
    <row r="17" spans="1:31" x14ac:dyDescent="0.2">
      <c r="A17" s="11"/>
      <c r="B17" s="11"/>
      <c r="C17" s="11"/>
      <c r="D17" s="11"/>
      <c r="E17" s="11"/>
      <c r="F17" s="11"/>
      <c r="G17" s="11"/>
      <c r="H17" s="11"/>
      <c r="I17" s="11"/>
      <c r="J17" s="11"/>
      <c r="K17" s="11"/>
      <c r="T17" s="11"/>
      <c r="U17" s="11"/>
      <c r="V17" s="11"/>
      <c r="W17" s="11"/>
      <c r="X17" s="11"/>
      <c r="Y17" s="11"/>
      <c r="Z17" s="11"/>
      <c r="AA17" s="11"/>
      <c r="AB17" s="11"/>
      <c r="AC17" s="11"/>
      <c r="AD17" s="11"/>
      <c r="AE17" s="11"/>
    </row>
    <row r="18" spans="1:31" x14ac:dyDescent="0.2">
      <c r="A18" s="11"/>
      <c r="B18" s="11"/>
      <c r="C18" s="11"/>
      <c r="D18" s="11"/>
      <c r="E18" s="11"/>
      <c r="F18" s="11"/>
      <c r="G18" s="11"/>
      <c r="H18" s="11"/>
      <c r="I18" s="11"/>
      <c r="J18" s="11"/>
      <c r="K18" s="11"/>
      <c r="T18" s="11"/>
      <c r="U18" s="11"/>
      <c r="V18" s="11"/>
      <c r="W18" s="11"/>
      <c r="X18" s="11"/>
      <c r="Y18" s="11"/>
      <c r="Z18" s="11"/>
      <c r="AA18" s="11"/>
      <c r="AB18" s="11"/>
      <c r="AC18" s="11"/>
      <c r="AD18" s="11"/>
      <c r="AE18" s="11"/>
    </row>
    <row r="19" spans="1:31" x14ac:dyDescent="0.2">
      <c r="A19" s="11"/>
      <c r="B19" s="11"/>
      <c r="C19" s="11"/>
      <c r="D19" s="11"/>
      <c r="E19" s="11"/>
      <c r="F19" s="11"/>
      <c r="G19" s="11"/>
      <c r="H19" s="11"/>
      <c r="I19" s="11"/>
      <c r="J19" s="11"/>
      <c r="K19" s="11"/>
      <c r="T19" s="11"/>
      <c r="U19" s="11"/>
      <c r="V19" s="11"/>
      <c r="W19" s="11"/>
      <c r="X19" s="11"/>
      <c r="Y19" s="11"/>
      <c r="Z19" s="11"/>
      <c r="AA19" s="11"/>
      <c r="AB19" s="11"/>
      <c r="AC19" s="11"/>
      <c r="AD19" s="11"/>
      <c r="AE19" s="11"/>
    </row>
    <row r="20" spans="1:31" x14ac:dyDescent="0.2">
      <c r="A20" s="11"/>
      <c r="B20" s="11"/>
      <c r="C20" s="11"/>
      <c r="D20" s="11"/>
      <c r="E20" s="11"/>
      <c r="F20" s="11"/>
      <c r="G20" s="11"/>
      <c r="H20" s="11"/>
      <c r="I20" s="11"/>
      <c r="J20" s="11"/>
      <c r="K20" s="11"/>
      <c r="T20" s="11"/>
      <c r="U20" s="11"/>
      <c r="V20" s="11"/>
      <c r="W20" s="11"/>
      <c r="X20" s="11"/>
      <c r="Y20" s="11"/>
      <c r="Z20" s="11"/>
      <c r="AA20" s="11"/>
      <c r="AB20" s="11"/>
      <c r="AC20" s="11"/>
      <c r="AD20" s="11"/>
      <c r="AE20" s="11"/>
    </row>
    <row r="21" spans="1:31" x14ac:dyDescent="0.2">
      <c r="A21" s="11"/>
      <c r="B21" s="11"/>
      <c r="C21" s="11"/>
      <c r="D21" s="11"/>
      <c r="E21" s="11"/>
      <c r="F21" s="11"/>
      <c r="G21" s="11"/>
      <c r="H21" s="11"/>
      <c r="I21" s="11"/>
      <c r="J21" s="11"/>
      <c r="K21" s="11"/>
      <c r="T21" s="11"/>
      <c r="U21" s="11"/>
      <c r="V21" s="11"/>
      <c r="W21" s="11"/>
      <c r="X21" s="11"/>
      <c r="Y21" s="11"/>
      <c r="Z21" s="11"/>
      <c r="AA21" s="11"/>
      <c r="AB21" s="11"/>
      <c r="AC21" s="11"/>
      <c r="AD21" s="11"/>
      <c r="AE21" s="11"/>
    </row>
    <row r="22" spans="1:31" x14ac:dyDescent="0.2">
      <c r="A22" s="11"/>
      <c r="B22" s="11"/>
      <c r="C22" s="11"/>
      <c r="D22" s="11"/>
      <c r="E22" s="11"/>
      <c r="F22" s="11"/>
      <c r="G22" s="11"/>
      <c r="H22" s="11"/>
      <c r="I22" s="11"/>
      <c r="J22" s="11"/>
      <c r="K22" s="11"/>
      <c r="T22" s="11"/>
      <c r="U22" s="11"/>
      <c r="V22" s="11"/>
      <c r="W22" s="11"/>
      <c r="X22" s="11"/>
      <c r="Y22" s="11"/>
      <c r="Z22" s="11"/>
      <c r="AA22" s="11"/>
      <c r="AB22" s="11"/>
      <c r="AC22" s="11"/>
      <c r="AD22" s="11"/>
      <c r="AE22" s="11"/>
    </row>
    <row r="23" spans="1:31" x14ac:dyDescent="0.2">
      <c r="A23" s="11"/>
      <c r="B23" s="11"/>
      <c r="C23" s="11"/>
      <c r="D23" s="11"/>
      <c r="E23" s="11"/>
      <c r="F23" s="11"/>
      <c r="G23" s="11"/>
      <c r="H23" s="11"/>
      <c r="I23" s="11"/>
      <c r="J23" s="11"/>
      <c r="K23" s="11"/>
      <c r="T23" s="11"/>
      <c r="U23" s="11"/>
      <c r="V23" s="11"/>
      <c r="W23" s="11"/>
      <c r="X23" s="11"/>
      <c r="Y23" s="11"/>
      <c r="Z23" s="11"/>
      <c r="AA23" s="11"/>
      <c r="AB23" s="11"/>
      <c r="AC23" s="11"/>
      <c r="AD23" s="11"/>
      <c r="AE23" s="11"/>
    </row>
    <row r="24" spans="1:31" x14ac:dyDescent="0.2">
      <c r="A24" s="11"/>
      <c r="B24" s="11"/>
      <c r="C24" s="11"/>
      <c r="D24" s="11"/>
      <c r="E24" s="11"/>
      <c r="F24" s="11"/>
      <c r="G24" s="11"/>
      <c r="H24" s="11"/>
      <c r="I24" s="11"/>
      <c r="J24" s="11"/>
      <c r="K24" s="11"/>
      <c r="T24" s="11"/>
      <c r="U24" s="11"/>
      <c r="V24" s="11"/>
      <c r="W24" s="11"/>
      <c r="X24" s="11"/>
      <c r="Y24" s="11"/>
      <c r="Z24" s="11"/>
      <c r="AA24" s="11"/>
      <c r="AB24" s="11"/>
      <c r="AC24" s="11"/>
      <c r="AD24" s="11"/>
      <c r="AE24" s="11"/>
    </row>
    <row r="25" spans="1:31" x14ac:dyDescent="0.2">
      <c r="A25" s="11"/>
      <c r="B25" s="11"/>
      <c r="C25" s="11"/>
      <c r="D25" s="11"/>
      <c r="E25" s="11"/>
      <c r="F25" s="11"/>
      <c r="G25" s="11"/>
      <c r="H25" s="11"/>
      <c r="I25" s="11"/>
      <c r="J25" s="11"/>
      <c r="K25" s="11"/>
      <c r="T25" s="11"/>
      <c r="U25" s="11"/>
      <c r="V25" s="11"/>
      <c r="W25" s="11"/>
      <c r="X25" s="11"/>
      <c r="Y25" s="11"/>
      <c r="Z25" s="11"/>
      <c r="AA25" s="11"/>
      <c r="AB25" s="11"/>
      <c r="AC25" s="11"/>
      <c r="AD25" s="11"/>
      <c r="AE25" s="11"/>
    </row>
    <row r="26" spans="1:31" x14ac:dyDescent="0.2">
      <c r="A26" s="11"/>
      <c r="B26" s="11"/>
      <c r="C26" s="11"/>
      <c r="D26" s="11"/>
      <c r="E26" s="11"/>
      <c r="F26" s="11"/>
      <c r="G26" s="11"/>
      <c r="H26" s="11"/>
      <c r="I26" s="11"/>
      <c r="J26" s="11"/>
      <c r="K26" s="11"/>
      <c r="T26" s="11"/>
      <c r="U26" s="11"/>
      <c r="V26" s="11"/>
      <c r="W26" s="11"/>
      <c r="X26" s="11"/>
      <c r="Y26" s="11"/>
      <c r="Z26" s="11"/>
      <c r="AA26" s="11"/>
      <c r="AB26" s="11"/>
      <c r="AC26" s="11"/>
      <c r="AD26" s="11"/>
      <c r="AE26" s="11"/>
    </row>
    <row r="27" spans="1:31" x14ac:dyDescent="0.2">
      <c r="A27" s="11"/>
      <c r="B27" s="11"/>
      <c r="C27" s="11"/>
      <c r="D27" s="11"/>
      <c r="E27" s="11"/>
      <c r="F27" s="11"/>
      <c r="G27" s="11"/>
      <c r="H27" s="11"/>
      <c r="I27" s="11"/>
      <c r="J27" s="11"/>
      <c r="K27" s="11"/>
      <c r="T27" s="11"/>
      <c r="U27" s="11"/>
      <c r="V27" s="11"/>
      <c r="W27" s="11"/>
      <c r="X27" s="11"/>
      <c r="Y27" s="11"/>
      <c r="Z27" s="11"/>
      <c r="AA27" s="11"/>
      <c r="AB27" s="11"/>
      <c r="AC27" s="11"/>
      <c r="AD27" s="11"/>
      <c r="AE27" s="11"/>
    </row>
    <row r="28" spans="1:31" x14ac:dyDescent="0.2">
      <c r="A28" s="11"/>
      <c r="B28" s="11"/>
      <c r="C28" s="11"/>
      <c r="D28" s="11"/>
      <c r="E28" s="11"/>
      <c r="F28" s="11"/>
      <c r="G28" s="11"/>
      <c r="H28" s="11"/>
      <c r="I28" s="11"/>
      <c r="J28" s="11"/>
      <c r="K28" s="11"/>
      <c r="T28" s="11"/>
      <c r="U28" s="11"/>
      <c r="V28" s="11"/>
      <c r="W28" s="11"/>
      <c r="X28" s="11"/>
      <c r="Y28" s="11"/>
      <c r="Z28" s="11"/>
      <c r="AA28" s="11"/>
      <c r="AB28" s="11"/>
      <c r="AC28" s="11"/>
      <c r="AD28" s="11"/>
      <c r="AE28" s="11"/>
    </row>
    <row r="29" spans="1:31" x14ac:dyDescent="0.2">
      <c r="A29" s="11"/>
      <c r="B29" s="11"/>
      <c r="C29" s="11"/>
      <c r="D29" s="11"/>
      <c r="E29" s="11"/>
      <c r="F29" s="11"/>
      <c r="G29" s="11"/>
      <c r="H29" s="11"/>
      <c r="I29" s="11"/>
      <c r="J29" s="11"/>
      <c r="K29" s="11"/>
      <c r="T29" s="11"/>
      <c r="U29" s="11"/>
      <c r="V29" s="11"/>
      <c r="W29" s="11"/>
      <c r="X29" s="11"/>
      <c r="Y29" s="11"/>
      <c r="Z29" s="11"/>
      <c r="AA29" s="11"/>
      <c r="AB29" s="11"/>
      <c r="AC29" s="11"/>
      <c r="AD29" s="11"/>
      <c r="AE29" s="11"/>
    </row>
    <row r="30" spans="1:31" x14ac:dyDescent="0.2">
      <c r="A30" s="11"/>
      <c r="B30" s="11"/>
      <c r="C30" s="11"/>
      <c r="D30" s="11"/>
      <c r="E30" s="11"/>
      <c r="F30" s="11"/>
      <c r="G30" s="11"/>
      <c r="H30" s="11"/>
      <c r="I30" s="11"/>
      <c r="J30" s="11"/>
      <c r="K30" s="11"/>
      <c r="N30" s="445"/>
      <c r="T30" s="11"/>
      <c r="U30" s="11"/>
      <c r="V30" s="11"/>
      <c r="W30" s="11"/>
      <c r="X30" s="11"/>
      <c r="Y30" s="11"/>
      <c r="Z30" s="11"/>
      <c r="AA30" s="11"/>
      <c r="AB30" s="11"/>
      <c r="AC30" s="11"/>
      <c r="AD30" s="11"/>
      <c r="AE30" s="11"/>
    </row>
    <row r="31" spans="1:31" x14ac:dyDescent="0.2">
      <c r="A31" s="11"/>
      <c r="B31" s="11"/>
      <c r="C31" s="11"/>
      <c r="D31" s="11"/>
      <c r="E31" s="11"/>
      <c r="F31" s="11"/>
      <c r="G31" s="11"/>
      <c r="H31" s="11"/>
      <c r="I31" s="11"/>
      <c r="J31" s="11"/>
      <c r="K31" s="11"/>
      <c r="N31" s="445"/>
      <c r="T31" s="11"/>
      <c r="U31" s="11"/>
      <c r="V31" s="11"/>
      <c r="W31" s="11"/>
      <c r="X31" s="11"/>
      <c r="Y31" s="11"/>
      <c r="Z31" s="11"/>
      <c r="AA31" s="11"/>
      <c r="AB31" s="11"/>
      <c r="AC31" s="11"/>
      <c r="AD31" s="11"/>
      <c r="AE31" s="11"/>
    </row>
    <row r="32" spans="1:31" ht="15" x14ac:dyDescent="0.25">
      <c r="A32" s="11"/>
      <c r="B32" s="11"/>
      <c r="C32" s="11"/>
      <c r="D32" s="11"/>
      <c r="E32" s="11"/>
      <c r="F32" s="11"/>
      <c r="G32" s="11"/>
      <c r="H32" s="11"/>
      <c r="I32" s="11"/>
      <c r="J32" s="11"/>
      <c r="K32" s="11"/>
      <c r="N32" s="527"/>
      <c r="O32" s="527"/>
      <c r="T32" s="11"/>
      <c r="U32" s="11"/>
      <c r="V32" s="11"/>
      <c r="W32" s="11"/>
      <c r="X32" s="11"/>
      <c r="Y32" s="11"/>
      <c r="Z32" s="11"/>
      <c r="AA32" s="11"/>
      <c r="AB32" s="11"/>
      <c r="AC32" s="11"/>
      <c r="AD32" s="11"/>
      <c r="AE32" s="11"/>
    </row>
    <row r="33" spans="1:31" ht="15" x14ac:dyDescent="0.25">
      <c r="A33" s="11"/>
      <c r="B33" s="11"/>
      <c r="C33" s="11"/>
      <c r="D33" s="11"/>
      <c r="E33" s="11"/>
      <c r="F33" s="11"/>
      <c r="G33" s="11"/>
      <c r="H33" s="11"/>
      <c r="I33" s="11"/>
      <c r="J33" s="11"/>
      <c r="K33" s="11"/>
      <c r="N33" s="527"/>
      <c r="O33" s="528"/>
      <c r="T33" s="11"/>
      <c r="U33" s="11"/>
      <c r="V33" s="11"/>
      <c r="W33" s="11"/>
      <c r="X33" s="11"/>
      <c r="Y33" s="11"/>
      <c r="Z33" s="11"/>
      <c r="AA33" s="11"/>
      <c r="AB33" s="11"/>
      <c r="AC33" s="11"/>
      <c r="AD33" s="11"/>
      <c r="AE33" s="11"/>
    </row>
    <row r="34" spans="1:31" ht="15" x14ac:dyDescent="0.25">
      <c r="A34" s="11"/>
      <c r="B34" s="11"/>
      <c r="C34" s="11"/>
      <c r="D34" s="11"/>
      <c r="E34" s="11"/>
      <c r="F34" s="11"/>
      <c r="G34" s="11"/>
      <c r="H34" s="11"/>
      <c r="I34" s="11"/>
      <c r="J34" s="11"/>
      <c r="K34" s="11"/>
      <c r="N34" s="527"/>
      <c r="O34" s="528"/>
      <c r="T34" s="11"/>
      <c r="U34" s="11"/>
      <c r="V34" s="11"/>
      <c r="W34" s="11"/>
      <c r="X34" s="11"/>
      <c r="Y34" s="11"/>
      <c r="Z34" s="11"/>
      <c r="AA34" s="11"/>
      <c r="AB34" s="11"/>
      <c r="AC34" s="11"/>
      <c r="AD34" s="11"/>
      <c r="AE34" s="11"/>
    </row>
    <row r="35" spans="1:31" ht="15" x14ac:dyDescent="0.25">
      <c r="A35" s="11"/>
      <c r="B35" s="11"/>
      <c r="C35" s="11"/>
      <c r="D35" s="11"/>
      <c r="E35" s="11"/>
      <c r="F35" s="11"/>
      <c r="G35" s="11"/>
      <c r="H35" s="11"/>
      <c r="I35" s="11"/>
      <c r="J35" s="11"/>
      <c r="K35" s="11"/>
      <c r="N35" s="527"/>
      <c r="O35" s="528"/>
      <c r="T35" s="11"/>
      <c r="U35" s="11"/>
      <c r="V35" s="11"/>
      <c r="W35" s="11"/>
      <c r="X35" s="11"/>
      <c r="Y35" s="11"/>
      <c r="Z35" s="11"/>
      <c r="AA35" s="11"/>
      <c r="AB35" s="11"/>
      <c r="AC35" s="11"/>
      <c r="AD35" s="11"/>
      <c r="AE35" s="11"/>
    </row>
    <row r="36" spans="1:31" ht="15" x14ac:dyDescent="0.25">
      <c r="A36" s="11"/>
      <c r="B36" s="11"/>
      <c r="C36" s="11"/>
      <c r="D36" s="11"/>
      <c r="E36" s="11"/>
      <c r="F36" s="11"/>
      <c r="G36" s="11"/>
      <c r="H36" s="11"/>
      <c r="I36" s="11"/>
      <c r="J36" s="11"/>
      <c r="K36" s="11"/>
      <c r="N36" s="527"/>
      <c r="O36" s="528"/>
      <c r="T36" s="11"/>
      <c r="U36" s="11"/>
      <c r="V36" s="11"/>
      <c r="W36" s="11"/>
      <c r="X36" s="11"/>
      <c r="Y36" s="11"/>
      <c r="Z36" s="11"/>
      <c r="AA36" s="11"/>
      <c r="AB36" s="11"/>
      <c r="AC36" s="11"/>
      <c r="AD36" s="11"/>
      <c r="AE36" s="11"/>
    </row>
    <row r="37" spans="1:31" ht="15" x14ac:dyDescent="0.25">
      <c r="A37" s="11"/>
      <c r="B37" s="11"/>
      <c r="C37" s="11"/>
      <c r="D37" s="11"/>
      <c r="E37" s="11"/>
      <c r="F37" s="11"/>
      <c r="G37" s="11"/>
      <c r="H37" s="11"/>
      <c r="I37" s="11"/>
      <c r="J37" s="11"/>
      <c r="K37" s="11"/>
      <c r="N37" s="527"/>
      <c r="O37" s="528"/>
      <c r="T37" s="11"/>
      <c r="U37" s="11"/>
      <c r="V37" s="11"/>
      <c r="W37" s="11"/>
      <c r="X37" s="11"/>
      <c r="Y37" s="11"/>
      <c r="Z37" s="11"/>
      <c r="AA37" s="11"/>
      <c r="AB37" s="11"/>
      <c r="AC37" s="11"/>
      <c r="AD37" s="11"/>
      <c r="AE37" s="11"/>
    </row>
    <row r="38" spans="1:31" ht="15" x14ac:dyDescent="0.25">
      <c r="A38" s="11"/>
      <c r="B38" s="11"/>
      <c r="C38" s="11"/>
      <c r="D38" s="11"/>
      <c r="E38" s="11"/>
      <c r="F38" s="11"/>
      <c r="G38" s="11"/>
      <c r="H38" s="11"/>
      <c r="I38" s="11"/>
      <c r="J38" s="11"/>
      <c r="K38" s="11"/>
      <c r="O38" s="528"/>
      <c r="T38" s="11"/>
      <c r="U38" s="11"/>
      <c r="V38" s="11"/>
      <c r="W38" s="11"/>
      <c r="X38" s="11"/>
      <c r="Y38" s="11"/>
      <c r="Z38" s="11"/>
      <c r="AA38" s="11"/>
      <c r="AB38" s="11"/>
      <c r="AC38" s="11"/>
      <c r="AD38" s="11"/>
      <c r="AE38" s="11"/>
    </row>
    <row r="39" spans="1:31" x14ac:dyDescent="0.2">
      <c r="A39" s="11"/>
      <c r="B39" s="11"/>
      <c r="C39" s="11"/>
      <c r="D39" s="11"/>
      <c r="E39" s="11"/>
      <c r="F39" s="11"/>
      <c r="G39" s="11"/>
      <c r="H39" s="11"/>
      <c r="I39" s="11"/>
      <c r="J39" s="11"/>
      <c r="K39" s="11"/>
      <c r="T39" s="11"/>
      <c r="U39" s="11"/>
      <c r="V39" s="11"/>
      <c r="W39" s="11"/>
      <c r="X39" s="11"/>
      <c r="Y39" s="11"/>
      <c r="Z39" s="11"/>
      <c r="AA39" s="11"/>
      <c r="AB39" s="11"/>
      <c r="AC39" s="11"/>
      <c r="AD39" s="11"/>
      <c r="AE39" s="11"/>
    </row>
    <row r="40" spans="1:31" x14ac:dyDescent="0.2">
      <c r="A40" s="11"/>
      <c r="B40" s="11"/>
      <c r="C40" s="11"/>
      <c r="D40" s="11"/>
      <c r="E40" s="11"/>
      <c r="F40" s="11"/>
      <c r="G40" s="11"/>
      <c r="H40" s="11"/>
      <c r="I40" s="11"/>
      <c r="J40" s="11"/>
      <c r="K40" s="11"/>
      <c r="T40" s="11"/>
      <c r="U40" s="11"/>
      <c r="V40" s="11"/>
      <c r="W40" s="11"/>
      <c r="X40" s="11"/>
      <c r="Y40" s="11"/>
      <c r="Z40" s="11"/>
      <c r="AA40" s="11"/>
      <c r="AB40" s="11"/>
      <c r="AC40" s="11"/>
      <c r="AD40" s="11"/>
      <c r="AE40" s="11"/>
    </row>
    <row r="41" spans="1:31" ht="15" x14ac:dyDescent="0.25">
      <c r="A41" s="11"/>
      <c r="B41" s="11"/>
      <c r="C41" s="11"/>
      <c r="D41" s="11"/>
      <c r="E41" s="11"/>
      <c r="F41" s="11"/>
      <c r="G41" s="11"/>
      <c r="H41" s="11"/>
      <c r="I41" s="11"/>
      <c r="J41" s="11"/>
      <c r="K41" s="11"/>
      <c r="T41" s="6" t="s">
        <v>35</v>
      </c>
      <c r="U41" s="6"/>
      <c r="X41" s="11"/>
      <c r="Y41" s="11"/>
      <c r="Z41" s="11"/>
      <c r="AA41" s="11"/>
      <c r="AB41" s="11"/>
      <c r="AC41" s="11"/>
      <c r="AD41" s="11"/>
      <c r="AE41" s="11"/>
    </row>
    <row r="42" spans="1:31" ht="15" x14ac:dyDescent="0.25">
      <c r="A42" s="11"/>
      <c r="B42" s="11"/>
      <c r="C42" s="11"/>
      <c r="D42" s="11"/>
      <c r="E42" s="11"/>
      <c r="F42" s="11"/>
      <c r="G42" s="11"/>
      <c r="H42" s="11"/>
      <c r="I42" s="11"/>
      <c r="J42" s="11"/>
      <c r="K42" s="11"/>
      <c r="T42" s="43" t="s">
        <v>50</v>
      </c>
      <c r="X42" s="11"/>
      <c r="Y42" s="11"/>
      <c r="Z42" s="11"/>
      <c r="AA42" s="11"/>
      <c r="AB42" s="11"/>
      <c r="AC42" s="11"/>
      <c r="AD42" s="11"/>
      <c r="AE42" s="11"/>
    </row>
    <row r="43" spans="1:31" ht="15" x14ac:dyDescent="0.25">
      <c r="A43" s="11"/>
      <c r="B43" s="11"/>
      <c r="C43" s="11"/>
      <c r="D43" s="11"/>
      <c r="E43" s="11"/>
      <c r="F43" s="11"/>
      <c r="G43" s="11"/>
      <c r="H43" s="11"/>
      <c r="I43" s="11"/>
      <c r="J43" s="11"/>
      <c r="K43" s="11"/>
      <c r="T43" s="6"/>
      <c r="X43" s="11"/>
      <c r="Y43" s="11"/>
      <c r="Z43" s="11"/>
      <c r="AA43" s="11"/>
      <c r="AB43" s="11"/>
      <c r="AC43" s="11"/>
      <c r="AD43" s="11"/>
      <c r="AE43" s="11"/>
    </row>
    <row r="44" spans="1:31" x14ac:dyDescent="0.2">
      <c r="A44" s="11"/>
      <c r="B44" s="11"/>
      <c r="C44" s="11"/>
      <c r="D44" s="11"/>
      <c r="E44" s="11"/>
      <c r="F44" s="11"/>
      <c r="G44" s="11"/>
      <c r="H44" s="11"/>
      <c r="I44" s="11"/>
      <c r="J44" s="11"/>
      <c r="K44" s="11"/>
    </row>
    <row r="45" spans="1:31" x14ac:dyDescent="0.2">
      <c r="A45" s="11"/>
      <c r="B45" s="11"/>
      <c r="C45" s="11"/>
      <c r="D45" s="11"/>
      <c r="E45" s="11"/>
      <c r="F45" s="11"/>
      <c r="G45" s="11"/>
      <c r="H45" s="11"/>
      <c r="I45" s="11"/>
      <c r="J45" s="11"/>
      <c r="K45" s="11"/>
    </row>
    <row r="46" spans="1:31" x14ac:dyDescent="0.2">
      <c r="A46" s="11"/>
      <c r="B46" s="11"/>
      <c r="C46" s="11"/>
      <c r="D46" s="11"/>
      <c r="E46" s="11"/>
      <c r="F46" s="11"/>
      <c r="G46" s="11"/>
      <c r="H46" s="11"/>
      <c r="I46" s="11"/>
      <c r="J46" s="11"/>
      <c r="K46" s="11"/>
    </row>
    <row r="47" spans="1:31" x14ac:dyDescent="0.2">
      <c r="A47" s="11"/>
      <c r="B47" s="11"/>
      <c r="C47" s="11"/>
      <c r="D47" s="11"/>
      <c r="E47" s="11"/>
      <c r="F47" s="11"/>
      <c r="G47" s="11"/>
      <c r="H47" s="11"/>
      <c r="I47" s="11"/>
      <c r="J47" s="11"/>
      <c r="K47" s="11"/>
    </row>
    <row r="48" spans="1:31" x14ac:dyDescent="0.2">
      <c r="A48" s="11"/>
      <c r="B48" s="11"/>
      <c r="C48" s="11"/>
      <c r="D48" s="11"/>
      <c r="E48" s="11"/>
      <c r="F48" s="11"/>
      <c r="G48" s="11"/>
      <c r="H48" s="11"/>
      <c r="I48" s="11"/>
      <c r="J48" s="11"/>
      <c r="K48" s="11"/>
    </row>
    <row r="49" spans="1:11" x14ac:dyDescent="0.2">
      <c r="A49" s="69" t="s">
        <v>48</v>
      </c>
      <c r="B49" s="11"/>
      <c r="C49" s="11"/>
      <c r="D49" s="11"/>
      <c r="E49" s="11"/>
      <c r="F49" s="11"/>
      <c r="G49" s="11"/>
      <c r="H49" s="11"/>
      <c r="I49" s="11"/>
      <c r="J49" s="11"/>
      <c r="K49" s="11"/>
    </row>
    <row r="50" spans="1:11" x14ac:dyDescent="0.2">
      <c r="A50" s="11"/>
      <c r="B50" s="11"/>
      <c r="C50" s="11"/>
      <c r="D50" s="11"/>
      <c r="E50" s="11"/>
      <c r="F50" s="11"/>
      <c r="G50" s="11"/>
      <c r="H50" s="11"/>
      <c r="I50" s="11"/>
      <c r="J50" s="11"/>
      <c r="K50" s="11"/>
    </row>
    <row r="51" spans="1:11" x14ac:dyDescent="0.2">
      <c r="A51" s="11"/>
      <c r="B51" s="11"/>
      <c r="C51" s="11"/>
      <c r="D51" s="11"/>
      <c r="E51" s="11"/>
      <c r="F51" s="11"/>
      <c r="G51" s="11"/>
      <c r="H51" s="11"/>
      <c r="I51" s="11"/>
      <c r="J51" s="11"/>
      <c r="K51" s="11"/>
    </row>
  </sheetData>
  <pageMargins left="0.7" right="0.7" top="0.75" bottom="0.75" header="0.3" footer="0.3"/>
  <pageSetup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2:AF264"/>
  <sheetViews>
    <sheetView showGridLines="0" topLeftCell="A61" workbookViewId="0">
      <selection activeCell="L89" sqref="L89"/>
    </sheetView>
  </sheetViews>
  <sheetFormatPr defaultRowHeight="12.75" x14ac:dyDescent="0.2"/>
  <cols>
    <col min="1" max="10" width="9.140625" style="69"/>
    <col min="11" max="11" width="9.5703125" style="69" customWidth="1"/>
    <col min="12" max="16384" width="9.140625" style="69"/>
  </cols>
  <sheetData>
    <row r="12" spans="32:32" x14ac:dyDescent="0.2">
      <c r="AF12" s="69" t="s">
        <v>41</v>
      </c>
    </row>
    <row r="45" spans="1:9" ht="15" x14ac:dyDescent="0.25">
      <c r="A45" s="44" t="s">
        <v>42</v>
      </c>
      <c r="C45" s="44"/>
      <c r="D45" s="44"/>
      <c r="E45" s="44"/>
      <c r="F45" s="44"/>
    </row>
    <row r="46" spans="1:9" ht="15" x14ac:dyDescent="0.25">
      <c r="A46" s="44"/>
      <c r="B46" s="44" t="s">
        <v>355</v>
      </c>
      <c r="C46" s="44"/>
      <c r="D46" s="44"/>
      <c r="E46" s="44"/>
      <c r="F46" s="44"/>
    </row>
    <row r="47" spans="1:9" ht="15" x14ac:dyDescent="0.25">
      <c r="A47" s="44" t="s">
        <v>49</v>
      </c>
      <c r="C47" s="44"/>
      <c r="D47" s="44"/>
      <c r="E47" s="44"/>
      <c r="F47" s="44"/>
    </row>
    <row r="48" spans="1:9" ht="3.75" customHeight="1" x14ac:dyDescent="0.25">
      <c r="A48" s="44"/>
      <c r="B48" s="44" t="s">
        <v>43</v>
      </c>
      <c r="C48" s="44"/>
      <c r="D48" s="44"/>
      <c r="E48" s="44"/>
      <c r="F48" s="44"/>
      <c r="G48" s="44"/>
      <c r="H48" s="44"/>
      <c r="I48" s="44"/>
    </row>
    <row r="49" spans="1:22" ht="15" x14ac:dyDescent="0.25">
      <c r="G49" s="44"/>
      <c r="H49" s="44"/>
      <c r="I49" s="44"/>
      <c r="J49" s="44"/>
      <c r="V49" s="44"/>
    </row>
    <row r="50" spans="1:22" ht="15" x14ac:dyDescent="0.25">
      <c r="J50" s="44"/>
      <c r="V50" s="44"/>
    </row>
    <row r="51" spans="1:22" ht="15" x14ac:dyDescent="0.25">
      <c r="A51" s="44"/>
      <c r="B51" s="44"/>
      <c r="C51" s="44"/>
      <c r="D51" s="44"/>
      <c r="E51" s="44"/>
      <c r="F51" s="44"/>
      <c r="G51" s="44"/>
      <c r="H51" s="44"/>
      <c r="I51" s="44"/>
      <c r="J51" s="44"/>
    </row>
    <row r="65" spans="11:12" x14ac:dyDescent="0.2">
      <c r="L65" s="318"/>
    </row>
    <row r="66" spans="11:12" x14ac:dyDescent="0.2">
      <c r="K66" s="319"/>
      <c r="L66" s="318"/>
    </row>
    <row r="67" spans="11:12" x14ac:dyDescent="0.2">
      <c r="K67" s="319"/>
      <c r="L67" s="318"/>
    </row>
    <row r="68" spans="11:12" x14ac:dyDescent="0.2">
      <c r="L68" s="318"/>
    </row>
    <row r="69" spans="11:12" x14ac:dyDescent="0.2">
      <c r="L69" s="318"/>
    </row>
    <row r="70" spans="11:12" x14ac:dyDescent="0.2">
      <c r="L70" s="318"/>
    </row>
    <row r="85" spans="1:3" ht="15" x14ac:dyDescent="0.25">
      <c r="A85" s="44"/>
      <c r="C85" s="44"/>
    </row>
    <row r="86" spans="1:3" ht="15" x14ac:dyDescent="0.25">
      <c r="A86" s="44"/>
      <c r="B86" s="44"/>
      <c r="C86" s="44"/>
    </row>
    <row r="257" spans="25:27" x14ac:dyDescent="0.2">
      <c r="AA257" s="69">
        <f>0.127258/0.302398</f>
        <v>0.42082950284062731</v>
      </c>
    </row>
    <row r="258" spans="25:27" x14ac:dyDescent="0.2">
      <c r="AA258" s="69">
        <f>(1/0.127258)/(1/0.302398)</f>
        <v>2.3762592528564017</v>
      </c>
    </row>
    <row r="262" spans="25:27" x14ac:dyDescent="0.2">
      <c r="Y262" s="69">
        <f>10000/0.0508</f>
        <v>196850.39370078742</v>
      </c>
    </row>
    <row r="263" spans="25:27" x14ac:dyDescent="0.2">
      <c r="Y263" s="69">
        <f>10000/0.134758</f>
        <v>74207.097166773034</v>
      </c>
    </row>
    <row r="264" spans="25:27" x14ac:dyDescent="0.2">
      <c r="Y264" s="69">
        <f>10000/0.127258</f>
        <v>78580.521460340402</v>
      </c>
    </row>
  </sheetData>
  <phoneticPr fontId="12" type="noConversion"/>
  <pageMargins left="0.75" right="0.25" top="1" bottom="1" header="0.5" footer="0.5"/>
  <pageSetup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T166"/>
  <sheetViews>
    <sheetView topLeftCell="A47" workbookViewId="0">
      <selection activeCell="O54" sqref="O54"/>
    </sheetView>
  </sheetViews>
  <sheetFormatPr defaultRowHeight="12.75" x14ac:dyDescent="0.2"/>
  <cols>
    <col min="1" max="3" width="9.140625" style="1"/>
    <col min="4" max="4" width="14.28515625" style="1" customWidth="1"/>
    <col min="5" max="16384" width="9.140625" style="1"/>
  </cols>
  <sheetData>
    <row r="1" spans="1:13" x14ac:dyDescent="0.2">
      <c r="A1" s="1" t="s">
        <v>1</v>
      </c>
      <c r="H1" s="15">
        <f>AVERAGE(H7:H37)</f>
        <v>0.40164267585789726</v>
      </c>
      <c r="I1"/>
      <c r="J1"/>
      <c r="K1"/>
      <c r="L1"/>
      <c r="M1"/>
    </row>
    <row r="2" spans="1:13" x14ac:dyDescent="0.2">
      <c r="H2" s="55">
        <f>AVERAGE(H28:H37)</f>
        <v>0.36676241239401358</v>
      </c>
      <c r="I2"/>
      <c r="J2"/>
      <c r="K2"/>
      <c r="L2"/>
      <c r="M2"/>
    </row>
    <row r="3" spans="1:13" x14ac:dyDescent="0.2">
      <c r="C3" s="1" t="s">
        <v>2</v>
      </c>
      <c r="I3"/>
      <c r="J3"/>
      <c r="K3"/>
      <c r="L3"/>
      <c r="M3"/>
    </row>
    <row r="4" spans="1:13" s="3" customFormat="1" x14ac:dyDescent="0.2">
      <c r="A4" s="3" t="s">
        <v>3</v>
      </c>
      <c r="B4" s="3" t="s">
        <v>4</v>
      </c>
      <c r="C4" s="4" t="s">
        <v>9</v>
      </c>
      <c r="D4" s="4" t="s">
        <v>5</v>
      </c>
      <c r="E4" s="4" t="s">
        <v>7</v>
      </c>
      <c r="F4" s="3" t="s">
        <v>6</v>
      </c>
      <c r="H4" s="4"/>
      <c r="I4"/>
      <c r="J4"/>
      <c r="K4"/>
      <c r="L4"/>
      <c r="M4"/>
    </row>
    <row r="5" spans="1:13" s="3" customFormat="1" x14ac:dyDescent="0.2">
      <c r="A5" s="1">
        <v>1980</v>
      </c>
      <c r="B5" s="61">
        <f>AukeCr!C6</f>
        <v>117</v>
      </c>
      <c r="C5" s="61">
        <f>SUM(AukeCr!D6:F6)</f>
        <v>53</v>
      </c>
      <c r="D5" s="61">
        <f>'Master escapements'!B13</f>
        <v>698</v>
      </c>
      <c r="E5" s="2">
        <f>'Master goals'!$D$6</f>
        <v>200</v>
      </c>
      <c r="F5" s="2">
        <f>'Master goals'!$E$6</f>
        <v>500</v>
      </c>
      <c r="G5" s="2">
        <f>B5+C5+D5</f>
        <v>868</v>
      </c>
      <c r="H5" s="4"/>
      <c r="I5" s="63"/>
      <c r="J5"/>
      <c r="K5"/>
      <c r="L5"/>
      <c r="M5"/>
    </row>
    <row r="6" spans="1:13" s="3" customFormat="1" x14ac:dyDescent="0.2">
      <c r="A6" s="1">
        <v>1981</v>
      </c>
      <c r="B6" s="61">
        <f>AukeCr!C7</f>
        <v>280</v>
      </c>
      <c r="C6" s="61">
        <f>SUM(AukeCr!D7:F7)</f>
        <v>50</v>
      </c>
      <c r="D6" s="61">
        <f>'Master escapements'!B14</f>
        <v>646</v>
      </c>
      <c r="E6" s="2">
        <f>'Master goals'!$D$6</f>
        <v>200</v>
      </c>
      <c r="F6" s="2">
        <f>'Master goals'!$E$6</f>
        <v>500</v>
      </c>
      <c r="G6" s="2">
        <f t="shared" ref="G6:G22" si="0">B6+C6+D6</f>
        <v>976</v>
      </c>
      <c r="H6" s="4"/>
      <c r="I6" s="63"/>
      <c r="J6"/>
      <c r="K6"/>
      <c r="L6"/>
      <c r="M6"/>
    </row>
    <row r="7" spans="1:13" x14ac:dyDescent="0.2">
      <c r="A7" s="1">
        <v>1982</v>
      </c>
      <c r="B7" s="61">
        <f>AukeCr!C8</f>
        <v>149</v>
      </c>
      <c r="C7" s="61">
        <f>SUM(AukeCr!D8:F8)</f>
        <v>143</v>
      </c>
      <c r="D7" s="61">
        <f>'Master escapements'!B15</f>
        <v>447</v>
      </c>
      <c r="E7" s="2">
        <f>'Master goals'!$D$6</f>
        <v>200</v>
      </c>
      <c r="F7" s="2">
        <f>'Master goals'!$E$6</f>
        <v>500</v>
      </c>
      <c r="G7" s="2">
        <f t="shared" si="0"/>
        <v>739</v>
      </c>
      <c r="H7" s="15">
        <f>(B7+C7)/G7</f>
        <v>0.39512855209742898</v>
      </c>
      <c r="I7" s="63"/>
      <c r="J7"/>
      <c r="K7"/>
      <c r="L7"/>
      <c r="M7"/>
    </row>
    <row r="8" spans="1:13" x14ac:dyDescent="0.2">
      <c r="A8" s="1">
        <v>1983</v>
      </c>
      <c r="B8" s="61">
        <f>AukeCr!C9</f>
        <v>385</v>
      </c>
      <c r="C8" s="61">
        <f>SUM(AukeCr!D9:F9)</f>
        <v>160</v>
      </c>
      <c r="D8" s="61">
        <f>'Master escapements'!B16</f>
        <v>694</v>
      </c>
      <c r="E8" s="2">
        <f>'Master goals'!$D$6</f>
        <v>200</v>
      </c>
      <c r="F8" s="2">
        <f>'Master goals'!$E$6</f>
        <v>500</v>
      </c>
      <c r="G8" s="2">
        <f t="shared" si="0"/>
        <v>1239</v>
      </c>
      <c r="H8" s="15">
        <f t="shared" ref="H8:H42" si="1">(B8+C8)/G8</f>
        <v>0.43987086359967714</v>
      </c>
      <c r="I8" s="63"/>
      <c r="J8"/>
      <c r="K8"/>
      <c r="L8"/>
      <c r="M8"/>
    </row>
    <row r="9" spans="1:13" x14ac:dyDescent="0.2">
      <c r="A9" s="1">
        <v>1984</v>
      </c>
      <c r="B9" s="61">
        <f>AukeCr!C10</f>
        <v>372</v>
      </c>
      <c r="C9" s="61">
        <f>SUM(AukeCr!D10:F10)</f>
        <v>72</v>
      </c>
      <c r="D9" s="61">
        <f>'Master escapements'!B17</f>
        <v>651</v>
      </c>
      <c r="E9" s="2">
        <f>'Master goals'!$D$6</f>
        <v>200</v>
      </c>
      <c r="F9" s="2">
        <f>'Master goals'!$E$6</f>
        <v>500</v>
      </c>
      <c r="G9" s="2">
        <f t="shared" si="0"/>
        <v>1095</v>
      </c>
      <c r="H9" s="15">
        <f t="shared" si="1"/>
        <v>0.40547945205479452</v>
      </c>
      <c r="I9" s="63"/>
      <c r="J9"/>
      <c r="K9"/>
      <c r="L9"/>
      <c r="M9"/>
    </row>
    <row r="10" spans="1:13" x14ac:dyDescent="0.2">
      <c r="A10" s="1">
        <v>1985</v>
      </c>
      <c r="B10" s="61">
        <f>AukeCr!C11</f>
        <v>594</v>
      </c>
      <c r="C10" s="61">
        <f>SUM(AukeCr!D11:F11)</f>
        <v>147</v>
      </c>
      <c r="D10" s="61">
        <f>'Master escapements'!B18</f>
        <v>942</v>
      </c>
      <c r="E10" s="2">
        <f>'Master goals'!$D$6</f>
        <v>200</v>
      </c>
      <c r="F10" s="2">
        <f>'Master goals'!$E$6</f>
        <v>500</v>
      </c>
      <c r="G10" s="2">
        <f t="shared" si="0"/>
        <v>1683</v>
      </c>
      <c r="H10" s="15">
        <f t="shared" si="1"/>
        <v>0.44028520499108736</v>
      </c>
      <c r="I10" s="63"/>
      <c r="J10"/>
      <c r="K10"/>
      <c r="L10"/>
      <c r="M10"/>
    </row>
    <row r="11" spans="1:13" x14ac:dyDescent="0.2">
      <c r="A11" s="1">
        <v>1986</v>
      </c>
      <c r="B11" s="61">
        <f>AukeCr!C12</f>
        <v>421</v>
      </c>
      <c r="C11" s="61">
        <f>SUM(AukeCr!D12:F12)</f>
        <v>99</v>
      </c>
      <c r="D11" s="61">
        <f>'Master escapements'!B19</f>
        <v>454</v>
      </c>
      <c r="E11" s="2">
        <f>'Master goals'!$D$6</f>
        <v>200</v>
      </c>
      <c r="F11" s="2">
        <f>'Master goals'!$E$6</f>
        <v>500</v>
      </c>
      <c r="G11" s="2">
        <f t="shared" si="0"/>
        <v>974</v>
      </c>
      <c r="H11" s="15">
        <f t="shared" si="1"/>
        <v>0.53388090349075978</v>
      </c>
      <c r="I11" s="63"/>
      <c r="J11"/>
      <c r="K11"/>
      <c r="L11"/>
      <c r="M11"/>
    </row>
    <row r="12" spans="1:13" x14ac:dyDescent="0.2">
      <c r="A12" s="1">
        <v>1987</v>
      </c>
      <c r="B12" s="61">
        <f>AukeCr!C13</f>
        <v>438</v>
      </c>
      <c r="C12" s="61">
        <f>SUM(AukeCr!D13:F13)</f>
        <v>73</v>
      </c>
      <c r="D12" s="61">
        <f>'Master escapements'!B20</f>
        <v>668</v>
      </c>
      <c r="E12" s="2">
        <f>'Master goals'!$D$6</f>
        <v>200</v>
      </c>
      <c r="F12" s="2">
        <f>'Master goals'!$E$6</f>
        <v>500</v>
      </c>
      <c r="G12" s="2">
        <f t="shared" si="0"/>
        <v>1179</v>
      </c>
      <c r="H12" s="15">
        <f t="shared" si="1"/>
        <v>0.43341815097540287</v>
      </c>
      <c r="I12" s="63"/>
      <c r="J12"/>
      <c r="K12"/>
      <c r="L12"/>
      <c r="M12"/>
    </row>
    <row r="13" spans="1:13" x14ac:dyDescent="0.2">
      <c r="A13" s="1">
        <v>1988</v>
      </c>
      <c r="B13" s="61">
        <f>AukeCr!C14</f>
        <v>306</v>
      </c>
      <c r="C13" s="61">
        <f>SUM(AukeCr!D14:F14)</f>
        <v>139</v>
      </c>
      <c r="D13" s="61">
        <f>'Master escapements'!B21</f>
        <v>756</v>
      </c>
      <c r="E13" s="2">
        <f>'Master goals'!$D$6</f>
        <v>200</v>
      </c>
      <c r="F13" s="2">
        <f>'Master goals'!$E$6</f>
        <v>500</v>
      </c>
      <c r="G13" s="2">
        <f t="shared" si="0"/>
        <v>1201</v>
      </c>
      <c r="H13" s="15">
        <f t="shared" si="1"/>
        <v>0.37052456286427976</v>
      </c>
      <c r="I13" s="63"/>
      <c r="J13"/>
      <c r="K13"/>
      <c r="L13"/>
      <c r="M13"/>
    </row>
    <row r="14" spans="1:13" x14ac:dyDescent="0.2">
      <c r="A14" s="1">
        <v>1989</v>
      </c>
      <c r="B14" s="61">
        <f>AukeCr!C15</f>
        <v>533</v>
      </c>
      <c r="C14" s="61">
        <f>SUM(AukeCr!D15:F15)</f>
        <v>71</v>
      </c>
      <c r="D14" s="61">
        <f>'Master escapements'!B22</f>
        <v>502</v>
      </c>
      <c r="E14" s="2">
        <f>'Master goals'!$D$6</f>
        <v>200</v>
      </c>
      <c r="F14" s="2">
        <f>'Master goals'!$E$6</f>
        <v>500</v>
      </c>
      <c r="G14" s="2">
        <f t="shared" si="0"/>
        <v>1106</v>
      </c>
      <c r="H14" s="15">
        <f t="shared" si="1"/>
        <v>0.54611211573236895</v>
      </c>
      <c r="I14" s="63"/>
      <c r="J14"/>
      <c r="K14"/>
      <c r="L14"/>
      <c r="M14"/>
    </row>
    <row r="15" spans="1:13" x14ac:dyDescent="0.2">
      <c r="A15" s="1">
        <v>1990</v>
      </c>
      <c r="B15" s="61">
        <f>AukeCr!C16</f>
        <v>635</v>
      </c>
      <c r="C15" s="61">
        <f>SUM(AukeCr!D16:F16)</f>
        <v>150</v>
      </c>
      <c r="D15" s="61">
        <f>'Master escapements'!B23</f>
        <v>697</v>
      </c>
      <c r="E15" s="2">
        <f>'Master goals'!$D$6</f>
        <v>200</v>
      </c>
      <c r="F15" s="2">
        <f>'Master goals'!$E$6</f>
        <v>500</v>
      </c>
      <c r="G15" s="2">
        <f t="shared" si="0"/>
        <v>1482</v>
      </c>
      <c r="H15" s="15">
        <f t="shared" si="1"/>
        <v>0.52968960863697701</v>
      </c>
      <c r="I15" s="63"/>
      <c r="J15"/>
      <c r="K15"/>
      <c r="L15"/>
      <c r="M15"/>
    </row>
    <row r="16" spans="1:13" x14ac:dyDescent="0.2">
      <c r="A16" s="1">
        <v>1991</v>
      </c>
      <c r="B16" s="61">
        <f>AukeCr!C17</f>
        <v>200</v>
      </c>
      <c r="C16" s="61">
        <f>SUM(AukeCr!D17:F17)</f>
        <v>171</v>
      </c>
      <c r="D16" s="61">
        <f>'Master escapements'!B24</f>
        <v>808</v>
      </c>
      <c r="E16" s="2">
        <f>'Master goals'!$D$6</f>
        <v>200</v>
      </c>
      <c r="F16" s="2">
        <f>'Master goals'!$E$6</f>
        <v>500</v>
      </c>
      <c r="G16" s="2">
        <f t="shared" si="0"/>
        <v>1179</v>
      </c>
      <c r="H16" s="15">
        <f t="shared" si="1"/>
        <v>0.31467345207803221</v>
      </c>
      <c r="I16" s="63"/>
      <c r="J16"/>
      <c r="K16"/>
      <c r="L16"/>
      <c r="M16"/>
    </row>
    <row r="17" spans="1:13" x14ac:dyDescent="0.2">
      <c r="A17" s="1">
        <v>1992</v>
      </c>
      <c r="B17" s="61">
        <f>AukeCr!C18</f>
        <v>603</v>
      </c>
      <c r="C17" s="61">
        <f>SUM(AukeCr!D18:F18)</f>
        <v>252</v>
      </c>
      <c r="D17" s="61">
        <f>'Master escapements'!B25</f>
        <v>1020</v>
      </c>
      <c r="E17" s="2">
        <f>'Master goals'!$D$6</f>
        <v>200</v>
      </c>
      <c r="F17" s="2">
        <f>'Master goals'!$E$6</f>
        <v>500</v>
      </c>
      <c r="G17" s="2">
        <f t="shared" si="0"/>
        <v>1875</v>
      </c>
      <c r="H17" s="15">
        <f t="shared" si="1"/>
        <v>0.45600000000000002</v>
      </c>
      <c r="I17" s="63"/>
      <c r="J17"/>
      <c r="K17"/>
      <c r="L17"/>
      <c r="M17"/>
    </row>
    <row r="18" spans="1:13" x14ac:dyDescent="0.2">
      <c r="A18" s="1">
        <v>1993</v>
      </c>
      <c r="B18" s="61">
        <f>AukeCr!C19</f>
        <v>611</v>
      </c>
      <c r="C18" s="61">
        <f>SUM(AukeCr!D19:F19)</f>
        <v>119</v>
      </c>
      <c r="D18" s="61">
        <f>'Master escapements'!B26</f>
        <v>859</v>
      </c>
      <c r="E18" s="2">
        <f>'Master goals'!$D$6</f>
        <v>200</v>
      </c>
      <c r="F18" s="2">
        <f>'Master goals'!$E$6</f>
        <v>500</v>
      </c>
      <c r="G18" s="2">
        <f t="shared" si="0"/>
        <v>1589</v>
      </c>
      <c r="H18" s="15">
        <f t="shared" si="1"/>
        <v>0.45940843297671491</v>
      </c>
      <c r="I18" s="63"/>
      <c r="J18"/>
      <c r="K18"/>
      <c r="L18"/>
      <c r="M18"/>
    </row>
    <row r="19" spans="1:13" x14ac:dyDescent="0.2">
      <c r="A19" s="1">
        <v>1994</v>
      </c>
      <c r="B19" s="61">
        <f>AukeCr!C20</f>
        <v>1064</v>
      </c>
      <c r="C19" s="61">
        <f>SUM(AukeCr!D20:F20)</f>
        <v>554</v>
      </c>
      <c r="D19" s="61">
        <f>'Master escapements'!B27</f>
        <v>1437</v>
      </c>
      <c r="E19" s="2">
        <f>'Master goals'!$D$6</f>
        <v>200</v>
      </c>
      <c r="F19" s="2">
        <f>'Master goals'!$E$6</f>
        <v>500</v>
      </c>
      <c r="G19" s="2">
        <f t="shared" si="0"/>
        <v>3055</v>
      </c>
      <c r="H19" s="15">
        <f t="shared" si="1"/>
        <v>0.52962356792144027</v>
      </c>
      <c r="I19" s="63"/>
      <c r="J19"/>
      <c r="K19"/>
      <c r="L19"/>
      <c r="M19"/>
    </row>
    <row r="20" spans="1:13" x14ac:dyDescent="0.2">
      <c r="A20" s="1">
        <v>1995</v>
      </c>
      <c r="B20" s="61">
        <f>AukeCr!C21</f>
        <v>264</v>
      </c>
      <c r="C20" s="61">
        <f>SUM(AukeCr!D21:F21)</f>
        <v>96</v>
      </c>
      <c r="D20" s="61">
        <f>'Master escapements'!B28</f>
        <v>460</v>
      </c>
      <c r="E20" s="2">
        <f>'Master goals'!$D$6</f>
        <v>200</v>
      </c>
      <c r="F20" s="2">
        <f>'Master goals'!$E$6</f>
        <v>500</v>
      </c>
      <c r="G20" s="2">
        <f t="shared" si="0"/>
        <v>820</v>
      </c>
      <c r="H20" s="15">
        <f t="shared" si="1"/>
        <v>0.43902439024390244</v>
      </c>
      <c r="I20" s="63"/>
      <c r="J20"/>
      <c r="K20"/>
      <c r="L20"/>
      <c r="M20"/>
    </row>
    <row r="21" spans="1:13" x14ac:dyDescent="0.2">
      <c r="A21" s="1">
        <v>1996</v>
      </c>
      <c r="B21" s="61">
        <f>AukeCr!C22</f>
        <v>446</v>
      </c>
      <c r="C21" s="61">
        <f>SUM(AukeCr!D22:F22)</f>
        <v>180</v>
      </c>
      <c r="D21" s="61">
        <f>'Master escapements'!B29</f>
        <v>515</v>
      </c>
      <c r="E21" s="2">
        <f>'Master goals'!$D$6</f>
        <v>200</v>
      </c>
      <c r="F21" s="2">
        <f>'Master goals'!$E$6</f>
        <v>500</v>
      </c>
      <c r="G21" s="2">
        <f t="shared" si="0"/>
        <v>1141</v>
      </c>
      <c r="H21" s="15">
        <f t="shared" si="1"/>
        <v>0.54864154250657315</v>
      </c>
      <c r="I21" s="63"/>
      <c r="J21"/>
      <c r="K21"/>
      <c r="L21"/>
      <c r="M21"/>
    </row>
    <row r="22" spans="1:13" x14ac:dyDescent="0.2">
      <c r="A22" s="1">
        <v>1997</v>
      </c>
      <c r="B22" s="61">
        <f>AukeCr!C23</f>
        <v>94</v>
      </c>
      <c r="C22" s="61">
        <f>SUM(AukeCr!D23:F23)</f>
        <v>54</v>
      </c>
      <c r="D22" s="61">
        <f>'Master escapements'!B30</f>
        <v>609</v>
      </c>
      <c r="E22" s="2">
        <f>'Master goals'!$D$6</f>
        <v>200</v>
      </c>
      <c r="F22" s="2">
        <f>'Master goals'!$E$6</f>
        <v>500</v>
      </c>
      <c r="G22" s="2">
        <f t="shared" si="0"/>
        <v>757</v>
      </c>
      <c r="H22" s="15">
        <f t="shared" si="1"/>
        <v>0.19550858652575959</v>
      </c>
      <c r="I22" s="63"/>
      <c r="J22"/>
      <c r="K22"/>
      <c r="L22"/>
      <c r="M22"/>
    </row>
    <row r="23" spans="1:13" x14ac:dyDescent="0.2">
      <c r="A23" s="1">
        <v>1998</v>
      </c>
      <c r="B23" s="61">
        <f>AukeCr!C24</f>
        <v>437</v>
      </c>
      <c r="C23" s="61">
        <f>SUM(AukeCr!D24:F24)</f>
        <v>114</v>
      </c>
      <c r="D23" s="61">
        <f>'Master escapements'!B31</f>
        <v>862</v>
      </c>
      <c r="E23" s="2">
        <f>'Master goals'!$D$6</f>
        <v>200</v>
      </c>
      <c r="F23" s="2">
        <f>'Master goals'!$E$6</f>
        <v>500</v>
      </c>
      <c r="G23" s="2">
        <f t="shared" ref="G23:G28" si="2">B23+C23+D23</f>
        <v>1413</v>
      </c>
      <c r="H23" s="15">
        <f t="shared" si="1"/>
        <v>0.38995046001415429</v>
      </c>
      <c r="I23" s="63"/>
      <c r="J23"/>
      <c r="K23"/>
      <c r="L23"/>
      <c r="M23"/>
    </row>
    <row r="24" spans="1:13" x14ac:dyDescent="0.2">
      <c r="A24" s="1">
        <v>1999</v>
      </c>
      <c r="B24" s="61">
        <f>AukeCr!C25</f>
        <v>485</v>
      </c>
      <c r="C24" s="61">
        <f>SUM(AukeCr!D25:F25)</f>
        <v>105</v>
      </c>
      <c r="D24" s="61">
        <f>'Master escapements'!B32</f>
        <v>845</v>
      </c>
      <c r="E24" s="2">
        <f>'Master goals'!$D$6</f>
        <v>200</v>
      </c>
      <c r="F24" s="2">
        <f>'Master goals'!$E$6</f>
        <v>500</v>
      </c>
      <c r="G24" s="2">
        <f t="shared" si="2"/>
        <v>1435</v>
      </c>
      <c r="H24" s="15">
        <f t="shared" si="1"/>
        <v>0.41114982578397213</v>
      </c>
      <c r="I24" s="63"/>
      <c r="J24"/>
      <c r="K24"/>
      <c r="L24"/>
      <c r="M24"/>
    </row>
    <row r="25" spans="1:13" x14ac:dyDescent="0.2">
      <c r="A25" s="1">
        <v>2000</v>
      </c>
      <c r="B25" s="61">
        <f>AukeCr!C26</f>
        <v>228</v>
      </c>
      <c r="C25" s="61">
        <f>SUM(AukeCr!D26:F26)</f>
        <v>58</v>
      </c>
      <c r="D25" s="61">
        <f>'Master escapements'!B33</f>
        <v>683</v>
      </c>
      <c r="E25" s="2">
        <f>'Master goals'!$D$6</f>
        <v>200</v>
      </c>
      <c r="F25" s="2">
        <f>'Master goals'!$E$6</f>
        <v>500</v>
      </c>
      <c r="G25" s="2">
        <f t="shared" si="2"/>
        <v>969</v>
      </c>
      <c r="H25" s="15">
        <f t="shared" si="1"/>
        <v>0.29514963880288958</v>
      </c>
      <c r="I25" s="63"/>
      <c r="J25"/>
      <c r="K25"/>
      <c r="L25"/>
      <c r="M25"/>
    </row>
    <row r="26" spans="1:13" x14ac:dyDescent="0.2">
      <c r="A26" s="1">
        <v>2001</v>
      </c>
      <c r="B26" s="61">
        <f>AukeCr!C27</f>
        <v>435</v>
      </c>
      <c r="C26" s="61">
        <f>SUM(AukeCr!D27:F27)</f>
        <v>106</v>
      </c>
      <c r="D26" s="61">
        <f>'Master escapements'!B34</f>
        <v>865</v>
      </c>
      <c r="E26" s="2">
        <f>'Master goals'!$D$6</f>
        <v>200</v>
      </c>
      <c r="F26" s="2">
        <f>'Master goals'!$E$6</f>
        <v>500</v>
      </c>
      <c r="G26" s="2">
        <f t="shared" si="2"/>
        <v>1406</v>
      </c>
      <c r="H26" s="15">
        <f t="shared" si="1"/>
        <v>0.38477951635846375</v>
      </c>
      <c r="I26" s="63"/>
      <c r="J26"/>
      <c r="K26"/>
      <c r="L26"/>
      <c r="M26"/>
    </row>
    <row r="27" spans="1:13" x14ac:dyDescent="0.2">
      <c r="A27" s="1">
        <v>2002</v>
      </c>
      <c r="B27" s="61">
        <f>AukeCr!C28</f>
        <v>288</v>
      </c>
      <c r="C27" s="61">
        <f>SUM(AukeCr!D28:F28)</f>
        <v>136</v>
      </c>
      <c r="D27" s="61">
        <f>'Master escapements'!B35</f>
        <v>1176</v>
      </c>
      <c r="E27" s="2">
        <f>'Master goals'!$D$6</f>
        <v>200</v>
      </c>
      <c r="F27" s="2">
        <f>'Master goals'!$E$6</f>
        <v>500</v>
      </c>
      <c r="G27" s="2">
        <f t="shared" si="2"/>
        <v>1600</v>
      </c>
      <c r="H27" s="15">
        <f t="shared" si="1"/>
        <v>0.26500000000000001</v>
      </c>
      <c r="I27" s="63"/>
      <c r="J27"/>
      <c r="K27"/>
      <c r="L27"/>
      <c r="M27"/>
    </row>
    <row r="28" spans="1:13" x14ac:dyDescent="0.2">
      <c r="A28" s="1">
        <v>2003</v>
      </c>
      <c r="B28" s="61">
        <f>AukeCr!C29</f>
        <v>211</v>
      </c>
      <c r="C28" s="61">
        <f>SUM(AukeCr!D29:F29)</f>
        <v>108</v>
      </c>
      <c r="D28" s="61">
        <f>'Master escapements'!B36</f>
        <v>585</v>
      </c>
      <c r="E28" s="2">
        <f>'Master goals'!$D$6</f>
        <v>200</v>
      </c>
      <c r="F28" s="2">
        <f>'Master goals'!$E$6</f>
        <v>500</v>
      </c>
      <c r="G28" s="2">
        <f t="shared" si="2"/>
        <v>904</v>
      </c>
      <c r="H28" s="15">
        <f t="shared" si="1"/>
        <v>0.35287610619469029</v>
      </c>
      <c r="I28" s="63"/>
      <c r="J28"/>
      <c r="K28"/>
      <c r="L28"/>
      <c r="M28"/>
    </row>
    <row r="29" spans="1:13" x14ac:dyDescent="0.2">
      <c r="A29" s="1">
        <v>2004</v>
      </c>
      <c r="B29" s="61">
        <f>AukeCr!C30</f>
        <v>199</v>
      </c>
      <c r="C29" s="61">
        <f>SUM(AukeCr!D30:F30)</f>
        <v>133</v>
      </c>
      <c r="D29" s="61">
        <f>'Master escapements'!B37</f>
        <v>416</v>
      </c>
      <c r="E29" s="2">
        <f>'Master goals'!$D$6</f>
        <v>200</v>
      </c>
      <c r="F29" s="2">
        <f>'Master goals'!$E$6</f>
        <v>500</v>
      </c>
      <c r="G29" s="2">
        <f t="shared" ref="G29:G34" si="3">B29+C29+D29</f>
        <v>748</v>
      </c>
      <c r="H29" s="15">
        <f t="shared" si="1"/>
        <v>0.44385026737967914</v>
      </c>
      <c r="I29" s="63"/>
      <c r="J29"/>
      <c r="K29"/>
      <c r="L29"/>
      <c r="M29"/>
    </row>
    <row r="30" spans="1:13" x14ac:dyDescent="0.2">
      <c r="A30" s="1">
        <v>2005</v>
      </c>
      <c r="B30" s="61">
        <f>AukeCr!C31</f>
        <v>240</v>
      </c>
      <c r="C30" s="61">
        <f>SUM(AukeCr!D31:F31)</f>
        <v>37</v>
      </c>
      <c r="D30" s="61">
        <f>'Master escapements'!B38</f>
        <v>450</v>
      </c>
      <c r="E30" s="2">
        <f>'Master goals'!$D$6</f>
        <v>200</v>
      </c>
      <c r="F30" s="2">
        <f>'Master goals'!$E$6</f>
        <v>500</v>
      </c>
      <c r="G30" s="2">
        <f t="shared" si="3"/>
        <v>727</v>
      </c>
      <c r="H30" s="15">
        <f t="shared" si="1"/>
        <v>0.38101788170563961</v>
      </c>
      <c r="I30" s="63"/>
      <c r="J30"/>
      <c r="K30"/>
      <c r="L30"/>
      <c r="M30"/>
    </row>
    <row r="31" spans="1:13" x14ac:dyDescent="0.2">
      <c r="A31" s="1">
        <v>2006</v>
      </c>
      <c r="B31" s="61">
        <f>AukeCr!C32</f>
        <v>196</v>
      </c>
      <c r="C31" s="61">
        <f>SUM(AukeCr!D32:F32)</f>
        <v>103</v>
      </c>
      <c r="D31" s="61">
        <f>'Master escapements'!B39</f>
        <v>581</v>
      </c>
      <c r="E31" s="2">
        <f>'Master goals'!$D$6</f>
        <v>200</v>
      </c>
      <c r="F31" s="2">
        <f>'Master goals'!$E$6</f>
        <v>500</v>
      </c>
      <c r="G31" s="2">
        <f t="shared" si="3"/>
        <v>880</v>
      </c>
      <c r="H31" s="15">
        <f t="shared" si="1"/>
        <v>0.33977272727272728</v>
      </c>
      <c r="I31" s="63"/>
      <c r="J31"/>
      <c r="K31"/>
      <c r="L31"/>
      <c r="M31"/>
    </row>
    <row r="32" spans="1:13" x14ac:dyDescent="0.2">
      <c r="A32" s="1">
        <v>2007</v>
      </c>
      <c r="B32" s="61">
        <f>AukeCr!C33</f>
        <v>134</v>
      </c>
      <c r="C32" s="61">
        <f>SUM(AukeCr!D33:F33)</f>
        <v>50</v>
      </c>
      <c r="D32" s="61">
        <f>'Master escapements'!B40</f>
        <v>352</v>
      </c>
      <c r="E32" s="2">
        <f>'Master goals'!$D$6</f>
        <v>200</v>
      </c>
      <c r="F32" s="2">
        <f>'Master goals'!$E$6</f>
        <v>500</v>
      </c>
      <c r="G32" s="2">
        <f t="shared" si="3"/>
        <v>536</v>
      </c>
      <c r="H32" s="15">
        <f t="shared" si="1"/>
        <v>0.34328358208955223</v>
      </c>
      <c r="I32" s="63"/>
      <c r="J32"/>
      <c r="K32"/>
      <c r="L32"/>
      <c r="M32"/>
    </row>
    <row r="33" spans="1:13" x14ac:dyDescent="0.2">
      <c r="A33" s="1">
        <v>2008</v>
      </c>
      <c r="B33" s="61">
        <f>AukeCr!C34</f>
        <v>292</v>
      </c>
      <c r="C33" s="61">
        <f>SUM(AukeCr!D34:F34)</f>
        <v>85</v>
      </c>
      <c r="D33" s="61">
        <f>'Master escapements'!B41</f>
        <v>600</v>
      </c>
      <c r="E33" s="2">
        <f>'Master goals'!$D$6</f>
        <v>200</v>
      </c>
      <c r="F33" s="2">
        <f>'Master goals'!$E$6</f>
        <v>500</v>
      </c>
      <c r="G33" s="2">
        <f t="shared" si="3"/>
        <v>977</v>
      </c>
      <c r="H33" s="15">
        <f t="shared" si="1"/>
        <v>0.38587512794268169</v>
      </c>
      <c r="I33" s="63"/>
      <c r="J33"/>
      <c r="K33"/>
      <c r="L33"/>
      <c r="M33"/>
    </row>
    <row r="34" spans="1:13" x14ac:dyDescent="0.2">
      <c r="A34" s="1">
        <v>2009</v>
      </c>
      <c r="B34" s="61">
        <f>AukeCr!C35</f>
        <v>179</v>
      </c>
      <c r="C34" s="61">
        <f>SUM(AukeCr!D35:F35)</f>
        <v>54</v>
      </c>
      <c r="D34" s="61">
        <f>'Master escapements'!B42</f>
        <v>360</v>
      </c>
      <c r="E34" s="2">
        <f>'Master goals'!$D$6</f>
        <v>200</v>
      </c>
      <c r="F34" s="2">
        <f>'Master goals'!$E$6</f>
        <v>500</v>
      </c>
      <c r="G34" s="2">
        <f t="shared" si="3"/>
        <v>593</v>
      </c>
      <c r="H34" s="15">
        <f t="shared" si="1"/>
        <v>0.39291736930860033</v>
      </c>
      <c r="I34" s="63"/>
      <c r="J34"/>
      <c r="K34"/>
      <c r="L34"/>
      <c r="M34"/>
    </row>
    <row r="35" spans="1:13" x14ac:dyDescent="0.2">
      <c r="A35" s="1">
        <v>2010</v>
      </c>
      <c r="B35" s="61">
        <f>AukeCr!C36</f>
        <v>194</v>
      </c>
      <c r="C35" s="61">
        <f>SUM(AukeCr!D36:F36)</f>
        <v>156</v>
      </c>
      <c r="D35" s="61">
        <f>'Master escapements'!B43</f>
        <v>417</v>
      </c>
      <c r="E35" s="2">
        <f>'Master goals'!$D$6</f>
        <v>200</v>
      </c>
      <c r="F35" s="2">
        <f>'Master goals'!$E$6</f>
        <v>500</v>
      </c>
      <c r="G35" s="2">
        <f t="shared" ref="G35:G42" si="4">B35+C35+D35</f>
        <v>767</v>
      </c>
      <c r="H35" s="15">
        <f t="shared" si="1"/>
        <v>0.45632333767926986</v>
      </c>
      <c r="I35" s="63"/>
      <c r="J35"/>
      <c r="K35"/>
      <c r="L35"/>
      <c r="M35"/>
    </row>
    <row r="36" spans="1:13" x14ac:dyDescent="0.2">
      <c r="A36" s="1">
        <v>2011</v>
      </c>
      <c r="B36" s="61">
        <f>AukeCr!C37</f>
        <v>137</v>
      </c>
      <c r="C36" s="61">
        <f>SUM(AukeCr!D37:F37)</f>
        <v>140</v>
      </c>
      <c r="D36" s="61">
        <f>'Master escapements'!B44</f>
        <v>517</v>
      </c>
      <c r="E36" s="2">
        <f>'Master goals'!$D$6</f>
        <v>200</v>
      </c>
      <c r="F36" s="2">
        <f>'Master goals'!$E$6</f>
        <v>500</v>
      </c>
      <c r="G36" s="2">
        <f t="shared" si="4"/>
        <v>794</v>
      </c>
      <c r="H36" s="15">
        <f t="shared" si="1"/>
        <v>0.34886649874055414</v>
      </c>
      <c r="I36" s="63"/>
      <c r="J36"/>
      <c r="K36"/>
      <c r="L36"/>
      <c r="M36"/>
    </row>
    <row r="37" spans="1:13" x14ac:dyDescent="0.2">
      <c r="A37" s="1">
        <v>2012</v>
      </c>
      <c r="B37" s="61">
        <f>AukeCr!C38</f>
        <v>212</v>
      </c>
      <c r="C37" s="61">
        <f>SUM(AukeCr!D38:F38)</f>
        <v>28</v>
      </c>
      <c r="D37" s="61">
        <f>'Master escapements'!B45</f>
        <v>837</v>
      </c>
      <c r="E37" s="2">
        <f>'Master goals'!$D$6</f>
        <v>200</v>
      </c>
      <c r="F37" s="2">
        <f>'Master goals'!$E$6</f>
        <v>500</v>
      </c>
      <c r="G37" s="2">
        <f t="shared" si="4"/>
        <v>1077</v>
      </c>
      <c r="H37" s="15">
        <f t="shared" si="1"/>
        <v>0.22284122562674094</v>
      </c>
      <c r="I37" s="63"/>
      <c r="J37"/>
      <c r="K37"/>
      <c r="L37"/>
      <c r="M37"/>
    </row>
    <row r="38" spans="1:13" x14ac:dyDescent="0.2">
      <c r="A38" s="1">
        <v>2013</v>
      </c>
      <c r="B38" s="61">
        <f>AukeCr!C39</f>
        <v>406</v>
      </c>
      <c r="C38" s="61">
        <f>SUM(AukeCr!D39:F39)</f>
        <v>124</v>
      </c>
      <c r="D38" s="61">
        <f>'Master escapements'!B46</f>
        <v>736</v>
      </c>
      <c r="E38" s="2">
        <f>'Master goals'!$D$6</f>
        <v>200</v>
      </c>
      <c r="F38" s="2">
        <f>'Master goals'!$E$6</f>
        <v>500</v>
      </c>
      <c r="G38" s="2">
        <f t="shared" si="4"/>
        <v>1266</v>
      </c>
      <c r="H38" s="15">
        <f t="shared" si="1"/>
        <v>0.41864139020537122</v>
      </c>
      <c r="I38" s="63"/>
      <c r="J38"/>
      <c r="K38"/>
      <c r="L38"/>
      <c r="M38"/>
    </row>
    <row r="39" spans="1:13" x14ac:dyDescent="0.2">
      <c r="A39" s="1">
        <v>2014</v>
      </c>
      <c r="B39" s="61">
        <f>AukeCr!C40</f>
        <v>265</v>
      </c>
      <c r="C39" s="61">
        <f>SUM(AukeCr!D40:F40)</f>
        <v>128</v>
      </c>
      <c r="D39" s="61">
        <f>'Master escapements'!B47</f>
        <v>1533</v>
      </c>
      <c r="E39" s="2">
        <f>'Master goals'!$D$6</f>
        <v>200</v>
      </c>
      <c r="F39" s="2">
        <f>'Master goals'!$E$6</f>
        <v>500</v>
      </c>
      <c r="G39" s="2">
        <f t="shared" si="4"/>
        <v>1926</v>
      </c>
      <c r="H39" s="15">
        <f t="shared" si="1"/>
        <v>0.20404984423676012</v>
      </c>
      <c r="I39" s="63"/>
      <c r="J39"/>
      <c r="K39"/>
      <c r="L39"/>
      <c r="M39"/>
    </row>
    <row r="40" spans="1:13" x14ac:dyDescent="0.2">
      <c r="A40" s="1">
        <v>2015</v>
      </c>
      <c r="B40" s="61">
        <f>AukeCr!C41</f>
        <v>140</v>
      </c>
      <c r="C40" s="61">
        <f>SUM(AukeCr!D41:F41)</f>
        <v>33</v>
      </c>
      <c r="D40" s="61">
        <f>'Master escapements'!B48</f>
        <v>517</v>
      </c>
      <c r="E40" s="2">
        <f>'Master goals'!$D$6</f>
        <v>200</v>
      </c>
      <c r="F40" s="2">
        <f>'Master goals'!$E$6</f>
        <v>500</v>
      </c>
      <c r="G40" s="2">
        <f t="shared" si="4"/>
        <v>690</v>
      </c>
      <c r="H40" s="15">
        <f t="shared" si="1"/>
        <v>0.25072463768115943</v>
      </c>
      <c r="I40" s="63"/>
      <c r="J40"/>
      <c r="K40"/>
      <c r="L40"/>
      <c r="M40"/>
    </row>
    <row r="41" spans="1:13" x14ac:dyDescent="0.2">
      <c r="A41" s="1">
        <v>2016</v>
      </c>
      <c r="B41" s="61">
        <f>AukeCr!C42</f>
        <v>20</v>
      </c>
      <c r="C41" s="61">
        <f>SUM(AukeCr!D42:F42)</f>
        <v>49</v>
      </c>
      <c r="D41" s="61">
        <f>'Master escapements'!B49</f>
        <v>204</v>
      </c>
      <c r="E41" s="2">
        <f>'Master goals'!$D$6</f>
        <v>200</v>
      </c>
      <c r="F41" s="2">
        <f>'Master goals'!$E$6</f>
        <v>500</v>
      </c>
      <c r="G41" s="2">
        <f t="shared" si="4"/>
        <v>273</v>
      </c>
      <c r="H41" s="15">
        <f t="shared" si="1"/>
        <v>0.25274725274725274</v>
      </c>
      <c r="I41" s="63"/>
      <c r="J41"/>
      <c r="K41"/>
      <c r="L41"/>
      <c r="M41"/>
    </row>
    <row r="42" spans="1:13" x14ac:dyDescent="0.2">
      <c r="A42" s="1">
        <v>2017</v>
      </c>
      <c r="B42" s="61">
        <f>AukeCr!C43</f>
        <v>163</v>
      </c>
      <c r="C42" s="61">
        <f>SUM(AukeCr!D43:F43)</f>
        <v>33</v>
      </c>
      <c r="D42" s="61">
        <f>'Master escapements'!B50</f>
        <v>283</v>
      </c>
      <c r="E42" s="2">
        <f>'Master goals'!$D$6</f>
        <v>200</v>
      </c>
      <c r="F42" s="2">
        <f>'Master goals'!$E$6</f>
        <v>500</v>
      </c>
      <c r="G42" s="2">
        <f t="shared" si="4"/>
        <v>479</v>
      </c>
      <c r="H42" s="15">
        <f t="shared" si="1"/>
        <v>0.40918580375782881</v>
      </c>
      <c r="I42" s="63"/>
      <c r="J42"/>
      <c r="K42"/>
      <c r="L42"/>
      <c r="M42"/>
    </row>
    <row r="43" spans="1:13" x14ac:dyDescent="0.2">
      <c r="A43" s="1">
        <v>2018</v>
      </c>
      <c r="B43" s="503">
        <v>57</v>
      </c>
      <c r="C43" s="503">
        <v>99</v>
      </c>
      <c r="D43" s="503">
        <v>142</v>
      </c>
      <c r="E43" s="504">
        <f>'Master goals'!$D$6</f>
        <v>200</v>
      </c>
      <c r="F43" s="504">
        <f>'Master goals'!$E$6</f>
        <v>500</v>
      </c>
      <c r="G43" s="504">
        <f t="shared" ref="G43" si="5">B43+C43+D43</f>
        <v>298</v>
      </c>
      <c r="H43" s="505">
        <f t="shared" ref="H43" si="6">(B43+C43)/G43</f>
        <v>0.52348993288590606</v>
      </c>
      <c r="I43" s="63"/>
      <c r="J43"/>
      <c r="K43"/>
      <c r="L43"/>
      <c r="M43"/>
    </row>
    <row r="44" spans="1:13" x14ac:dyDescent="0.2">
      <c r="B44" s="2"/>
      <c r="C44" s="2" t="s">
        <v>8</v>
      </c>
      <c r="D44" s="2"/>
      <c r="E44" s="2"/>
      <c r="F44" s="2"/>
      <c r="H44" s="5" t="s">
        <v>14</v>
      </c>
      <c r="I44"/>
      <c r="J44">
        <v>0.80566042864616405</v>
      </c>
      <c r="K44" s="2">
        <f>E46/J44</f>
        <v>4468.3837904878346</v>
      </c>
      <c r="L44" s="2">
        <f>F46/J44</f>
        <v>10053.863528597627</v>
      </c>
      <c r="M44"/>
    </row>
    <row r="45" spans="1:13" x14ac:dyDescent="0.2">
      <c r="A45" s="1" t="s">
        <v>3</v>
      </c>
      <c r="B45" s="2" t="s">
        <v>4</v>
      </c>
      <c r="C45" s="2" t="s">
        <v>9</v>
      </c>
      <c r="D45" s="2" t="s">
        <v>10</v>
      </c>
      <c r="E45" s="10" t="s">
        <v>7</v>
      </c>
      <c r="F45" s="10" t="s">
        <v>6</v>
      </c>
      <c r="I45" s="67" t="s">
        <v>45</v>
      </c>
      <c r="J45" s="67" t="s">
        <v>46</v>
      </c>
      <c r="K45"/>
      <c r="L45" s="68" t="s">
        <v>4</v>
      </c>
      <c r="M45" s="68" t="s">
        <v>9</v>
      </c>
    </row>
    <row r="46" spans="1:13" x14ac:dyDescent="0.2">
      <c r="A46" s="1">
        <v>1974</v>
      </c>
      <c r="B46" s="2">
        <f>'Berners River'!C7</f>
        <v>9161.4098360655735</v>
      </c>
      <c r="C46" s="2">
        <v>4986.5901639344265</v>
      </c>
      <c r="D46" s="2">
        <v>4124</v>
      </c>
      <c r="E46" s="2">
        <v>3600</v>
      </c>
      <c r="F46" s="2">
        <v>8100</v>
      </c>
      <c r="I46"/>
      <c r="J46" s="2"/>
      <c r="K46" s="2"/>
      <c r="L46" s="2"/>
      <c r="M46" s="2"/>
    </row>
    <row r="47" spans="1:13" x14ac:dyDescent="0.2">
      <c r="A47" s="1">
        <v>1975</v>
      </c>
      <c r="B47" s="2"/>
      <c r="C47" s="2"/>
      <c r="D47" s="2"/>
      <c r="E47" s="2">
        <v>3600</v>
      </c>
      <c r="F47" s="2">
        <v>8100</v>
      </c>
      <c r="I47"/>
      <c r="J47" s="2"/>
      <c r="K47" s="2"/>
      <c r="L47" s="2"/>
      <c r="M47" s="2"/>
    </row>
    <row r="48" spans="1:13" x14ac:dyDescent="0.2">
      <c r="A48" s="1">
        <v>1976</v>
      </c>
      <c r="B48" s="2"/>
      <c r="C48" s="2"/>
      <c r="D48" s="2"/>
      <c r="E48" s="2">
        <v>3600</v>
      </c>
      <c r="F48" s="2">
        <v>8100</v>
      </c>
      <c r="I48"/>
      <c r="J48" s="2"/>
      <c r="K48" s="2"/>
      <c r="L48" s="2"/>
      <c r="M48" s="2"/>
    </row>
    <row r="49" spans="1:16" x14ac:dyDescent="0.2">
      <c r="A49" s="1">
        <v>1977</v>
      </c>
      <c r="B49" s="2"/>
      <c r="C49" s="2"/>
      <c r="D49" s="2"/>
      <c r="E49" s="2">
        <v>3600</v>
      </c>
      <c r="F49" s="2">
        <v>8100</v>
      </c>
      <c r="I49"/>
      <c r="J49" s="2"/>
      <c r="K49" s="2"/>
      <c r="L49" s="2"/>
      <c r="M49" s="2"/>
    </row>
    <row r="50" spans="1:16" x14ac:dyDescent="0.2">
      <c r="A50" s="1">
        <v>1978</v>
      </c>
      <c r="B50" s="2">
        <v>7208.2104200000003</v>
      </c>
      <c r="C50" s="2">
        <v>4143.6868244444504</v>
      </c>
      <c r="D50" s="2">
        <v>3119</v>
      </c>
      <c r="E50" s="2">
        <v>3600</v>
      </c>
      <c r="F50" s="2">
        <v>8100</v>
      </c>
      <c r="I50"/>
      <c r="J50" s="2"/>
      <c r="K50" s="2"/>
      <c r="L50" s="2"/>
      <c r="M50" s="2"/>
    </row>
    <row r="51" spans="1:16" x14ac:dyDescent="0.2">
      <c r="A51" s="1">
        <v>1979</v>
      </c>
      <c r="B51" s="2">
        <v>4892.1190690909107</v>
      </c>
      <c r="C51" s="2">
        <v>2280.0084872727275</v>
      </c>
      <c r="D51" s="2">
        <v>3460</v>
      </c>
      <c r="E51" s="2">
        <v>3600</v>
      </c>
      <c r="F51" s="2">
        <v>8100</v>
      </c>
      <c r="I51"/>
      <c r="J51" s="2"/>
      <c r="K51" s="2"/>
      <c r="L51" s="2"/>
      <c r="M51" s="2"/>
    </row>
    <row r="52" spans="1:16" x14ac:dyDescent="0.2">
      <c r="A52" s="1">
        <v>1980</v>
      </c>
      <c r="B52" s="2"/>
      <c r="C52" s="2"/>
      <c r="D52" s="2"/>
      <c r="E52" s="2">
        <v>3600</v>
      </c>
      <c r="F52" s="2">
        <v>8100</v>
      </c>
      <c r="I52"/>
      <c r="J52" s="2"/>
      <c r="K52" s="2"/>
      <c r="L52" s="2"/>
      <c r="M52" s="2"/>
    </row>
    <row r="53" spans="1:16" x14ac:dyDescent="0.2">
      <c r="A53" s="1">
        <v>1981</v>
      </c>
      <c r="B53" s="2"/>
      <c r="C53" s="2"/>
      <c r="D53" s="2"/>
      <c r="E53" s="2">
        <v>3600</v>
      </c>
      <c r="F53" s="2">
        <v>8100</v>
      </c>
      <c r="I53"/>
      <c r="J53" s="2"/>
      <c r="K53" s="2"/>
      <c r="L53" s="2"/>
      <c r="M53" s="2"/>
    </row>
    <row r="54" spans="1:16" x14ac:dyDescent="0.2">
      <c r="A54" s="1">
        <v>1982</v>
      </c>
      <c r="B54" s="51">
        <v>14139.742350000006</v>
      </c>
      <c r="C54" s="51">
        <v>10964.724093749999</v>
      </c>
      <c r="D54" s="51">
        <f>'Master escapements'!E15</f>
        <v>7505</v>
      </c>
      <c r="E54" s="2">
        <v>3600</v>
      </c>
      <c r="F54" s="2">
        <v>8100</v>
      </c>
      <c r="G54" s="2">
        <f t="shared" ref="G54:G63" si="7">B54+C54+D54</f>
        <v>32609.466443750003</v>
      </c>
      <c r="H54" s="1" t="s">
        <v>13</v>
      </c>
      <c r="I54"/>
      <c r="J54" s="2"/>
      <c r="K54" s="2"/>
      <c r="L54" s="2"/>
      <c r="M54" s="2"/>
    </row>
    <row r="55" spans="1:16" x14ac:dyDescent="0.2">
      <c r="A55" s="1">
        <v>1983</v>
      </c>
      <c r="B55" s="51">
        <v>17176.461926666681</v>
      </c>
      <c r="C55" s="51">
        <v>7398.0341876190532</v>
      </c>
      <c r="D55" s="51">
        <f>'Master escapements'!E16</f>
        <v>9840</v>
      </c>
      <c r="E55" s="2">
        <v>3600</v>
      </c>
      <c r="F55" s="2">
        <v>8100</v>
      </c>
      <c r="G55" s="2">
        <f t="shared" si="7"/>
        <v>34414.496114285736</v>
      </c>
      <c r="I55"/>
      <c r="J55" s="2"/>
      <c r="K55" s="2"/>
      <c r="L55" s="2"/>
      <c r="M55" s="2"/>
    </row>
    <row r="56" spans="1:16" x14ac:dyDescent="0.2">
      <c r="A56" s="1">
        <v>1984</v>
      </c>
      <c r="B56" s="51"/>
      <c r="C56" s="51"/>
      <c r="D56" s="51">
        <f>'Master escapements'!E17</f>
        <v>2825</v>
      </c>
      <c r="E56" s="2">
        <v>3600</v>
      </c>
      <c r="F56" s="2">
        <v>8100</v>
      </c>
      <c r="G56" s="2"/>
      <c r="I56"/>
      <c r="J56" s="2"/>
      <c r="K56" s="2"/>
      <c r="L56" s="51"/>
      <c r="M56" s="51"/>
    </row>
    <row r="57" spans="1:16" x14ac:dyDescent="0.2">
      <c r="A57" s="1">
        <v>1985</v>
      </c>
      <c r="B57" s="51">
        <f>'Berners River'!C14</f>
        <v>10861.480585714284</v>
      </c>
      <c r="C57" s="51">
        <f>SUM('Berners River'!D14:H14)</f>
        <v>7305.9263485714255</v>
      </c>
      <c r="D57" s="51">
        <f>'Master escapements'!E18</f>
        <v>6169</v>
      </c>
      <c r="E57" s="2">
        <v>3600</v>
      </c>
      <c r="F57" s="2">
        <v>8100</v>
      </c>
      <c r="G57" s="2">
        <f t="shared" si="7"/>
        <v>24336.406934285711</v>
      </c>
      <c r="I57"/>
      <c r="J57" s="2"/>
      <c r="K57" s="2"/>
      <c r="L57" s="2"/>
      <c r="M57" s="2"/>
      <c r="P57" s="2"/>
    </row>
    <row r="58" spans="1:16" x14ac:dyDescent="0.2">
      <c r="A58" s="1">
        <v>1986</v>
      </c>
      <c r="B58" s="51">
        <f>'Berners River'!C15</f>
        <v>13565.22991599998</v>
      </c>
      <c r="C58" s="51">
        <f>SUM('Berners River'!D15:H15)</f>
        <v>9370.0138746666598</v>
      </c>
      <c r="D58" s="51">
        <f>'Master escapements'!E19</f>
        <v>1752</v>
      </c>
      <c r="E58" s="2">
        <v>3600</v>
      </c>
      <c r="F58" s="2">
        <v>8100</v>
      </c>
      <c r="G58" s="2">
        <f t="shared" si="7"/>
        <v>24687.243790666638</v>
      </c>
      <c r="I58"/>
      <c r="J58" s="2"/>
      <c r="K58" s="2"/>
      <c r="L58" s="2"/>
      <c r="M58" s="2"/>
      <c r="P58" s="2"/>
    </row>
    <row r="59" spans="1:16" x14ac:dyDescent="0.2">
      <c r="A59" s="1">
        <v>1987</v>
      </c>
      <c r="B59" s="51">
        <f>'Berners River'!C16</f>
        <v>7210.7570332258092</v>
      </c>
      <c r="C59" s="51">
        <f>SUM('Berners River'!D16:H16)</f>
        <v>3483.3823206451616</v>
      </c>
      <c r="D59" s="51">
        <f>'Master escapements'!E20</f>
        <v>3260</v>
      </c>
      <c r="E59" s="2">
        <v>3600</v>
      </c>
      <c r="F59" s="2">
        <v>8100</v>
      </c>
      <c r="G59" s="2">
        <f t="shared" si="7"/>
        <v>13954.139353870971</v>
      </c>
      <c r="I59"/>
      <c r="J59" s="2"/>
      <c r="K59" s="2"/>
      <c r="L59" s="2"/>
      <c r="M59" s="2"/>
      <c r="P59" s="2"/>
    </row>
    <row r="60" spans="1:16" x14ac:dyDescent="0.2">
      <c r="A60" s="1">
        <v>1988</v>
      </c>
      <c r="B60" s="51">
        <f>'Berners River'!C17</f>
        <v>6060.4003293750011</v>
      </c>
      <c r="C60" s="51">
        <f>SUM('Berners River'!D17:H17)</f>
        <v>6363.9396100000022</v>
      </c>
      <c r="D60" s="51">
        <f>'Master escapements'!E21</f>
        <v>2724</v>
      </c>
      <c r="E60" s="2">
        <v>3600</v>
      </c>
      <c r="F60" s="2">
        <v>8100</v>
      </c>
      <c r="G60" s="2">
        <f t="shared" si="7"/>
        <v>15148.339939375004</v>
      </c>
      <c r="I60"/>
      <c r="J60" s="2"/>
      <c r="K60" s="2"/>
      <c r="L60" s="2"/>
      <c r="M60" s="2"/>
      <c r="P60" s="2"/>
    </row>
    <row r="61" spans="1:16" x14ac:dyDescent="0.2">
      <c r="A61" s="1">
        <v>1989</v>
      </c>
      <c r="B61" s="51">
        <f>'Berners River'!C18</f>
        <v>10582.789888648653</v>
      </c>
      <c r="C61" s="51">
        <f>SUM('Berners River'!D18:H18)</f>
        <v>1664.5295875675677</v>
      </c>
      <c r="D61" s="51">
        <f>'Master escapements'!E22</f>
        <v>7509</v>
      </c>
      <c r="E61" s="2">
        <v>3600</v>
      </c>
      <c r="F61" s="2">
        <v>8100</v>
      </c>
      <c r="G61" s="2">
        <f t="shared" si="7"/>
        <v>19756.31947621622</v>
      </c>
      <c r="I61" s="2">
        <f>'Berners River'!J102</f>
        <v>9320</v>
      </c>
      <c r="J61" s="2">
        <v>4500</v>
      </c>
      <c r="K61" s="2">
        <v>10000</v>
      </c>
      <c r="L61" s="2">
        <f t="shared" ref="L61:L87" si="8">B61</f>
        <v>10582.789888648653</v>
      </c>
      <c r="M61" s="2">
        <f t="shared" ref="M61:M87" si="9">C61</f>
        <v>1664.5295875675677</v>
      </c>
      <c r="N61" s="2">
        <f>B61+C61+I61</f>
        <v>21567.31947621622</v>
      </c>
      <c r="O61" s="2">
        <f>MEDIAN(N61:N76)</f>
        <v>36081.895670314247</v>
      </c>
      <c r="P61" s="19"/>
    </row>
    <row r="62" spans="1:16" x14ac:dyDescent="0.2">
      <c r="A62" s="1">
        <v>1990</v>
      </c>
      <c r="B62" s="51">
        <f>'Berners River'!C19</f>
        <v>15006.906562552591</v>
      </c>
      <c r="C62" s="51">
        <f>SUM('Berners River'!D19:H19)</f>
        <v>7903.7236924422314</v>
      </c>
      <c r="D62" s="51">
        <f>'Master escapements'!E23</f>
        <v>11050</v>
      </c>
      <c r="E62" s="2">
        <v>3600</v>
      </c>
      <c r="F62" s="2">
        <v>8100</v>
      </c>
      <c r="G62" s="2">
        <f t="shared" si="7"/>
        <v>33960.630254994823</v>
      </c>
      <c r="H62" s="15">
        <f t="shared" ref="H62:H73" si="10">B62/G62</f>
        <v>0.44189128558194007</v>
      </c>
      <c r="I62" s="2">
        <f>'Berners River'!J103</f>
        <v>13715</v>
      </c>
      <c r="J62" s="2">
        <v>4500</v>
      </c>
      <c r="K62" s="2">
        <v>10000</v>
      </c>
      <c r="L62" s="2">
        <f t="shared" si="8"/>
        <v>15006.906562552591</v>
      </c>
      <c r="M62" s="2">
        <f t="shared" si="9"/>
        <v>7903.7236924422314</v>
      </c>
      <c r="N62" s="2">
        <f>B62+C62+I62</f>
        <v>36625.630254994823</v>
      </c>
      <c r="O62" s="2">
        <f>O61</f>
        <v>36081.895670314247</v>
      </c>
      <c r="P62" s="2"/>
    </row>
    <row r="63" spans="1:16" x14ac:dyDescent="0.2">
      <c r="A63" s="1">
        <v>1991</v>
      </c>
      <c r="B63" s="51">
        <f>'Berners River'!C20</f>
        <v>6448.5848185505256</v>
      </c>
      <c r="C63" s="51">
        <f>SUM('Berners River'!D20:H20)</f>
        <v>17008.220035610553</v>
      </c>
      <c r="D63" s="51">
        <f>'Master escapements'!E24</f>
        <v>11530</v>
      </c>
      <c r="E63" s="2">
        <v>3600</v>
      </c>
      <c r="F63" s="2">
        <v>8100</v>
      </c>
      <c r="G63" s="2">
        <f t="shared" si="7"/>
        <v>34986.804854161077</v>
      </c>
      <c r="H63" s="15">
        <f t="shared" si="10"/>
        <v>0.18431476796554566</v>
      </c>
      <c r="I63" s="2">
        <f>'Berners River'!J104</f>
        <v>14311</v>
      </c>
      <c r="J63" s="2">
        <v>4500</v>
      </c>
      <c r="K63" s="2">
        <v>10000</v>
      </c>
      <c r="L63" s="2">
        <f t="shared" si="8"/>
        <v>6448.5848185505256</v>
      </c>
      <c r="M63" s="2">
        <f t="shared" si="9"/>
        <v>17008.220035610553</v>
      </c>
      <c r="N63" s="2">
        <f t="shared" ref="N63:N90" si="11">B63+C63+I63</f>
        <v>37767.804854161077</v>
      </c>
      <c r="O63" s="2">
        <f>O62</f>
        <v>36081.895670314247</v>
      </c>
      <c r="P63" s="2"/>
    </row>
    <row r="64" spans="1:16" x14ac:dyDescent="0.2">
      <c r="A64" s="1">
        <v>1992</v>
      </c>
      <c r="B64" s="51">
        <f>'Berners River'!C21</f>
        <v>15318.194687812569</v>
      </c>
      <c r="C64" s="51">
        <f>SUM('Berners River'!D21:H21)</f>
        <v>15376.580432960342</v>
      </c>
      <c r="D64" s="51">
        <f>'Master escapements'!E25</f>
        <v>15300</v>
      </c>
      <c r="E64" s="2">
        <v>3600</v>
      </c>
      <c r="F64" s="2">
        <v>8100</v>
      </c>
      <c r="G64" s="2">
        <f t="shared" ref="G64:G69" si="12">B64+C64+D64</f>
        <v>45994.775120772909</v>
      </c>
      <c r="H64" s="15">
        <f t="shared" si="10"/>
        <v>0.33304206070341924</v>
      </c>
      <c r="I64" s="2">
        <f>'Berners River'!J105</f>
        <v>18991</v>
      </c>
      <c r="J64" s="2">
        <v>4500</v>
      </c>
      <c r="K64" s="2">
        <v>10000</v>
      </c>
      <c r="L64" s="2">
        <f t="shared" si="8"/>
        <v>15318.194687812569</v>
      </c>
      <c r="M64" s="2">
        <f t="shared" si="9"/>
        <v>15376.580432960342</v>
      </c>
      <c r="N64" s="2">
        <f t="shared" si="11"/>
        <v>49685.775120772909</v>
      </c>
      <c r="O64" s="2">
        <f t="shared" ref="O64:O76" si="13">O63</f>
        <v>36081.895670314247</v>
      </c>
      <c r="P64" s="2"/>
    </row>
    <row r="65" spans="1:20" x14ac:dyDescent="0.2">
      <c r="A65" s="1">
        <v>1993</v>
      </c>
      <c r="B65" s="51">
        <f>'Berners River'!C22</f>
        <v>19308.334788727647</v>
      </c>
      <c r="C65" s="51">
        <f>SUM('Berners River'!D22:H22)</f>
        <v>14627.286861220649</v>
      </c>
      <c r="D65" s="51">
        <f>'Master escapements'!E26</f>
        <v>15670</v>
      </c>
      <c r="E65" s="2">
        <v>3600</v>
      </c>
      <c r="F65" s="2">
        <v>8100</v>
      </c>
      <c r="G65" s="2">
        <f t="shared" si="12"/>
        <v>49605.621649948298</v>
      </c>
      <c r="H65" s="15">
        <f t="shared" si="10"/>
        <v>0.38923682732938336</v>
      </c>
      <c r="I65" s="2">
        <f>'Berners River'!J106</f>
        <v>19450</v>
      </c>
      <c r="J65" s="2">
        <v>4500</v>
      </c>
      <c r="K65" s="2">
        <v>10000</v>
      </c>
      <c r="L65" s="2">
        <f t="shared" si="8"/>
        <v>19308.334788727647</v>
      </c>
      <c r="M65" s="2">
        <f t="shared" si="9"/>
        <v>14627.286861220649</v>
      </c>
      <c r="N65" s="2">
        <f t="shared" si="11"/>
        <v>53385.621649948298</v>
      </c>
      <c r="O65" s="2">
        <f t="shared" si="13"/>
        <v>36081.895670314247</v>
      </c>
      <c r="P65" s="2"/>
    </row>
    <row r="66" spans="1:20" x14ac:dyDescent="0.2">
      <c r="A66" s="1">
        <v>1994</v>
      </c>
      <c r="B66" s="51">
        <f>'Berners River'!C23</f>
        <v>27339.017989400378</v>
      </c>
      <c r="C66" s="51">
        <f>SUM('Berners River'!D23:H23)</f>
        <v>30109.870411608859</v>
      </c>
      <c r="D66" s="51">
        <f>'Master escapements'!E27</f>
        <v>15920</v>
      </c>
      <c r="E66" s="2">
        <v>3600</v>
      </c>
      <c r="F66" s="2">
        <v>8100</v>
      </c>
      <c r="G66" s="2">
        <f t="shared" si="12"/>
        <v>73368.88840100923</v>
      </c>
      <c r="H66" s="15">
        <f t="shared" si="10"/>
        <v>0.37262412700018926</v>
      </c>
      <c r="I66" s="2">
        <f>'Berners River'!J107</f>
        <v>19760</v>
      </c>
      <c r="J66" s="2">
        <v>4500</v>
      </c>
      <c r="K66" s="2">
        <v>10000</v>
      </c>
      <c r="L66" s="2">
        <f t="shared" si="8"/>
        <v>27339.017989400378</v>
      </c>
      <c r="M66" s="2">
        <f t="shared" si="9"/>
        <v>30109.870411608859</v>
      </c>
      <c r="N66" s="2">
        <f t="shared" si="11"/>
        <v>77208.88840100923</v>
      </c>
      <c r="O66" s="2">
        <f t="shared" si="13"/>
        <v>36081.895670314247</v>
      </c>
      <c r="P66" s="2"/>
    </row>
    <row r="67" spans="1:20" x14ac:dyDescent="0.2">
      <c r="A67" s="1">
        <v>1995</v>
      </c>
      <c r="B67" s="51">
        <f>'Berners River'!C24</f>
        <v>8765.6907583897864</v>
      </c>
      <c r="C67" s="51">
        <f>SUM('Berners River'!D24:H24)</f>
        <v>15104.459928559276</v>
      </c>
      <c r="D67" s="51">
        <f>'Master escapements'!E28</f>
        <v>4945</v>
      </c>
      <c r="E67" s="2">
        <v>3600</v>
      </c>
      <c r="F67" s="2">
        <v>8100</v>
      </c>
      <c r="G67" s="2">
        <f t="shared" si="12"/>
        <v>28815.150686949062</v>
      </c>
      <c r="H67" s="15">
        <f t="shared" si="10"/>
        <v>0.30420423108736117</v>
      </c>
      <c r="I67" s="2">
        <f>'Berners River'!J108</f>
        <v>6138</v>
      </c>
      <c r="J67" s="2">
        <v>4500</v>
      </c>
      <c r="K67" s="2">
        <v>10000</v>
      </c>
      <c r="L67" s="2">
        <f t="shared" si="8"/>
        <v>8765.6907583897864</v>
      </c>
      <c r="M67" s="2">
        <f t="shared" si="9"/>
        <v>15104.459928559276</v>
      </c>
      <c r="N67" s="2">
        <f t="shared" si="11"/>
        <v>30008.150686949062</v>
      </c>
      <c r="O67" s="2">
        <f t="shared" si="13"/>
        <v>36081.895670314247</v>
      </c>
      <c r="P67" s="2"/>
    </row>
    <row r="68" spans="1:20" x14ac:dyDescent="0.2">
      <c r="A68" s="1">
        <v>1996</v>
      </c>
      <c r="B68" s="51">
        <f>'Berners River'!C25</f>
        <v>10528.730040144168</v>
      </c>
      <c r="C68" s="51">
        <f>SUM('Berners River'!D25:H25)</f>
        <v>7074.9686336538462</v>
      </c>
      <c r="D68" s="51">
        <f>'Master escapements'!E29</f>
        <v>6050</v>
      </c>
      <c r="E68" s="2">
        <v>3600</v>
      </c>
      <c r="F68" s="2">
        <v>8100</v>
      </c>
      <c r="G68" s="2">
        <f t="shared" si="12"/>
        <v>23653.698673798015</v>
      </c>
      <c r="H68" s="15">
        <f t="shared" si="10"/>
        <v>0.44511981763795744</v>
      </c>
      <c r="I68" s="2">
        <f>'Berners River'!J109</f>
        <v>7509</v>
      </c>
      <c r="J68" s="2">
        <v>4500</v>
      </c>
      <c r="K68" s="2">
        <v>10000</v>
      </c>
      <c r="L68" s="2">
        <f t="shared" si="8"/>
        <v>10528.730040144168</v>
      </c>
      <c r="M68" s="2">
        <f t="shared" si="9"/>
        <v>7074.9686336538462</v>
      </c>
      <c r="N68" s="2">
        <f t="shared" si="11"/>
        <v>25112.698673798015</v>
      </c>
      <c r="O68" s="2">
        <f t="shared" si="13"/>
        <v>36081.895670314247</v>
      </c>
      <c r="P68" s="2"/>
      <c r="T68" s="2"/>
    </row>
    <row r="69" spans="1:20" x14ac:dyDescent="0.2">
      <c r="A69" s="1">
        <v>1997</v>
      </c>
      <c r="B69" s="51">
        <f>'Berners River'!C26</f>
        <v>2452.8423084848455</v>
      </c>
      <c r="C69" s="51">
        <f>SUM('Berners River'!D26:H26)</f>
        <v>2781.3509854027516</v>
      </c>
      <c r="D69" s="51">
        <f>'Master escapements'!E30</f>
        <v>10050</v>
      </c>
      <c r="E69" s="2">
        <v>3600</v>
      </c>
      <c r="F69" s="2">
        <v>8100</v>
      </c>
      <c r="G69" s="2">
        <f t="shared" si="12"/>
        <v>15284.193293887598</v>
      </c>
      <c r="H69" s="15">
        <f t="shared" si="10"/>
        <v>0.16048228789842495</v>
      </c>
      <c r="I69" s="2">
        <f>'Berners River'!J110</f>
        <v>12474</v>
      </c>
      <c r="J69" s="2">
        <v>4500</v>
      </c>
      <c r="K69" s="2">
        <v>10000</v>
      </c>
      <c r="L69" s="2">
        <f t="shared" si="8"/>
        <v>2452.8423084848455</v>
      </c>
      <c r="M69" s="2">
        <f t="shared" si="9"/>
        <v>2781.3509854027516</v>
      </c>
      <c r="N69" s="2">
        <f t="shared" si="11"/>
        <v>17708.193293887598</v>
      </c>
      <c r="O69" s="2">
        <f t="shared" si="13"/>
        <v>36081.895670314247</v>
      </c>
      <c r="P69" s="2"/>
    </row>
    <row r="70" spans="1:20" x14ac:dyDescent="0.2">
      <c r="A70" s="1">
        <v>1998</v>
      </c>
      <c r="B70" s="51">
        <f>'Berners River'!C27</f>
        <v>10424.447558787861</v>
      </c>
      <c r="C70" s="51">
        <f>SUM('Berners River'!D27:H27)</f>
        <v>5910.6912592145454</v>
      </c>
      <c r="D70" s="51">
        <f>'Master escapements'!E31</f>
        <v>6802</v>
      </c>
      <c r="E70" s="2">
        <v>3600</v>
      </c>
      <c r="F70" s="2">
        <v>8100</v>
      </c>
      <c r="G70" s="2">
        <f>B70+C70+D70</f>
        <v>23137.138818002408</v>
      </c>
      <c r="H70" s="15">
        <f t="shared" si="10"/>
        <v>0.45055041769801146</v>
      </c>
      <c r="I70" s="2">
        <f>'Berners River'!J111</f>
        <v>8443</v>
      </c>
      <c r="J70" s="2">
        <v>4500</v>
      </c>
      <c r="K70" s="2">
        <v>10000</v>
      </c>
      <c r="L70" s="2">
        <f t="shared" si="8"/>
        <v>10424.447558787861</v>
      </c>
      <c r="M70" s="2">
        <f t="shared" si="9"/>
        <v>5910.6912592145454</v>
      </c>
      <c r="N70" s="2">
        <f t="shared" si="11"/>
        <v>24778.138818002408</v>
      </c>
      <c r="O70" s="2">
        <f t="shared" si="13"/>
        <v>36081.895670314247</v>
      </c>
      <c r="P70" s="2"/>
    </row>
    <row r="71" spans="1:20" x14ac:dyDescent="0.2">
      <c r="A71" s="1">
        <v>1999</v>
      </c>
      <c r="B71" s="51">
        <f>'Berners River'!C28</f>
        <v>12876.411924788617</v>
      </c>
      <c r="C71" s="51">
        <f>SUM('Berners River'!D28:H28)</f>
        <v>10348.749160845062</v>
      </c>
      <c r="D71" s="51">
        <f>'Master escapements'!E32</f>
        <v>9920</v>
      </c>
      <c r="E71" s="2">
        <v>3600</v>
      </c>
      <c r="F71" s="2">
        <v>8100</v>
      </c>
      <c r="G71" s="2">
        <f t="shared" ref="G71:G76" si="14">SUM(B71:D71)</f>
        <v>33145.161085633677</v>
      </c>
      <c r="H71" s="15">
        <f t="shared" si="10"/>
        <v>0.38848542300099803</v>
      </c>
      <c r="I71" s="2">
        <f>'Berners River'!J112</f>
        <v>12313</v>
      </c>
      <c r="J71" s="2">
        <v>4500</v>
      </c>
      <c r="K71" s="2">
        <v>10000</v>
      </c>
      <c r="L71" s="2">
        <f t="shared" si="8"/>
        <v>12876.411924788617</v>
      </c>
      <c r="M71" s="2">
        <f t="shared" si="9"/>
        <v>10348.749160845062</v>
      </c>
      <c r="N71" s="2">
        <f t="shared" si="11"/>
        <v>35538.161085633677</v>
      </c>
      <c r="O71" s="2">
        <f t="shared" si="13"/>
        <v>36081.895670314247</v>
      </c>
      <c r="P71" s="2"/>
    </row>
    <row r="72" spans="1:20" x14ac:dyDescent="0.2">
      <c r="A72" s="1">
        <v>2000</v>
      </c>
      <c r="B72" s="51">
        <f>'Berners River'!C29</f>
        <v>4810.7035637946483</v>
      </c>
      <c r="C72" s="51">
        <f>SUM('Berners River'!D29:H29)</f>
        <v>6004.0087996874972</v>
      </c>
      <c r="D72" s="51">
        <f>'Master escapements'!E33</f>
        <v>10650</v>
      </c>
      <c r="E72" s="2">
        <v>3600</v>
      </c>
      <c r="F72" s="2">
        <v>8100</v>
      </c>
      <c r="G72" s="2">
        <f t="shared" si="14"/>
        <v>21464.712363482147</v>
      </c>
      <c r="H72" s="15">
        <f t="shared" si="10"/>
        <v>0.22412150148254883</v>
      </c>
      <c r="I72" s="2">
        <f>'Berners River'!J113</f>
        <v>13219</v>
      </c>
      <c r="J72" s="2">
        <v>4500</v>
      </c>
      <c r="K72" s="2">
        <v>10000</v>
      </c>
      <c r="L72" s="2">
        <f t="shared" si="8"/>
        <v>4810.7035637946483</v>
      </c>
      <c r="M72" s="2">
        <f t="shared" si="9"/>
        <v>6004.0087996874972</v>
      </c>
      <c r="N72" s="2">
        <f t="shared" si="11"/>
        <v>24033.712363482147</v>
      </c>
      <c r="O72" s="2">
        <f t="shared" si="13"/>
        <v>36081.895670314247</v>
      </c>
      <c r="P72" s="2"/>
    </row>
    <row r="73" spans="1:20" x14ac:dyDescent="0.2">
      <c r="A73" s="1">
        <v>2001</v>
      </c>
      <c r="B73" s="51">
        <f>'Berners River'!C30</f>
        <v>8814.3456853610987</v>
      </c>
      <c r="C73" s="51">
        <f>SUM('Berners River'!D30:H30)</f>
        <v>4048.4054414634797</v>
      </c>
      <c r="D73" s="51">
        <f>'Master escapements'!E34</f>
        <v>19290</v>
      </c>
      <c r="E73" s="2">
        <v>3600</v>
      </c>
      <c r="F73" s="2">
        <v>8100</v>
      </c>
      <c r="G73" s="2">
        <f t="shared" si="14"/>
        <v>32152.75112682458</v>
      </c>
      <c r="H73" s="15">
        <f t="shared" si="10"/>
        <v>0.27413970426958012</v>
      </c>
      <c r="I73" s="2">
        <f>'Berners River'!J114</f>
        <v>23943</v>
      </c>
      <c r="J73" s="2">
        <v>4500</v>
      </c>
      <c r="K73" s="2">
        <v>10000</v>
      </c>
      <c r="L73" s="2">
        <f t="shared" si="8"/>
        <v>8814.3456853610987</v>
      </c>
      <c r="M73" s="2">
        <f t="shared" si="9"/>
        <v>4048.4054414634797</v>
      </c>
      <c r="N73" s="2">
        <f t="shared" si="11"/>
        <v>36805.75112682458</v>
      </c>
      <c r="O73" s="2">
        <f t="shared" si="13"/>
        <v>36081.895670314247</v>
      </c>
      <c r="P73" s="2"/>
    </row>
    <row r="74" spans="1:20" x14ac:dyDescent="0.2">
      <c r="A74" s="1">
        <v>2002</v>
      </c>
      <c r="B74" s="51">
        <f>'Berners River'!C31</f>
        <v>8649.799148571401</v>
      </c>
      <c r="C74" s="51">
        <f>SUM('Berners River'!D31:H31)</f>
        <v>13468.621889380582</v>
      </c>
      <c r="D74" s="51">
        <f>'Master escapements'!E35</f>
        <v>27700</v>
      </c>
      <c r="E74" s="2">
        <v>3600</v>
      </c>
      <c r="F74" s="2">
        <v>8100</v>
      </c>
      <c r="G74" s="2">
        <f t="shared" si="14"/>
        <v>49818.421037951979</v>
      </c>
      <c r="H74" s="15">
        <f t="shared" ref="H74:H79" si="15">B74/G74</f>
        <v>0.17362652144237833</v>
      </c>
      <c r="I74" s="2">
        <f>'Berners River'!J115</f>
        <v>34382</v>
      </c>
      <c r="J74" s="2">
        <v>4500</v>
      </c>
      <c r="K74" s="2">
        <v>10000</v>
      </c>
      <c r="L74" s="2">
        <f t="shared" si="8"/>
        <v>8649.799148571401</v>
      </c>
      <c r="M74" s="2">
        <f t="shared" si="9"/>
        <v>13468.621889380582</v>
      </c>
      <c r="N74" s="2">
        <f t="shared" si="11"/>
        <v>56500.421037951979</v>
      </c>
      <c r="O74" s="2">
        <f t="shared" si="13"/>
        <v>36081.895670314247</v>
      </c>
      <c r="P74" s="2"/>
    </row>
    <row r="75" spans="1:20" x14ac:dyDescent="0.2">
      <c r="A75" s="1">
        <v>2003</v>
      </c>
      <c r="B75" s="51">
        <f>'Berners River'!C32</f>
        <v>6822.780148593728</v>
      </c>
      <c r="C75" s="51">
        <f>SUM('Berners River'!D32:H32)</f>
        <v>12178.241481890531</v>
      </c>
      <c r="D75" s="51">
        <f>'Master escapements'!E36</f>
        <v>10110</v>
      </c>
      <c r="E75" s="2">
        <v>3600</v>
      </c>
      <c r="F75" s="2">
        <v>8100</v>
      </c>
      <c r="G75" s="2">
        <f t="shared" si="14"/>
        <v>29111.021630484258</v>
      </c>
      <c r="H75" s="15">
        <f t="shared" si="15"/>
        <v>0.23437103084864261</v>
      </c>
      <c r="I75" s="2">
        <f>'Berners River'!J116</f>
        <v>12549</v>
      </c>
      <c r="J75" s="2">
        <v>4500</v>
      </c>
      <c r="K75" s="2">
        <v>10000</v>
      </c>
      <c r="L75" s="2">
        <f t="shared" si="8"/>
        <v>6822.780148593728</v>
      </c>
      <c r="M75" s="2">
        <f t="shared" si="9"/>
        <v>12178.241481890531</v>
      </c>
      <c r="N75" s="2">
        <f t="shared" si="11"/>
        <v>31550.021630484258</v>
      </c>
      <c r="O75" s="2">
        <f t="shared" si="13"/>
        <v>36081.895670314247</v>
      </c>
      <c r="P75" s="2"/>
    </row>
    <row r="76" spans="1:20" x14ac:dyDescent="0.2">
      <c r="A76" s="1">
        <v>2004</v>
      </c>
      <c r="B76" s="51">
        <f>'Berners River'!C33</f>
        <v>10791.879529411573</v>
      </c>
      <c r="C76" s="51">
        <f>SUM('Berners River'!D33:H33)</f>
        <v>7932.1244014004769</v>
      </c>
      <c r="D76" s="51">
        <f>'Master escapements'!E37</f>
        <v>14450</v>
      </c>
      <c r="E76" s="2">
        <v>3600</v>
      </c>
      <c r="F76" s="2">
        <v>8100</v>
      </c>
      <c r="G76" s="2">
        <f t="shared" si="14"/>
        <v>33174.003930812047</v>
      </c>
      <c r="H76" s="15">
        <f t="shared" si="15"/>
        <v>0.32531133570488502</v>
      </c>
      <c r="I76" s="2">
        <f>'Berners River'!J117</f>
        <v>17936</v>
      </c>
      <c r="J76" s="2">
        <v>4500</v>
      </c>
      <c r="K76" s="2">
        <v>10000</v>
      </c>
      <c r="L76" s="2">
        <f t="shared" si="8"/>
        <v>10791.879529411573</v>
      </c>
      <c r="M76" s="2">
        <f t="shared" si="9"/>
        <v>7932.1244014004769</v>
      </c>
      <c r="N76" s="2">
        <f t="shared" si="11"/>
        <v>36660.003930812047</v>
      </c>
      <c r="O76" s="2">
        <f t="shared" si="13"/>
        <v>36081.895670314247</v>
      </c>
      <c r="P76" s="2"/>
    </row>
    <row r="77" spans="1:20" x14ac:dyDescent="0.2">
      <c r="A77" s="1">
        <v>2005</v>
      </c>
      <c r="B77" s="51">
        <f>'Berners River'!C34</f>
        <v>4638.6855929203448</v>
      </c>
      <c r="C77" s="51">
        <f>SUM('Berners River'!D34:H34)</f>
        <v>2899.1893495575223</v>
      </c>
      <c r="D77" s="51">
        <f>'Master escapements'!E38</f>
        <v>5220</v>
      </c>
      <c r="E77" s="2">
        <v>3600</v>
      </c>
      <c r="F77" s="2">
        <v>8100</v>
      </c>
      <c r="G77" s="2">
        <f t="shared" ref="G77:G82" si="16">SUM(B77:D77)</f>
        <v>12757.874942477867</v>
      </c>
      <c r="H77" s="15">
        <f t="shared" si="15"/>
        <v>0.36359390680932691</v>
      </c>
      <c r="I77" s="2">
        <f>'Berners River'!J118</f>
        <v>6479</v>
      </c>
      <c r="J77" s="2">
        <v>4500</v>
      </c>
      <c r="K77" s="2">
        <v>10000</v>
      </c>
      <c r="L77" s="2">
        <f t="shared" si="8"/>
        <v>4638.6855929203448</v>
      </c>
      <c r="M77" s="2">
        <f t="shared" si="9"/>
        <v>2899.1893495575223</v>
      </c>
      <c r="N77" s="2">
        <f t="shared" si="11"/>
        <v>14016.874942477867</v>
      </c>
      <c r="P77" s="2">
        <f>MEDIAN(N77:N90)</f>
        <v>15006.437471238933</v>
      </c>
    </row>
    <row r="78" spans="1:20" x14ac:dyDescent="0.2">
      <c r="A78" s="1">
        <v>2006</v>
      </c>
      <c r="B78" s="51">
        <f>'Berners River'!C35</f>
        <v>4081.5165299999962</v>
      </c>
      <c r="C78" s="51">
        <f>SUM('Berners River'!D35:H35)</f>
        <v>6270.6875726886228</v>
      </c>
      <c r="D78" s="51">
        <f>'Master escapements'!E39</f>
        <v>5470</v>
      </c>
      <c r="E78" s="2">
        <v>3600</v>
      </c>
      <c r="F78" s="2">
        <v>8100</v>
      </c>
      <c r="G78" s="2">
        <f t="shared" si="16"/>
        <v>15822.204102688618</v>
      </c>
      <c r="H78" s="15">
        <f t="shared" si="15"/>
        <v>0.25796131205932532</v>
      </c>
      <c r="I78" s="2">
        <f>'Berners River'!J119</f>
        <v>6789</v>
      </c>
      <c r="J78" s="2">
        <v>4500</v>
      </c>
      <c r="K78" s="2">
        <v>10000</v>
      </c>
      <c r="L78" s="2">
        <f t="shared" si="8"/>
        <v>4081.5165299999962</v>
      </c>
      <c r="M78" s="2">
        <f t="shared" si="9"/>
        <v>6270.6875726886228</v>
      </c>
      <c r="N78" s="2">
        <f t="shared" si="11"/>
        <v>17141.204102688618</v>
      </c>
      <c r="P78" s="2">
        <f>P77</f>
        <v>15006.437471238933</v>
      </c>
    </row>
    <row r="79" spans="1:20" x14ac:dyDescent="0.2">
      <c r="A79" s="1">
        <v>2007</v>
      </c>
      <c r="B79" s="51">
        <f>'Berners River'!C36</f>
        <v>2937.46540720339</v>
      </c>
      <c r="C79" s="51">
        <f>SUM('Berners River'!D36:H36)</f>
        <v>1869.0850097283762</v>
      </c>
      <c r="D79" s="51">
        <f>'Master escapements'!E40</f>
        <v>3915</v>
      </c>
      <c r="E79" s="2">
        <v>3600</v>
      </c>
      <c r="F79" s="2">
        <v>8100</v>
      </c>
      <c r="G79" s="2">
        <f t="shared" si="16"/>
        <v>8721.5504169317664</v>
      </c>
      <c r="H79" s="15">
        <f t="shared" si="15"/>
        <v>0.33680541495244692</v>
      </c>
      <c r="I79" s="2">
        <f>'Berners River'!J120</f>
        <v>4859</v>
      </c>
      <c r="J79" s="2">
        <v>4500</v>
      </c>
      <c r="K79" s="2">
        <v>10000</v>
      </c>
      <c r="L79" s="2">
        <f t="shared" si="8"/>
        <v>2937.46540720339</v>
      </c>
      <c r="M79" s="2">
        <f t="shared" si="9"/>
        <v>1869.0850097283762</v>
      </c>
      <c r="N79" s="2">
        <f t="shared" si="11"/>
        <v>9665.5504169317664</v>
      </c>
      <c r="P79" s="2">
        <f t="shared" ref="P79:P90" si="17">P78</f>
        <v>15006.437471238933</v>
      </c>
    </row>
    <row r="80" spans="1:20" x14ac:dyDescent="0.2">
      <c r="A80" s="1">
        <v>2008</v>
      </c>
      <c r="B80" s="51">
        <f>'Berners River'!C37</f>
        <v>3878.1945390909154</v>
      </c>
      <c r="C80" s="51">
        <f>SUM('Berners River'!D37:H37)</f>
        <v>3618.5646731159577</v>
      </c>
      <c r="D80" s="51">
        <f>'Master escapements'!E41</f>
        <v>6870</v>
      </c>
      <c r="E80" s="2">
        <v>3600</v>
      </c>
      <c r="F80" s="2">
        <v>8100</v>
      </c>
      <c r="G80" s="2">
        <f t="shared" si="16"/>
        <v>14366.759212206873</v>
      </c>
      <c r="H80" s="15">
        <f t="shared" ref="H80:H86" si="18">B80/G80</f>
        <v>0.26994219655298218</v>
      </c>
      <c r="I80" s="2">
        <f>'Berners River'!J121</f>
        <v>8527</v>
      </c>
      <c r="J80" s="2">
        <v>4500</v>
      </c>
      <c r="K80" s="2">
        <v>10000</v>
      </c>
      <c r="L80" s="2">
        <f t="shared" si="8"/>
        <v>3878.1945390909154</v>
      </c>
      <c r="M80" s="2">
        <f t="shared" si="9"/>
        <v>3618.5646731159577</v>
      </c>
      <c r="N80" s="2">
        <f t="shared" si="11"/>
        <v>16023.759212206873</v>
      </c>
      <c r="P80" s="2">
        <f t="shared" si="17"/>
        <v>15006.437471238933</v>
      </c>
    </row>
    <row r="81" spans="1:16" x14ac:dyDescent="0.2">
      <c r="A81" s="1">
        <v>2009</v>
      </c>
      <c r="B81" s="51">
        <f>'Berners River'!C38</f>
        <v>2806.6890000000003</v>
      </c>
      <c r="C81" s="51">
        <f>SUM('Berners River'!D38:H38)</f>
        <v>2280.7571149367091</v>
      </c>
      <c r="D81" s="51">
        <f>'Master escapements'!E42</f>
        <v>4230</v>
      </c>
      <c r="E81" s="2">
        <v>3600</v>
      </c>
      <c r="F81" s="2">
        <v>8100</v>
      </c>
      <c r="G81" s="2">
        <f t="shared" si="16"/>
        <v>9317.4461149367089</v>
      </c>
      <c r="H81" s="15">
        <f t="shared" si="18"/>
        <v>0.30122943190415924</v>
      </c>
      <c r="I81" s="2">
        <f>'Berners River'!J122</f>
        <v>5250</v>
      </c>
      <c r="J81" s="2">
        <v>4500</v>
      </c>
      <c r="K81" s="2">
        <v>10000</v>
      </c>
      <c r="L81" s="2">
        <f t="shared" si="8"/>
        <v>2806.6890000000003</v>
      </c>
      <c r="M81" s="2">
        <f t="shared" si="9"/>
        <v>2280.7571149367091</v>
      </c>
      <c r="N81" s="2">
        <f t="shared" si="11"/>
        <v>10337.446114936709</v>
      </c>
      <c r="P81" s="2">
        <f t="shared" si="17"/>
        <v>15006.437471238933</v>
      </c>
    </row>
    <row r="82" spans="1:16" x14ac:dyDescent="0.2">
      <c r="A82" s="1">
        <v>2010</v>
      </c>
      <c r="B82" s="51">
        <f>'Berners River'!C39</f>
        <v>6451.0321920064944</v>
      </c>
      <c r="C82" s="51">
        <f>SUM('Berners River'!D39:H39)</f>
        <v>7845.4991998376936</v>
      </c>
      <c r="D82" s="51">
        <f>'Master escapements'!E43</f>
        <v>7520</v>
      </c>
      <c r="E82" s="2">
        <v>3600</v>
      </c>
      <c r="F82" s="2">
        <v>8100</v>
      </c>
      <c r="G82" s="2">
        <f t="shared" si="16"/>
        <v>21816.53139184419</v>
      </c>
      <c r="H82" s="15">
        <f t="shared" si="18"/>
        <v>0.2956946764882214</v>
      </c>
      <c r="I82" s="2">
        <f>'Berners River'!J123</f>
        <v>9334</v>
      </c>
      <c r="J82" s="2">
        <v>4500</v>
      </c>
      <c r="K82" s="2">
        <v>10000</v>
      </c>
      <c r="L82" s="2">
        <f t="shared" si="8"/>
        <v>6451.0321920064944</v>
      </c>
      <c r="M82" s="2">
        <f t="shared" si="9"/>
        <v>7845.4991998376936</v>
      </c>
      <c r="N82" s="2">
        <f t="shared" si="11"/>
        <v>23630.53139184419</v>
      </c>
      <c r="P82" s="2">
        <f t="shared" si="17"/>
        <v>15006.437471238933</v>
      </c>
    </row>
    <row r="83" spans="1:16" x14ac:dyDescent="0.2">
      <c r="A83" s="1">
        <v>2011</v>
      </c>
      <c r="B83" s="51">
        <f>'Berners River'!C40</f>
        <v>3721.6134204545397</v>
      </c>
      <c r="C83" s="51">
        <f>SUM('Berners River'!D40:H40)</f>
        <v>2257.4466386363638</v>
      </c>
      <c r="D83" s="51">
        <f>'Master escapements'!E44</f>
        <v>6050</v>
      </c>
      <c r="E83" s="2">
        <v>3600</v>
      </c>
      <c r="F83" s="2">
        <v>8100</v>
      </c>
      <c r="G83" s="2">
        <f t="shared" ref="G83:G87" si="19">SUM(B83:D83)</f>
        <v>12029.060059090903</v>
      </c>
      <c r="H83" s="15">
        <f t="shared" si="18"/>
        <v>0.30938522230105159</v>
      </c>
      <c r="I83" s="2">
        <f>'Berners River'!J124</f>
        <v>7509</v>
      </c>
      <c r="J83" s="2">
        <v>4500</v>
      </c>
      <c r="K83" s="2">
        <v>10000</v>
      </c>
      <c r="L83" s="2">
        <f t="shared" si="8"/>
        <v>3721.6134204545397</v>
      </c>
      <c r="M83" s="2">
        <f t="shared" si="9"/>
        <v>2257.4466386363638</v>
      </c>
      <c r="N83" s="2">
        <f t="shared" si="11"/>
        <v>13488.060059090903</v>
      </c>
      <c r="P83" s="2">
        <f t="shared" si="17"/>
        <v>15006.437471238933</v>
      </c>
    </row>
    <row r="84" spans="1:16" x14ac:dyDescent="0.2">
      <c r="A84" s="1">
        <v>2012</v>
      </c>
      <c r="B84" s="51">
        <f>'Berners River'!C41</f>
        <v>2070.8644198484849</v>
      </c>
      <c r="C84" s="51">
        <f>SUM('Berners River'!D41:H41)</f>
        <v>979.64220288319086</v>
      </c>
      <c r="D84" s="51">
        <f>'Master escapements'!E45</f>
        <v>5480</v>
      </c>
      <c r="E84" s="2">
        <v>3600</v>
      </c>
      <c r="F84" s="2">
        <v>8100</v>
      </c>
      <c r="G84" s="2">
        <f t="shared" si="19"/>
        <v>8530.5066227316747</v>
      </c>
      <c r="H84" s="15">
        <f t="shared" si="18"/>
        <v>0.24275983964775869</v>
      </c>
      <c r="I84" s="2">
        <f>'Berners River'!J125</f>
        <v>6802</v>
      </c>
      <c r="J84" s="2">
        <v>4500</v>
      </c>
      <c r="K84" s="2">
        <v>10000</v>
      </c>
      <c r="L84" s="2">
        <f t="shared" si="8"/>
        <v>2070.8644198484849</v>
      </c>
      <c r="M84" s="2">
        <f t="shared" si="9"/>
        <v>979.64220288319086</v>
      </c>
      <c r="N84" s="2">
        <f t="shared" si="11"/>
        <v>9852.5066227316747</v>
      </c>
      <c r="P84" s="2">
        <f t="shared" si="17"/>
        <v>15006.437471238933</v>
      </c>
    </row>
    <row r="85" spans="1:16" x14ac:dyDescent="0.2">
      <c r="A85" s="1">
        <v>2013</v>
      </c>
      <c r="B85" s="51">
        <f>'Berners River'!C42</f>
        <v>7520.6314891346174</v>
      </c>
      <c r="C85" s="51">
        <f>SUM('Berners River'!D42:H42)</f>
        <v>7266.9495325000007</v>
      </c>
      <c r="D85" s="51">
        <f>'Master escapements'!E46</f>
        <v>6280</v>
      </c>
      <c r="E85" s="2">
        <v>3600</v>
      </c>
      <c r="F85" s="2">
        <v>8100</v>
      </c>
      <c r="G85" s="2">
        <f t="shared" si="19"/>
        <v>21067.581021634618</v>
      </c>
      <c r="H85" s="15">
        <f>B85/G85</f>
        <v>0.35697650724169838</v>
      </c>
      <c r="I85" s="2">
        <f>'Berners River'!J126</f>
        <v>7795</v>
      </c>
      <c r="J85" s="2">
        <v>4500</v>
      </c>
      <c r="K85" s="2">
        <v>10000</v>
      </c>
      <c r="L85" s="2">
        <f t="shared" si="8"/>
        <v>7520.6314891346174</v>
      </c>
      <c r="M85" s="2">
        <f t="shared" si="9"/>
        <v>7266.9495325000007</v>
      </c>
      <c r="N85" s="2">
        <f t="shared" si="11"/>
        <v>22582.581021634618</v>
      </c>
      <c r="P85" s="2">
        <f t="shared" si="17"/>
        <v>15006.437471238933</v>
      </c>
    </row>
    <row r="86" spans="1:16" x14ac:dyDescent="0.2">
      <c r="A86" s="1">
        <v>2014</v>
      </c>
      <c r="B86" s="51">
        <f>'Berners River'!C43</f>
        <v>4301.1241040387176</v>
      </c>
      <c r="C86" s="51">
        <f>SUM('Berners River'!D43:H43)</f>
        <v>6867.170445164742</v>
      </c>
      <c r="D86" s="51">
        <f>'Master escapements'!E47</f>
        <v>15480</v>
      </c>
      <c r="E86" s="2">
        <v>3600</v>
      </c>
      <c r="F86" s="2">
        <v>8100</v>
      </c>
      <c r="G86" s="2">
        <f t="shared" si="19"/>
        <v>26648.29454920346</v>
      </c>
      <c r="H86" s="15">
        <f t="shared" si="18"/>
        <v>0.16140335345277404</v>
      </c>
      <c r="I86" s="2">
        <f>'Berners River'!J127</f>
        <v>19214</v>
      </c>
      <c r="J86" s="2">
        <v>4500</v>
      </c>
      <c r="K86" s="2">
        <v>10000</v>
      </c>
      <c r="L86" s="2">
        <f t="shared" si="8"/>
        <v>4301.1241040387176</v>
      </c>
      <c r="M86" s="2">
        <f t="shared" si="9"/>
        <v>6867.170445164742</v>
      </c>
      <c r="N86" s="2">
        <f t="shared" si="11"/>
        <v>30382.29454920346</v>
      </c>
      <c r="P86" s="2">
        <f t="shared" si="17"/>
        <v>15006.437471238933</v>
      </c>
    </row>
    <row r="87" spans="1:16" x14ac:dyDescent="0.2">
      <c r="A87" s="1">
        <v>2015</v>
      </c>
      <c r="B87" s="51">
        <f>'Berners River'!C44</f>
        <v>3543</v>
      </c>
      <c r="C87" s="51">
        <f>SUM('Berners River'!D44:H44)</f>
        <v>2166</v>
      </c>
      <c r="D87" s="51">
        <f>'Master escapements'!E48</f>
        <v>9940</v>
      </c>
      <c r="E87" s="2">
        <v>3600</v>
      </c>
      <c r="F87" s="2">
        <v>8100</v>
      </c>
      <c r="G87" s="2">
        <f t="shared" si="19"/>
        <v>15649</v>
      </c>
      <c r="H87" s="15">
        <f>B87/G87</f>
        <v>0.22640424308262508</v>
      </c>
      <c r="I87" s="2">
        <f>'Berners River'!J128</f>
        <v>12338</v>
      </c>
      <c r="J87" s="2">
        <v>4500</v>
      </c>
      <c r="K87" s="2">
        <v>10000</v>
      </c>
      <c r="L87" s="2">
        <f t="shared" si="8"/>
        <v>3543</v>
      </c>
      <c r="M87" s="2">
        <f t="shared" si="9"/>
        <v>2166</v>
      </c>
      <c r="N87" s="2">
        <f t="shared" si="11"/>
        <v>18047</v>
      </c>
      <c r="P87" s="2">
        <f t="shared" si="17"/>
        <v>15006.437471238933</v>
      </c>
    </row>
    <row r="88" spans="1:16" x14ac:dyDescent="0.2">
      <c r="A88" s="1">
        <v>2016</v>
      </c>
      <c r="B88" s="51">
        <f>'Berners River'!C45</f>
        <v>919.40433610062894</v>
      </c>
      <c r="C88" s="51">
        <f>SUM('Berners River'!D45:H45)</f>
        <v>2295.8126686792439</v>
      </c>
      <c r="D88" s="51">
        <f>'Master escapements'!E49</f>
        <v>6733</v>
      </c>
      <c r="E88" s="2">
        <v>3600</v>
      </c>
      <c r="F88" s="2">
        <v>8100</v>
      </c>
      <c r="G88" s="2">
        <f t="shared" ref="G88:G89" si="20">SUM(B88:D88)</f>
        <v>9948.2170047798718</v>
      </c>
      <c r="H88" s="15">
        <f t="shared" ref="H88:H89" si="21">B88/G88</f>
        <v>9.2419006909366566E-2</v>
      </c>
      <c r="I88" s="2">
        <f>'Berners River'!J129</f>
        <v>8357</v>
      </c>
      <c r="J88" s="2">
        <v>4500</v>
      </c>
      <c r="K88" s="2">
        <v>10000</v>
      </c>
      <c r="L88" s="2">
        <f t="shared" ref="L88:L89" si="22">B88</f>
        <v>919.40433610062894</v>
      </c>
      <c r="M88" s="2">
        <f t="shared" ref="M88" si="23">C88</f>
        <v>2295.8126686792439</v>
      </c>
      <c r="N88" s="2">
        <f t="shared" si="11"/>
        <v>11572.217004779872</v>
      </c>
      <c r="P88" s="2">
        <f t="shared" si="17"/>
        <v>15006.437471238933</v>
      </c>
    </row>
    <row r="89" spans="1:16" x14ac:dyDescent="0.2">
      <c r="A89" s="1">
        <v>2017</v>
      </c>
      <c r="B89" s="51">
        <f>'Berners River'!C46</f>
        <v>4455</v>
      </c>
      <c r="C89" s="51">
        <f>SUM('Berners River'!D46:H46)</f>
        <v>2803</v>
      </c>
      <c r="D89" s="51">
        <f>'Master escapements'!E50</f>
        <v>7040</v>
      </c>
      <c r="E89" s="2">
        <v>3600</v>
      </c>
      <c r="F89" s="2">
        <v>8100</v>
      </c>
      <c r="G89" s="2">
        <f t="shared" si="20"/>
        <v>14298</v>
      </c>
      <c r="H89" s="15">
        <f t="shared" si="21"/>
        <v>0.31158203944607638</v>
      </c>
      <c r="I89" s="2">
        <f>'Berners River'!J130</f>
        <v>8738</v>
      </c>
      <c r="J89" s="2">
        <v>4500</v>
      </c>
      <c r="K89" s="2">
        <v>10000</v>
      </c>
      <c r="L89" s="2">
        <f t="shared" si="22"/>
        <v>4455</v>
      </c>
      <c r="M89" s="2">
        <f>C89</f>
        <v>2803</v>
      </c>
      <c r="N89" s="2">
        <f t="shared" si="11"/>
        <v>15996</v>
      </c>
      <c r="P89" s="2">
        <f t="shared" si="17"/>
        <v>15006.437471238933</v>
      </c>
    </row>
    <row r="90" spans="1:16" x14ac:dyDescent="0.2">
      <c r="A90" s="1">
        <v>2018</v>
      </c>
      <c r="B90" s="51">
        <f>'Berners River'!C47</f>
        <v>1087</v>
      </c>
      <c r="C90" s="51">
        <f>SUM('Berners River'!D47:H47)</f>
        <v>3143</v>
      </c>
      <c r="D90" s="51">
        <f>'Master escapements'!E51</f>
        <v>3550</v>
      </c>
      <c r="E90" s="2">
        <v>3600</v>
      </c>
      <c r="F90" s="2">
        <v>8100</v>
      </c>
      <c r="G90" s="2">
        <f t="shared" ref="G90" si="24">SUM(B90:D90)</f>
        <v>7780</v>
      </c>
      <c r="H90" s="15">
        <f t="shared" ref="H90" si="25">B90/G90</f>
        <v>0.13971722365038561</v>
      </c>
      <c r="I90" s="2">
        <f>'Berners River'!J131</f>
        <v>4406</v>
      </c>
      <c r="J90" s="2">
        <v>4500</v>
      </c>
      <c r="K90" s="2">
        <v>10000</v>
      </c>
      <c r="L90" s="2">
        <f t="shared" ref="L90" si="26">B90</f>
        <v>1087</v>
      </c>
      <c r="M90" s="2">
        <f>C90</f>
        <v>3143</v>
      </c>
      <c r="N90" s="2">
        <f t="shared" si="11"/>
        <v>8636</v>
      </c>
      <c r="P90" s="2">
        <f t="shared" si="17"/>
        <v>15006.437471238933</v>
      </c>
    </row>
    <row r="91" spans="1:16" x14ac:dyDescent="0.2">
      <c r="B91" s="2"/>
      <c r="C91" s="2" t="s">
        <v>11</v>
      </c>
      <c r="D91" s="2"/>
      <c r="E91" s="2">
        <f>(B76+C76)/G76*100</f>
        <v>56.441796925878997</v>
      </c>
      <c r="F91" s="19"/>
      <c r="G91" s="41"/>
      <c r="H91" s="41"/>
      <c r="I91" s="41"/>
      <c r="J91" s="41"/>
      <c r="K91" s="41"/>
      <c r="L91" s="41"/>
      <c r="M91" s="41"/>
    </row>
    <row r="92" spans="1:16" ht="15" x14ac:dyDescent="0.25">
      <c r="A92" s="1" t="s">
        <v>3</v>
      </c>
      <c r="B92" s="2" t="s">
        <v>4</v>
      </c>
      <c r="C92" s="2" t="s">
        <v>9</v>
      </c>
      <c r="D92" s="2" t="s">
        <v>10</v>
      </c>
      <c r="E92" s="2" t="s">
        <v>6</v>
      </c>
      <c r="F92" s="2" t="s">
        <v>7</v>
      </c>
      <c r="H92" s="5"/>
      <c r="J92"/>
      <c r="K92" s="6"/>
      <c r="L92" s="6"/>
      <c r="M92" s="6" t="s">
        <v>34</v>
      </c>
    </row>
    <row r="93" spans="1:16" x14ac:dyDescent="0.2">
      <c r="A93" s="1">
        <v>1982</v>
      </c>
      <c r="B93" s="2">
        <f>FordArm!C6</f>
        <v>1927</v>
      </c>
      <c r="C93" s="2">
        <f>SUM(FordArm!D6:G6)</f>
        <v>106</v>
      </c>
      <c r="D93" s="2">
        <f>'Master escapements'!H15</f>
        <v>2655</v>
      </c>
      <c r="E93" s="2">
        <f>'Master goals'!$D$11</f>
        <v>1300</v>
      </c>
      <c r="F93" s="2">
        <f>'Master goals'!$E$11</f>
        <v>2900</v>
      </c>
      <c r="G93" s="2">
        <f>B93+C93+D93</f>
        <v>4688</v>
      </c>
      <c r="H93" s="16">
        <f t="shared" ref="H93:H121" si="27">B93/G93</f>
        <v>0.4110494880546075</v>
      </c>
      <c r="I93" s="16">
        <f t="shared" ref="I93:I121" si="28">(B93+C93)/G93</f>
        <v>0.43366040955631402</v>
      </c>
      <c r="J93" s="2">
        <f>B93+C93</f>
        <v>2033</v>
      </c>
      <c r="K93" s="15">
        <f>B93/G93</f>
        <v>0.4110494880546075</v>
      </c>
      <c r="L93" s="15">
        <f>SUM(B93:C93)/G93</f>
        <v>0.43366040955631402</v>
      </c>
      <c r="M93" s="2">
        <f>3248.5+COUNT(E$93:E93)*426.01</f>
        <v>3674.51</v>
      </c>
    </row>
    <row r="94" spans="1:16" x14ac:dyDescent="0.2">
      <c r="A94" s="1">
        <v>1983</v>
      </c>
      <c r="B94" s="2">
        <f>FordArm!C7</f>
        <v>3344</v>
      </c>
      <c r="C94" s="2">
        <f>SUM(FordArm!D7:G7)</f>
        <v>912</v>
      </c>
      <c r="D94" s="2">
        <f>'Master escapements'!H16</f>
        <v>1931</v>
      </c>
      <c r="E94" s="2">
        <f>'Master goals'!$D$11</f>
        <v>1300</v>
      </c>
      <c r="F94" s="2">
        <f>'Master goals'!$E$11</f>
        <v>2900</v>
      </c>
      <c r="G94" s="2">
        <f t="shared" ref="G94:G109" si="29">B94+C94+D94</f>
        <v>6187</v>
      </c>
      <c r="H94" s="16">
        <f t="shared" si="27"/>
        <v>0.54048812025214155</v>
      </c>
      <c r="I94" s="16">
        <f t="shared" si="28"/>
        <v>0.6878939712299984</v>
      </c>
      <c r="J94" s="2">
        <f>B94+C94</f>
        <v>4256</v>
      </c>
      <c r="K94" s="15">
        <f>B94/G94</f>
        <v>0.54048812025214155</v>
      </c>
      <c r="L94" s="15">
        <f>SUM(B94:C94)/G94</f>
        <v>0.6878939712299984</v>
      </c>
      <c r="M94" s="2">
        <f>3248.5+COUNT(E$93:E94)*426.01</f>
        <v>4100.5200000000004</v>
      </c>
    </row>
    <row r="95" spans="1:16" x14ac:dyDescent="0.2">
      <c r="A95" s="1">
        <v>1984</v>
      </c>
      <c r="B95" s="2" t="str">
        <f>FordArm!C8</f>
        <v>-</v>
      </c>
      <c r="C95" s="283" t="s">
        <v>84</v>
      </c>
      <c r="D95" s="2" t="str">
        <f>'Master escapements'!H17</f>
        <v>-</v>
      </c>
      <c r="E95" s="2">
        <f>'Master goals'!$D$11</f>
        <v>1300</v>
      </c>
      <c r="F95" s="2">
        <f>'Master goals'!$E$11</f>
        <v>2900</v>
      </c>
      <c r="G95" s="2"/>
      <c r="H95" s="16"/>
      <c r="I95" s="16"/>
      <c r="J95" s="2"/>
      <c r="K95" s="15"/>
      <c r="M95" s="2">
        <f>3248.5+COUNT(E$93:E95)*426.01</f>
        <v>4526.53</v>
      </c>
    </row>
    <row r="96" spans="1:16" x14ac:dyDescent="0.2">
      <c r="A96" s="1">
        <v>1985</v>
      </c>
      <c r="B96" s="2">
        <f>FordArm!C9</f>
        <v>2482</v>
      </c>
      <c r="C96" s="2">
        <f>SUM(FordArm!D9:G9)</f>
        <v>0</v>
      </c>
      <c r="D96" s="2">
        <f>'Master escapements'!H18</f>
        <v>2324</v>
      </c>
      <c r="E96" s="2">
        <f>'Master goals'!$D$11</f>
        <v>1300</v>
      </c>
      <c r="F96" s="2">
        <f>'Master goals'!$E$11</f>
        <v>2900</v>
      </c>
      <c r="G96" s="2">
        <f t="shared" si="29"/>
        <v>4806</v>
      </c>
      <c r="H96" s="16">
        <f t="shared" si="27"/>
        <v>0.51643778610070745</v>
      </c>
      <c r="I96" s="16">
        <f t="shared" si="28"/>
        <v>0.51643778610070745</v>
      </c>
      <c r="J96" s="2">
        <f t="shared" ref="J96:J115" si="30">B96+C96</f>
        <v>2482</v>
      </c>
      <c r="K96" s="15">
        <f t="shared" ref="K96:K120" si="31">B96/G96</f>
        <v>0.51643778610070745</v>
      </c>
      <c r="L96" s="15">
        <f t="shared" ref="L96:L120" si="32">SUM(B96:C96)/G96</f>
        <v>0.51643778610070745</v>
      </c>
      <c r="M96" s="2">
        <f>3248.5+COUNT(E$93:E96)*426.01</f>
        <v>4952.54</v>
      </c>
    </row>
    <row r="97" spans="1:13" x14ac:dyDescent="0.2">
      <c r="A97" s="1">
        <v>1986</v>
      </c>
      <c r="B97" s="2">
        <f>FordArm!C10</f>
        <v>2483</v>
      </c>
      <c r="C97" s="2">
        <f>SUM(FordArm!D10:G10)</f>
        <v>63</v>
      </c>
      <c r="D97" s="2">
        <f>'Master escapements'!H19</f>
        <v>1552</v>
      </c>
      <c r="E97" s="2">
        <f>'Master goals'!$D$11</f>
        <v>1300</v>
      </c>
      <c r="F97" s="2">
        <f>'Master goals'!$E$11</f>
        <v>2900</v>
      </c>
      <c r="G97" s="2">
        <f t="shared" si="29"/>
        <v>4098</v>
      </c>
      <c r="H97" s="16">
        <f t="shared" si="27"/>
        <v>0.60590531966813077</v>
      </c>
      <c r="I97" s="16">
        <f t="shared" si="28"/>
        <v>0.62127867252318203</v>
      </c>
      <c r="J97" s="2">
        <f t="shared" si="30"/>
        <v>2546</v>
      </c>
      <c r="K97" s="15">
        <f t="shared" si="31"/>
        <v>0.60590531966813077</v>
      </c>
      <c r="L97" s="15">
        <f t="shared" si="32"/>
        <v>0.62127867252318203</v>
      </c>
      <c r="M97" s="2">
        <f>3248.5+COUNT(E$93:E97)*426.01</f>
        <v>5378.55</v>
      </c>
    </row>
    <row r="98" spans="1:13" x14ac:dyDescent="0.2">
      <c r="A98" s="1">
        <v>1987</v>
      </c>
      <c r="B98" s="2">
        <f>FordArm!C11</f>
        <v>1458</v>
      </c>
      <c r="C98" s="2">
        <f>SUM(FordArm!D11:G11)</f>
        <v>81</v>
      </c>
      <c r="D98" s="2">
        <f>'Master escapements'!H20</f>
        <v>1694</v>
      </c>
      <c r="E98" s="2">
        <f>'Master goals'!$D$11</f>
        <v>1300</v>
      </c>
      <c r="F98" s="2">
        <f>'Master goals'!$E$11</f>
        <v>2900</v>
      </c>
      <c r="G98" s="2">
        <f t="shared" si="29"/>
        <v>3233</v>
      </c>
      <c r="H98" s="16">
        <f t="shared" si="27"/>
        <v>0.45097432725023201</v>
      </c>
      <c r="I98" s="16">
        <f t="shared" si="28"/>
        <v>0.47602845654191156</v>
      </c>
      <c r="J98" s="2">
        <f t="shared" si="30"/>
        <v>1539</v>
      </c>
      <c r="K98" s="15">
        <f t="shared" si="31"/>
        <v>0.45097432725023201</v>
      </c>
      <c r="L98" s="15">
        <f t="shared" si="32"/>
        <v>0.47602845654191156</v>
      </c>
      <c r="M98" s="2">
        <f>3248.5+COUNT(E$93:E98)*426.01</f>
        <v>5804.5599999999995</v>
      </c>
    </row>
    <row r="99" spans="1:13" x14ac:dyDescent="0.2">
      <c r="A99" s="1">
        <v>1988</v>
      </c>
      <c r="B99" s="2">
        <f>FordArm!C12</f>
        <v>2816</v>
      </c>
      <c r="C99" s="2">
        <f>SUM(FordArm!D12:G12)</f>
        <v>77</v>
      </c>
      <c r="D99" s="2">
        <f>'Master escapements'!H21</f>
        <v>3119</v>
      </c>
      <c r="E99" s="2">
        <f>'Master goals'!$D$11</f>
        <v>1300</v>
      </c>
      <c r="F99" s="2">
        <f>'Master goals'!$E$11</f>
        <v>2900</v>
      </c>
      <c r="G99" s="2">
        <f t="shared" si="29"/>
        <v>6012</v>
      </c>
      <c r="H99" s="16">
        <f t="shared" si="27"/>
        <v>0.46839654025282768</v>
      </c>
      <c r="I99" s="16">
        <f t="shared" si="28"/>
        <v>0.48120425815036594</v>
      </c>
      <c r="J99" s="2">
        <f t="shared" si="30"/>
        <v>2893</v>
      </c>
      <c r="K99" s="15">
        <f t="shared" si="31"/>
        <v>0.46839654025282768</v>
      </c>
      <c r="L99" s="15">
        <f t="shared" si="32"/>
        <v>0.48120425815036594</v>
      </c>
      <c r="M99" s="2">
        <f>3248.5+COUNT(E$93:E99)*426.01</f>
        <v>6230.57</v>
      </c>
    </row>
    <row r="100" spans="1:13" x14ac:dyDescent="0.2">
      <c r="A100" s="1">
        <v>1989</v>
      </c>
      <c r="B100" s="2">
        <f>FordArm!C13</f>
        <v>3799</v>
      </c>
      <c r="C100" s="2">
        <f>SUM(FordArm!D13:G13)</f>
        <v>185</v>
      </c>
      <c r="D100" s="2">
        <f>'Master escapements'!H22</f>
        <v>2176</v>
      </c>
      <c r="E100" s="2">
        <f>'Master goals'!$D$11</f>
        <v>1300</v>
      </c>
      <c r="F100" s="2">
        <f>'Master goals'!$E$11</f>
        <v>2900</v>
      </c>
      <c r="G100" s="2">
        <f t="shared" si="29"/>
        <v>6160</v>
      </c>
      <c r="H100" s="16">
        <f t="shared" si="27"/>
        <v>0.61672077922077917</v>
      </c>
      <c r="I100" s="16">
        <f t="shared" si="28"/>
        <v>0.64675324675324675</v>
      </c>
      <c r="J100" s="2">
        <f t="shared" si="30"/>
        <v>3984</v>
      </c>
      <c r="K100" s="15">
        <f t="shared" si="31"/>
        <v>0.61672077922077917</v>
      </c>
      <c r="L100" s="15">
        <f t="shared" si="32"/>
        <v>0.64675324675324675</v>
      </c>
      <c r="M100" s="2">
        <f>3248.5+COUNT(E$93:E100)*426.01</f>
        <v>6656.58</v>
      </c>
    </row>
    <row r="101" spans="1:13" x14ac:dyDescent="0.2">
      <c r="A101" s="1">
        <v>1990</v>
      </c>
      <c r="B101" s="2">
        <f>FordArm!C14</f>
        <v>2982</v>
      </c>
      <c r="C101" s="2">
        <f>SUM(FordArm!D14:G14)</f>
        <v>100</v>
      </c>
      <c r="D101" s="2">
        <f>'Master escapements'!H23</f>
        <v>2192</v>
      </c>
      <c r="E101" s="2">
        <f>'Master goals'!$D$11</f>
        <v>1300</v>
      </c>
      <c r="F101" s="2">
        <f>'Master goals'!$E$11</f>
        <v>2900</v>
      </c>
      <c r="G101" s="2">
        <f t="shared" si="29"/>
        <v>5274</v>
      </c>
      <c r="H101" s="16">
        <f t="shared" si="27"/>
        <v>0.56541524459613202</v>
      </c>
      <c r="I101" s="16">
        <f t="shared" si="28"/>
        <v>0.58437618505877886</v>
      </c>
      <c r="J101" s="2">
        <f t="shared" si="30"/>
        <v>3082</v>
      </c>
      <c r="K101" s="15">
        <f t="shared" si="31"/>
        <v>0.56541524459613202</v>
      </c>
      <c r="L101" s="15">
        <f t="shared" si="32"/>
        <v>0.58437618505877886</v>
      </c>
      <c r="M101" s="2">
        <f>3248.5+COUNT(E$93:E101)*426.01</f>
        <v>7082.59</v>
      </c>
    </row>
    <row r="102" spans="1:13" x14ac:dyDescent="0.2">
      <c r="A102" s="1">
        <v>1991</v>
      </c>
      <c r="B102" s="2">
        <f>FordArm!C15</f>
        <v>3203</v>
      </c>
      <c r="C102" s="2">
        <f>SUM(FordArm!D15:G15)</f>
        <v>54</v>
      </c>
      <c r="D102" s="2">
        <f>'Master escapements'!H24</f>
        <v>2761</v>
      </c>
      <c r="E102" s="2">
        <f>'Master goals'!$D$11</f>
        <v>1300</v>
      </c>
      <c r="F102" s="2">
        <f>'Master goals'!$E$11</f>
        <v>2900</v>
      </c>
      <c r="G102" s="2">
        <f t="shared" si="29"/>
        <v>6018</v>
      </c>
      <c r="H102" s="16">
        <f t="shared" si="27"/>
        <v>0.53223662346294454</v>
      </c>
      <c r="I102" s="16">
        <f t="shared" si="28"/>
        <v>0.54120970422067127</v>
      </c>
      <c r="J102" s="2">
        <f t="shared" si="30"/>
        <v>3257</v>
      </c>
      <c r="K102" s="15">
        <f t="shared" si="31"/>
        <v>0.53223662346294454</v>
      </c>
      <c r="L102" s="15">
        <f t="shared" si="32"/>
        <v>0.54120970422067127</v>
      </c>
      <c r="M102" s="2">
        <f>3248.5+COUNT(E$93:E102)*426.01</f>
        <v>7508.6</v>
      </c>
    </row>
    <row r="103" spans="1:13" x14ac:dyDescent="0.2">
      <c r="A103" s="1">
        <v>1992</v>
      </c>
      <c r="B103" s="2">
        <f>FordArm!C16</f>
        <v>5252</v>
      </c>
      <c r="C103" s="2">
        <f>SUM(FordArm!D16:G16)</f>
        <v>233</v>
      </c>
      <c r="D103" s="2">
        <f>'Master escapements'!H25</f>
        <v>3866</v>
      </c>
      <c r="E103" s="2">
        <f>'Master goals'!$D$11</f>
        <v>1300</v>
      </c>
      <c r="F103" s="2">
        <f>'Master goals'!$E$11</f>
        <v>2900</v>
      </c>
      <c r="G103" s="2">
        <f t="shared" si="29"/>
        <v>9351</v>
      </c>
      <c r="H103" s="16">
        <f t="shared" si="27"/>
        <v>0.56165116030371087</v>
      </c>
      <c r="I103" s="16">
        <f t="shared" si="28"/>
        <v>0.58656828146722273</v>
      </c>
      <c r="J103" s="2">
        <f t="shared" si="30"/>
        <v>5485</v>
      </c>
      <c r="K103" s="15">
        <f t="shared" si="31"/>
        <v>0.56165116030371087</v>
      </c>
      <c r="L103" s="15">
        <f t="shared" si="32"/>
        <v>0.58656828146722273</v>
      </c>
      <c r="M103" s="2">
        <f>3248.5+COUNT(E$93:E103)*426.01</f>
        <v>7934.61</v>
      </c>
    </row>
    <row r="104" spans="1:13" x14ac:dyDescent="0.2">
      <c r="A104" s="1">
        <v>1993</v>
      </c>
      <c r="B104" s="2">
        <f>FordArm!C17</f>
        <v>7749</v>
      </c>
      <c r="C104" s="2">
        <f>SUM(FordArm!D17:G17)</f>
        <v>610</v>
      </c>
      <c r="D104" s="2">
        <f>'Master escapements'!H26</f>
        <v>4202</v>
      </c>
      <c r="E104" s="2">
        <f>'Master goals'!$D$11</f>
        <v>1300</v>
      </c>
      <c r="F104" s="2">
        <f>'Master goals'!$E$11</f>
        <v>2900</v>
      </c>
      <c r="G104" s="2">
        <f t="shared" si="29"/>
        <v>12561</v>
      </c>
      <c r="H104" s="16">
        <f t="shared" si="27"/>
        <v>0.61690948172916171</v>
      </c>
      <c r="I104" s="16">
        <f t="shared" si="28"/>
        <v>0.66547249422816657</v>
      </c>
      <c r="J104" s="2">
        <f t="shared" si="30"/>
        <v>8359</v>
      </c>
      <c r="K104" s="15">
        <f t="shared" si="31"/>
        <v>0.61690948172916171</v>
      </c>
      <c r="L104" s="15">
        <f t="shared" si="32"/>
        <v>0.66547249422816657</v>
      </c>
      <c r="M104" s="2">
        <f>3248.5+COUNT(E$93:E104)*426.01</f>
        <v>8360.619999999999</v>
      </c>
    </row>
    <row r="105" spans="1:13" x14ac:dyDescent="0.2">
      <c r="A105" s="1">
        <v>1994</v>
      </c>
      <c r="B105" s="2">
        <f>FordArm!C18</f>
        <v>6856</v>
      </c>
      <c r="C105" s="2">
        <f>SUM(FordArm!D18:G18)</f>
        <v>1404</v>
      </c>
      <c r="D105" s="2">
        <f>'Master escapements'!H27</f>
        <v>3227</v>
      </c>
      <c r="E105" s="2">
        <f>'Master goals'!$D$11</f>
        <v>1300</v>
      </c>
      <c r="F105" s="2">
        <f>'Master goals'!$E$11</f>
        <v>2900</v>
      </c>
      <c r="G105" s="2">
        <f t="shared" si="29"/>
        <v>11487</v>
      </c>
      <c r="H105" s="16">
        <f t="shared" si="27"/>
        <v>0.59684861147383994</v>
      </c>
      <c r="I105" s="16">
        <f t="shared" si="28"/>
        <v>0.71907373552711762</v>
      </c>
      <c r="J105" s="2">
        <f t="shared" si="30"/>
        <v>8260</v>
      </c>
      <c r="K105" s="15">
        <f t="shared" si="31"/>
        <v>0.59684861147383994</v>
      </c>
      <c r="L105" s="15">
        <f t="shared" si="32"/>
        <v>0.71907373552711762</v>
      </c>
      <c r="M105" s="2">
        <f>3248.5+COUNT(E$93:E105)*426.01</f>
        <v>8786.630000000001</v>
      </c>
    </row>
    <row r="106" spans="1:13" x14ac:dyDescent="0.2">
      <c r="A106" s="1">
        <v>1995</v>
      </c>
      <c r="B106" s="2">
        <f>FordArm!C19</f>
        <v>3582</v>
      </c>
      <c r="C106" s="2">
        <f>SUM(FordArm!D19:G19)</f>
        <v>759</v>
      </c>
      <c r="D106" s="2">
        <f>'Master escapements'!H28</f>
        <v>2446</v>
      </c>
      <c r="E106" s="2">
        <f>'Master goals'!$D$11</f>
        <v>1300</v>
      </c>
      <c r="F106" s="2">
        <f>'Master goals'!$E$11</f>
        <v>2900</v>
      </c>
      <c r="G106" s="2">
        <f t="shared" si="29"/>
        <v>6787</v>
      </c>
      <c r="H106" s="16">
        <f t="shared" si="27"/>
        <v>0.52777368498600263</v>
      </c>
      <c r="I106" s="16">
        <f t="shared" si="28"/>
        <v>0.6396051274495359</v>
      </c>
      <c r="J106" s="2">
        <f t="shared" si="30"/>
        <v>4341</v>
      </c>
      <c r="K106" s="15">
        <f t="shared" si="31"/>
        <v>0.52777368498600263</v>
      </c>
      <c r="L106" s="15">
        <f t="shared" si="32"/>
        <v>0.6396051274495359</v>
      </c>
      <c r="M106" s="2">
        <f>3248.5+COUNT(E$93:E106)*426.01</f>
        <v>9212.64</v>
      </c>
    </row>
    <row r="107" spans="1:13" x14ac:dyDescent="0.2">
      <c r="A107" s="1">
        <v>1996</v>
      </c>
      <c r="B107" s="2">
        <f>FordArm!C20</f>
        <v>3083</v>
      </c>
      <c r="C107" s="2">
        <f>SUM(FordArm!D20:G20)</f>
        <v>281</v>
      </c>
      <c r="D107" s="2">
        <f>'Master escapements'!H29</f>
        <v>2500</v>
      </c>
      <c r="E107" s="2">
        <f>'Master goals'!$D$11</f>
        <v>1300</v>
      </c>
      <c r="F107" s="2">
        <f>'Master goals'!$E$11</f>
        <v>2900</v>
      </c>
      <c r="G107" s="2">
        <f t="shared" si="29"/>
        <v>5864</v>
      </c>
      <c r="H107" s="16">
        <f t="shared" si="27"/>
        <v>0.52575034106412011</v>
      </c>
      <c r="I107" s="16">
        <f t="shared" si="28"/>
        <v>0.57366984993178716</v>
      </c>
      <c r="J107" s="2">
        <f t="shared" si="30"/>
        <v>3364</v>
      </c>
      <c r="K107" s="15">
        <f t="shared" si="31"/>
        <v>0.52575034106412011</v>
      </c>
      <c r="L107" s="15">
        <f t="shared" si="32"/>
        <v>0.57366984993178716</v>
      </c>
      <c r="M107" s="2">
        <f>3248.5+COUNT(E$93:E107)*426.01</f>
        <v>9638.65</v>
      </c>
    </row>
    <row r="108" spans="1:13" x14ac:dyDescent="0.2">
      <c r="A108" s="1">
        <v>1997</v>
      </c>
      <c r="B108" s="2">
        <f>FordArm!C21</f>
        <v>4702</v>
      </c>
      <c r="C108" s="2">
        <f>SUM(FordArm!D21:G21)</f>
        <v>351</v>
      </c>
      <c r="D108" s="2">
        <f>'Master escapements'!H30</f>
        <v>4718</v>
      </c>
      <c r="E108" s="2">
        <f>'Master goals'!$D$11</f>
        <v>1300</v>
      </c>
      <c r="F108" s="2">
        <f>'Master goals'!$E$11</f>
        <v>2900</v>
      </c>
      <c r="G108" s="2">
        <f t="shared" si="29"/>
        <v>9771</v>
      </c>
      <c r="H108" s="16">
        <f t="shared" si="27"/>
        <v>0.48121993654692458</v>
      </c>
      <c r="I108" s="16">
        <f t="shared" si="28"/>
        <v>0.5171425647323713</v>
      </c>
      <c r="J108" s="2">
        <f t="shared" si="30"/>
        <v>5053</v>
      </c>
      <c r="K108" s="15">
        <f t="shared" si="31"/>
        <v>0.48121993654692458</v>
      </c>
      <c r="L108" s="15">
        <f t="shared" si="32"/>
        <v>0.5171425647323713</v>
      </c>
      <c r="M108" s="2">
        <f>3248.5+COUNT(E$93:E108)*426.01</f>
        <v>10064.66</v>
      </c>
    </row>
    <row r="109" spans="1:13" x14ac:dyDescent="0.2">
      <c r="A109" s="1">
        <v>1998</v>
      </c>
      <c r="B109" s="2">
        <f>FordArm!C22</f>
        <v>7835</v>
      </c>
      <c r="C109" s="2">
        <f>SUM(FordArm!D22:G22)</f>
        <v>1240</v>
      </c>
      <c r="D109" s="2">
        <f>'Master escapements'!H31</f>
        <v>7049</v>
      </c>
      <c r="E109" s="2">
        <f>'Master goals'!$D$11</f>
        <v>1300</v>
      </c>
      <c r="F109" s="2">
        <f>'Master goals'!$E$11</f>
        <v>2900</v>
      </c>
      <c r="G109" s="2">
        <f t="shared" si="29"/>
        <v>16124</v>
      </c>
      <c r="H109" s="16">
        <f t="shared" si="27"/>
        <v>0.48592160754155295</v>
      </c>
      <c r="I109" s="16">
        <f t="shared" si="28"/>
        <v>0.56282560158769535</v>
      </c>
      <c r="J109" s="2">
        <f t="shared" si="30"/>
        <v>9075</v>
      </c>
      <c r="K109" s="15">
        <f t="shared" si="31"/>
        <v>0.48592160754155295</v>
      </c>
      <c r="L109" s="15">
        <f t="shared" si="32"/>
        <v>0.56282560158769535</v>
      </c>
      <c r="M109" s="2">
        <f>3248.5+COUNT(E$93:E109)*426.01</f>
        <v>10490.67</v>
      </c>
    </row>
    <row r="110" spans="1:13" x14ac:dyDescent="0.2">
      <c r="A110" s="1">
        <v>1999</v>
      </c>
      <c r="B110" s="2">
        <f>FordArm!C23</f>
        <v>5893</v>
      </c>
      <c r="C110" s="2">
        <f>SUM(FordArm!D23:G23)</f>
        <v>502</v>
      </c>
      <c r="D110" s="2">
        <f>'Master escapements'!H32</f>
        <v>3800</v>
      </c>
      <c r="E110" s="2">
        <f>'Master goals'!$D$11</f>
        <v>1300</v>
      </c>
      <c r="F110" s="2">
        <f>'Master goals'!$E$11</f>
        <v>2900</v>
      </c>
      <c r="G110" s="2">
        <f t="shared" ref="G110:G116" si="33">SUM(B110:D110)</f>
        <v>10195</v>
      </c>
      <c r="H110" s="16">
        <f t="shared" si="27"/>
        <v>0.57802844531633157</v>
      </c>
      <c r="I110" s="16">
        <f t="shared" si="28"/>
        <v>0.62726826875919572</v>
      </c>
      <c r="J110" s="2">
        <f t="shared" si="30"/>
        <v>6395</v>
      </c>
      <c r="K110" s="15">
        <f t="shared" si="31"/>
        <v>0.57802844531633157</v>
      </c>
      <c r="L110" s="15">
        <f t="shared" si="32"/>
        <v>0.62726826875919572</v>
      </c>
      <c r="M110" s="2">
        <f>3248.5+COUNT(E$93:E110)*426.01</f>
        <v>10916.68</v>
      </c>
    </row>
    <row r="111" spans="1:13" x14ac:dyDescent="0.2">
      <c r="A111" s="14">
        <v>2000</v>
      </c>
      <c r="B111" s="2">
        <f>FordArm!C24</f>
        <v>4604</v>
      </c>
      <c r="C111" s="2">
        <f>SUM(FordArm!D24:G24)</f>
        <v>1141</v>
      </c>
      <c r="D111" s="2">
        <f>'Master escapements'!H33</f>
        <v>2304</v>
      </c>
      <c r="E111" s="2">
        <f>'Master goals'!$D$11</f>
        <v>1300</v>
      </c>
      <c r="F111" s="2">
        <f>'Master goals'!$E$11</f>
        <v>2900</v>
      </c>
      <c r="G111" s="2">
        <f t="shared" si="33"/>
        <v>8049</v>
      </c>
      <c r="H111" s="16">
        <f t="shared" si="27"/>
        <v>0.57199652130699463</v>
      </c>
      <c r="I111" s="16">
        <f t="shared" si="28"/>
        <v>0.71375326127469252</v>
      </c>
      <c r="J111" s="2">
        <f t="shared" si="30"/>
        <v>5745</v>
      </c>
      <c r="K111" s="15">
        <f t="shared" si="31"/>
        <v>0.57199652130699463</v>
      </c>
      <c r="L111" s="15">
        <f t="shared" si="32"/>
        <v>0.71375326127469252</v>
      </c>
      <c r="M111" s="2">
        <f>3248.5+COUNT(E$93:E111)*426.01</f>
        <v>11342.689999999999</v>
      </c>
    </row>
    <row r="112" spans="1:13" x14ac:dyDescent="0.2">
      <c r="A112" s="14">
        <v>2001</v>
      </c>
      <c r="B112" s="2">
        <f>FordArm!C25</f>
        <v>5821</v>
      </c>
      <c r="C112" s="2">
        <f>SUM(FordArm!D25:G25)</f>
        <v>595</v>
      </c>
      <c r="D112" s="2">
        <f>'Master escapements'!H34</f>
        <v>2209</v>
      </c>
      <c r="E112" s="2">
        <f>'Master goals'!$D$11</f>
        <v>1300</v>
      </c>
      <c r="F112" s="2">
        <f>'Master goals'!$E$11</f>
        <v>2900</v>
      </c>
      <c r="G112" s="2">
        <f t="shared" si="33"/>
        <v>8625</v>
      </c>
      <c r="H112" s="16">
        <f t="shared" si="27"/>
        <v>0.67489855072463767</v>
      </c>
      <c r="I112" s="16">
        <f t="shared" si="28"/>
        <v>0.74388405797101453</v>
      </c>
      <c r="J112" s="2">
        <f t="shared" si="30"/>
        <v>6416</v>
      </c>
      <c r="K112" s="15">
        <f t="shared" si="31"/>
        <v>0.67489855072463767</v>
      </c>
      <c r="L112" s="15">
        <f t="shared" si="32"/>
        <v>0.74388405797101453</v>
      </c>
      <c r="M112" s="2">
        <f>3248.5+COUNT(E$93:E112)*426.01</f>
        <v>11768.7</v>
      </c>
    </row>
    <row r="113" spans="1:13" x14ac:dyDescent="0.2">
      <c r="A113" s="14">
        <v>2002</v>
      </c>
      <c r="B113" s="2">
        <f>FordArm!C26</f>
        <v>5751</v>
      </c>
      <c r="C113" s="2">
        <f>SUM(FordArm!D26:G26)</f>
        <v>2258</v>
      </c>
      <c r="D113" s="2">
        <f>'Master escapements'!H35</f>
        <v>7109</v>
      </c>
      <c r="E113" s="2">
        <f>'Master goals'!$D$11</f>
        <v>1300</v>
      </c>
      <c r="F113" s="2">
        <f>'Master goals'!$E$11</f>
        <v>2900</v>
      </c>
      <c r="G113" s="2">
        <f t="shared" si="33"/>
        <v>15118</v>
      </c>
      <c r="H113" s="16">
        <f t="shared" si="27"/>
        <v>0.38040746130440534</v>
      </c>
      <c r="I113" s="16">
        <f t="shared" si="28"/>
        <v>0.52976584204259825</v>
      </c>
      <c r="J113" s="2">
        <f t="shared" si="30"/>
        <v>8009</v>
      </c>
      <c r="K113" s="15">
        <f t="shared" si="31"/>
        <v>0.38040746130440534</v>
      </c>
      <c r="L113" s="15">
        <f t="shared" si="32"/>
        <v>0.52976584204259825</v>
      </c>
      <c r="M113" s="2">
        <f>3248.5+COUNT(E$93:E113)*426.01</f>
        <v>12194.71</v>
      </c>
    </row>
    <row r="114" spans="1:13" x14ac:dyDescent="0.2">
      <c r="A114" s="14">
        <v>2003</v>
      </c>
      <c r="B114" s="2">
        <f>FordArm!C27</f>
        <v>4154</v>
      </c>
      <c r="C114" s="2">
        <f>SUM(FordArm!D27:G27)</f>
        <v>2274</v>
      </c>
      <c r="D114" s="2">
        <f>'Master escapements'!H36</f>
        <v>6789</v>
      </c>
      <c r="E114" s="2">
        <f>'Master goals'!$D$11</f>
        <v>1300</v>
      </c>
      <c r="F114" s="2">
        <f>'Master goals'!$E$11</f>
        <v>2900</v>
      </c>
      <c r="G114" s="2">
        <f t="shared" si="33"/>
        <v>13217</v>
      </c>
      <c r="H114" s="16">
        <f t="shared" si="27"/>
        <v>0.31429219944011499</v>
      </c>
      <c r="I114" s="16">
        <f t="shared" si="28"/>
        <v>0.48634334569115534</v>
      </c>
      <c r="J114" s="2">
        <f t="shared" si="30"/>
        <v>6428</v>
      </c>
      <c r="K114" s="15">
        <f t="shared" si="31"/>
        <v>0.31429219944011499</v>
      </c>
      <c r="L114" s="15">
        <f t="shared" si="32"/>
        <v>0.48634334569115534</v>
      </c>
      <c r="M114" s="2">
        <f>3248.5+COUNT(E$93:E114)*426.01</f>
        <v>12620.72</v>
      </c>
    </row>
    <row r="115" spans="1:13" x14ac:dyDescent="0.2">
      <c r="A115" s="14">
        <v>2004</v>
      </c>
      <c r="B115" s="2">
        <f>FordArm!C28</f>
        <v>7722</v>
      </c>
      <c r="C115" s="2">
        <f>SUM(FordArm!D28:G28)</f>
        <v>843</v>
      </c>
      <c r="D115" s="2">
        <f>'Master escapements'!H37</f>
        <v>3539</v>
      </c>
      <c r="E115" s="2">
        <f>'Master goals'!$D$11</f>
        <v>1300</v>
      </c>
      <c r="F115" s="2">
        <f>'Master goals'!$E$11</f>
        <v>2900</v>
      </c>
      <c r="G115" s="2">
        <f t="shared" si="33"/>
        <v>12104</v>
      </c>
      <c r="H115" s="16">
        <f t="shared" si="27"/>
        <v>0.63797091870456046</v>
      </c>
      <c r="I115" s="16">
        <f t="shared" si="28"/>
        <v>0.70761731658955718</v>
      </c>
      <c r="J115" s="2">
        <f t="shared" si="30"/>
        <v>8565</v>
      </c>
      <c r="K115" s="15">
        <f t="shared" si="31"/>
        <v>0.63797091870456046</v>
      </c>
      <c r="L115" s="15">
        <f t="shared" si="32"/>
        <v>0.70761731658955718</v>
      </c>
      <c r="M115" s="2">
        <f>3248.5+COUNT(E$93:E115)*426.01</f>
        <v>13046.73</v>
      </c>
    </row>
    <row r="116" spans="1:13" x14ac:dyDescent="0.2">
      <c r="A116" s="14">
        <v>2005</v>
      </c>
      <c r="B116" s="2">
        <f>FordArm!C29</f>
        <v>5134</v>
      </c>
      <c r="C116" s="2">
        <f>SUM(FordArm!D29:G29)</f>
        <v>732</v>
      </c>
      <c r="D116" s="2">
        <f>'Master escapements'!H38</f>
        <v>4257</v>
      </c>
      <c r="E116" s="2">
        <f>'Master goals'!$D$11</f>
        <v>1300</v>
      </c>
      <c r="F116" s="2">
        <f>'Master goals'!$E$11</f>
        <v>2900</v>
      </c>
      <c r="G116" s="2">
        <f t="shared" si="33"/>
        <v>10123</v>
      </c>
      <c r="H116" s="16">
        <f t="shared" si="27"/>
        <v>0.50716190852514076</v>
      </c>
      <c r="I116" s="16">
        <f t="shared" si="28"/>
        <v>0.57947248839276899</v>
      </c>
      <c r="J116" s="2"/>
      <c r="K116" s="15">
        <f t="shared" si="31"/>
        <v>0.50716190852514076</v>
      </c>
      <c r="L116" s="15">
        <f t="shared" si="32"/>
        <v>0.57947248839276899</v>
      </c>
      <c r="M116" s="2"/>
    </row>
    <row r="117" spans="1:13" x14ac:dyDescent="0.2">
      <c r="A117" s="14">
        <v>2006</v>
      </c>
      <c r="B117" s="2">
        <f>FordArm!C30</f>
        <v>3866</v>
      </c>
      <c r="C117" s="2">
        <f>SUM(FordArm!D30:G30)</f>
        <v>1211</v>
      </c>
      <c r="D117" s="2">
        <f>'Master escapements'!H39</f>
        <v>4737</v>
      </c>
      <c r="E117" s="2">
        <f>'Master goals'!$D$11</f>
        <v>1300</v>
      </c>
      <c r="F117" s="2">
        <f>'Master goals'!$E$11</f>
        <v>2900</v>
      </c>
      <c r="G117" s="2">
        <f t="shared" ref="G117:G124" si="34">SUM(B117:D117)</f>
        <v>9814</v>
      </c>
      <c r="H117" s="16">
        <f t="shared" si="27"/>
        <v>0.3939270429997962</v>
      </c>
      <c r="I117" s="16">
        <f t="shared" si="28"/>
        <v>0.51732219278581615</v>
      </c>
      <c r="J117" s="2"/>
      <c r="K117" s="15">
        <f t="shared" si="31"/>
        <v>0.3939270429997962</v>
      </c>
      <c r="L117" s="15">
        <f t="shared" si="32"/>
        <v>0.51732219278581615</v>
      </c>
      <c r="M117" s="2"/>
    </row>
    <row r="118" spans="1:13" x14ac:dyDescent="0.2">
      <c r="A118" s="14">
        <v>2007</v>
      </c>
      <c r="B118" s="2">
        <f>FordArm!C31</f>
        <v>5673</v>
      </c>
      <c r="C118" s="2">
        <f>SUM(FordArm!D31:G31)</f>
        <v>426</v>
      </c>
      <c r="D118" s="2">
        <f>'Master escapements'!H40</f>
        <v>2567</v>
      </c>
      <c r="E118" s="2">
        <f>'Master goals'!$D$11</f>
        <v>1300</v>
      </c>
      <c r="F118" s="2">
        <f>'Master goals'!$E$11</f>
        <v>2900</v>
      </c>
      <c r="G118" s="2">
        <f t="shared" si="34"/>
        <v>8666</v>
      </c>
      <c r="H118" s="16">
        <f t="shared" si="27"/>
        <v>0.65462727902146323</v>
      </c>
      <c r="I118" s="16">
        <f t="shared" si="28"/>
        <v>0.70378490653127168</v>
      </c>
      <c r="J118" s="2"/>
      <c r="K118" s="15">
        <f t="shared" si="31"/>
        <v>0.65462727902146323</v>
      </c>
      <c r="L118" s="15">
        <f t="shared" si="32"/>
        <v>0.70378490653127168</v>
      </c>
      <c r="M118" s="15">
        <f>AVERAGE(L93:L110)</f>
        <v>0.58120403610695692</v>
      </c>
    </row>
    <row r="119" spans="1:13" x14ac:dyDescent="0.2">
      <c r="A119" s="14">
        <v>2008</v>
      </c>
      <c r="B119" s="2">
        <f>FordArm!C32</f>
        <v>4563</v>
      </c>
      <c r="C119" s="2">
        <f>SUM(FordArm!D32:G32)</f>
        <v>1324</v>
      </c>
      <c r="D119" s="2">
        <f>'Master escapements'!H41</f>
        <v>5173</v>
      </c>
      <c r="E119" s="2">
        <f>'Master goals'!$D$11</f>
        <v>1300</v>
      </c>
      <c r="F119" s="2">
        <f>'Master goals'!$E$11</f>
        <v>2900</v>
      </c>
      <c r="G119" s="2">
        <f t="shared" si="34"/>
        <v>11060</v>
      </c>
      <c r="H119" s="16">
        <f t="shared" si="27"/>
        <v>0.41256781193490055</v>
      </c>
      <c r="I119" s="16">
        <f t="shared" si="28"/>
        <v>0.53227848101265818</v>
      </c>
      <c r="J119" s="38"/>
      <c r="K119" s="15">
        <f t="shared" si="31"/>
        <v>0.41256781193490055</v>
      </c>
      <c r="L119" s="15">
        <f t="shared" si="32"/>
        <v>0.53227848101265818</v>
      </c>
      <c r="M119" s="15">
        <f>AVERAGE(L111:L120)</f>
        <v>0.62081595852469085</v>
      </c>
    </row>
    <row r="120" spans="1:13" x14ac:dyDescent="0.2">
      <c r="A120" s="14">
        <v>2009</v>
      </c>
      <c r="B120" s="2">
        <f>FordArm!C33</f>
        <v>4604</v>
      </c>
      <c r="C120" s="2">
        <f>SUM(FordArm!D33:G33)</f>
        <v>341</v>
      </c>
      <c r="D120" s="2">
        <f>'Master escapements'!H42</f>
        <v>2181</v>
      </c>
      <c r="E120" s="2">
        <f>'Master goals'!$D$11</f>
        <v>1300</v>
      </c>
      <c r="F120" s="2">
        <f>'Master goals'!$E$11</f>
        <v>2900</v>
      </c>
      <c r="G120" s="2">
        <f t="shared" si="34"/>
        <v>7126</v>
      </c>
      <c r="H120" s="16">
        <f t="shared" si="27"/>
        <v>0.64608476003367943</v>
      </c>
      <c r="I120" s="16">
        <f t="shared" si="28"/>
        <v>0.69393769295537466</v>
      </c>
      <c r="J120" s="38"/>
      <c r="K120" s="15">
        <f t="shared" si="31"/>
        <v>0.64608476003367943</v>
      </c>
      <c r="L120" s="15">
        <f t="shared" si="32"/>
        <v>0.69393769295537466</v>
      </c>
      <c r="M120" s="2"/>
    </row>
    <row r="121" spans="1:13" x14ac:dyDescent="0.2">
      <c r="A121" s="14">
        <v>2010</v>
      </c>
      <c r="B121" s="2">
        <f>FordArm!C34</f>
        <v>2151</v>
      </c>
      <c r="C121" s="2">
        <f>SUM(FordArm!D34:G34)</f>
        <v>702</v>
      </c>
      <c r="D121" s="2">
        <f>'Master escapements'!H43</f>
        <v>1610</v>
      </c>
      <c r="E121" s="2">
        <f>'Master goals'!$D$11</f>
        <v>1300</v>
      </c>
      <c r="F121" s="2">
        <f>'Master goals'!$E$11</f>
        <v>2900</v>
      </c>
      <c r="G121" s="2">
        <f t="shared" si="34"/>
        <v>4463</v>
      </c>
      <c r="H121" s="16">
        <f t="shared" si="27"/>
        <v>0.4819628052879229</v>
      </c>
      <c r="I121" s="16">
        <f t="shared" si="28"/>
        <v>0.63925610575845848</v>
      </c>
      <c r="J121" s="38"/>
      <c r="K121" s="18">
        <v>2882</v>
      </c>
      <c r="L121" s="18">
        <v>873</v>
      </c>
      <c r="M121" s="18">
        <v>151</v>
      </c>
    </row>
    <row r="122" spans="1:13" x14ac:dyDescent="0.2">
      <c r="A122" s="1">
        <v>2011</v>
      </c>
      <c r="B122" s="2">
        <f>FordArm!C35</f>
        <v>2613</v>
      </c>
      <c r="C122" s="2">
        <f>SUM(FordArm!D35:G35)</f>
        <v>6317</v>
      </c>
      <c r="D122" s="2">
        <f>'Master escapements'!H44</f>
        <v>1908</v>
      </c>
      <c r="E122" s="2">
        <f>'Master goals'!$D$11</f>
        <v>1300</v>
      </c>
      <c r="F122" s="2">
        <f>'Master goals'!$E$11</f>
        <v>2900</v>
      </c>
      <c r="G122" s="2">
        <f>SUM(B122:D122)</f>
        <v>10838</v>
      </c>
      <c r="H122" s="16">
        <f>B122/G122</f>
        <v>0.24109614319985237</v>
      </c>
      <c r="I122" s="16">
        <f>(B122+C122)/G122</f>
        <v>0.8239527588115888</v>
      </c>
      <c r="K122" s="18"/>
      <c r="L122" s="18"/>
      <c r="M122" s="18"/>
    </row>
    <row r="123" spans="1:13" x14ac:dyDescent="0.2">
      <c r="A123" s="1">
        <v>2012</v>
      </c>
      <c r="B123" s="2">
        <f>FordArm!C36</f>
        <v>2884</v>
      </c>
      <c r="C123" s="2">
        <f>SUM(FordArm!D36:G36)</f>
        <v>1013</v>
      </c>
      <c r="D123" s="2">
        <f>'Master escapements'!H45</f>
        <v>2282</v>
      </c>
      <c r="E123" s="2">
        <f>'Master goals'!$D$11</f>
        <v>1300</v>
      </c>
      <c r="F123" s="2">
        <f>'Master goals'!$E$11</f>
        <v>2900</v>
      </c>
      <c r="G123" s="2">
        <f>SUM(B123:D123)</f>
        <v>6179</v>
      </c>
      <c r="H123" s="16">
        <f>B123/G123</f>
        <v>0.46674219129308947</v>
      </c>
      <c r="I123" s="16">
        <f>(B123+C123)/G123</f>
        <v>0.63068457679236123</v>
      </c>
    </row>
    <row r="124" spans="1:13" x14ac:dyDescent="0.2">
      <c r="A124" s="1">
        <v>2013</v>
      </c>
      <c r="B124" s="2">
        <f>FordArm!C37</f>
        <v>3426</v>
      </c>
      <c r="C124" s="2">
        <f>SUM(FordArm!D37:G37)</f>
        <v>2172</v>
      </c>
      <c r="D124" s="2">
        <f>'Master escapements'!H46</f>
        <v>1573</v>
      </c>
      <c r="E124" s="2">
        <f>'Master goals'!$D$11</f>
        <v>1300</v>
      </c>
      <c r="F124" s="2">
        <f>'Master goals'!$E$11</f>
        <v>2900</v>
      </c>
      <c r="G124" s="2">
        <f t="shared" si="34"/>
        <v>7171</v>
      </c>
      <c r="H124" s="16">
        <f>B124/G124</f>
        <v>0.47775763491842144</v>
      </c>
      <c r="I124" s="16">
        <f>(B124+C124)/G124</f>
        <v>0.78064426160925948</v>
      </c>
      <c r="K124" s="18"/>
      <c r="L124" s="18"/>
    </row>
    <row r="125" spans="1:13" x14ac:dyDescent="0.2">
      <c r="A125" s="1">
        <v>2014</v>
      </c>
      <c r="B125" s="2">
        <f>FordArm!C38</f>
        <v>4927</v>
      </c>
      <c r="C125" s="2">
        <f>SUM(FordArm!D38:G38)</f>
        <v>2727</v>
      </c>
      <c r="D125" s="2">
        <f>'Master escapements'!H47</f>
        <v>3025</v>
      </c>
      <c r="E125" s="2">
        <f>'Master goals'!$D$11</f>
        <v>1300</v>
      </c>
      <c r="F125" s="2">
        <f>'Master goals'!$E$11</f>
        <v>2900</v>
      </c>
      <c r="G125" s="2">
        <f>SUM(B125:D125)</f>
        <v>10679</v>
      </c>
      <c r="H125" s="16">
        <f>B125/G125</f>
        <v>0.46137278771420542</v>
      </c>
      <c r="I125" s="16">
        <f>(B125+C125)/G125</f>
        <v>0.71673377657083992</v>
      </c>
      <c r="K125" s="18"/>
      <c r="L125" s="18"/>
    </row>
    <row r="126" spans="1:13" x14ac:dyDescent="0.2">
      <c r="A126" s="1">
        <v>2015</v>
      </c>
      <c r="B126" s="2">
        <f>FordArm!C39</f>
        <v>3078</v>
      </c>
      <c r="C126" s="2">
        <f>SUM(FordArm!D39:G39)</f>
        <v>498</v>
      </c>
      <c r="D126" s="2">
        <f>'Master escapements'!H48</f>
        <v>3281</v>
      </c>
      <c r="E126" s="2">
        <f>'Master goals'!$D$11</f>
        <v>1300</v>
      </c>
      <c r="F126" s="2">
        <f>'Master goals'!$E$11</f>
        <v>2900</v>
      </c>
      <c r="G126" s="2">
        <f>SUM(B126:D126)</f>
        <v>6857</v>
      </c>
      <c r="H126" s="16">
        <f>B126/G126</f>
        <v>0.44888435175732827</v>
      </c>
      <c r="I126" s="16">
        <f>(B126+C126)/G126</f>
        <v>0.52151086480968356</v>
      </c>
      <c r="K126" s="18"/>
      <c r="L126" s="18"/>
    </row>
    <row r="127" spans="1:13" x14ac:dyDescent="0.2">
      <c r="A127" s="1">
        <v>2016</v>
      </c>
      <c r="B127" s="2"/>
      <c r="C127" s="18"/>
      <c r="D127" s="56"/>
      <c r="E127" s="2">
        <f>'Master goals'!$D$11</f>
        <v>1300</v>
      </c>
      <c r="F127" s="2">
        <f>'Master goals'!$E$11</f>
        <v>2900</v>
      </c>
      <c r="G127" s="2">
        <f>SUM(B127:D127)</f>
        <v>0</v>
      </c>
      <c r="H127" s="16"/>
      <c r="I127" s="16"/>
      <c r="K127" s="18"/>
      <c r="L127" s="18"/>
    </row>
    <row r="128" spans="1:13" x14ac:dyDescent="0.2">
      <c r="C128" s="2" t="s">
        <v>12</v>
      </c>
      <c r="D128" s="2"/>
      <c r="E128" s="2"/>
      <c r="F128" s="2"/>
      <c r="G128" s="2">
        <f>MIN(G93:G127)</f>
        <v>0</v>
      </c>
      <c r="J128" s="1">
        <f>AVERAGE(J93:J113)</f>
        <v>4828.7</v>
      </c>
      <c r="L128" s="1">
        <f>AVERAGE(L93:L113)</f>
        <v>0.59339358875532866</v>
      </c>
    </row>
    <row r="129" spans="1:13" x14ac:dyDescent="0.2">
      <c r="A129" s="1" t="s">
        <v>3</v>
      </c>
      <c r="B129" s="2" t="s">
        <v>4</v>
      </c>
      <c r="C129" s="2" t="s">
        <v>9</v>
      </c>
      <c r="D129" s="2" t="s">
        <v>10</v>
      </c>
      <c r="E129" s="2" t="s">
        <v>7</v>
      </c>
      <c r="F129" s="2" t="s">
        <v>6</v>
      </c>
      <c r="H129" s="2"/>
    </row>
    <row r="130" spans="1:13" x14ac:dyDescent="0.2">
      <c r="A130" s="1">
        <v>1982</v>
      </c>
      <c r="B130" s="60">
        <f>HughSmith!C6</f>
        <v>2757.8227129411762</v>
      </c>
      <c r="C130" s="60">
        <f>SUM(HughSmith!D6:J6)</f>
        <v>1230.5753876470587</v>
      </c>
      <c r="D130" s="59">
        <f>'Master escapements'!J15</f>
        <v>2144</v>
      </c>
      <c r="E130" s="2">
        <f>'Master goals'!$D$3</f>
        <v>500</v>
      </c>
      <c r="F130" s="2">
        <f>'Master goals'!$E$3</f>
        <v>1600</v>
      </c>
      <c r="G130" s="2">
        <f t="shared" ref="G130:G147" si="35">B130+C130+D130</f>
        <v>6132.3981005882351</v>
      </c>
      <c r="H130" s="16">
        <f t="shared" ref="H130:H147" si="36">B130/G130</f>
        <v>0.44971358149051655</v>
      </c>
      <c r="I130" s="16">
        <f t="shared" ref="I130:I157" si="37">(B130+C130)/G130</f>
        <v>0.65038147151693526</v>
      </c>
      <c r="J130" s="16">
        <f>I130-H130</f>
        <v>0.20066789002641872</v>
      </c>
      <c r="K130" s="15">
        <f>(B130+C130)/G130</f>
        <v>0.65038147151693526</v>
      </c>
      <c r="L130" s="2">
        <f>AVERAGE(G93:G102)</f>
        <v>5164</v>
      </c>
    </row>
    <row r="131" spans="1:13" x14ac:dyDescent="0.2">
      <c r="A131" s="1">
        <v>1983</v>
      </c>
      <c r="B131" s="60">
        <f>HughSmith!C7</f>
        <v>1373.619409225608</v>
      </c>
      <c r="C131" s="60">
        <f>SUM(HughSmith!D7:J7)</f>
        <v>1014.0181963656697</v>
      </c>
      <c r="D131" s="59">
        <f>'Master escapements'!J16</f>
        <v>1487</v>
      </c>
      <c r="E131" s="2">
        <f>'Master goals'!$D$3</f>
        <v>500</v>
      </c>
      <c r="F131" s="2">
        <f>'Master goals'!$E$3</f>
        <v>1600</v>
      </c>
      <c r="G131" s="2">
        <f>B131+C131+D131</f>
        <v>3874.6376055912779</v>
      </c>
      <c r="H131" s="16">
        <f t="shared" si="36"/>
        <v>0.35451558288791007</v>
      </c>
      <c r="I131" s="16">
        <f t="shared" si="37"/>
        <v>0.61622217317712724</v>
      </c>
      <c r="J131" s="16">
        <f t="shared" ref="J131:J158" si="38">I131-H131</f>
        <v>0.26170659028921717</v>
      </c>
      <c r="K131" s="15">
        <f t="shared" ref="K131:K157" si="39">(B131+C131)/G131</f>
        <v>0.61622217317712724</v>
      </c>
      <c r="L131" s="2">
        <f>AVERAGE(G103:G112)</f>
        <v>9881.4</v>
      </c>
    </row>
    <row r="132" spans="1:13" x14ac:dyDescent="0.2">
      <c r="A132" s="1">
        <v>1984</v>
      </c>
      <c r="B132" s="60">
        <f>HughSmith!C8</f>
        <v>1266.002262812432</v>
      </c>
      <c r="C132" s="60">
        <f>SUM(HughSmith!D8:J8)</f>
        <v>1350.6595404477289</v>
      </c>
      <c r="D132" s="59">
        <f>'Master escapements'!J17</f>
        <v>1407</v>
      </c>
      <c r="E132" s="2">
        <f>'Master goals'!$D$3</f>
        <v>500</v>
      </c>
      <c r="F132" s="2">
        <f>'Master goals'!$E$3</f>
        <v>1600</v>
      </c>
      <c r="G132" s="2">
        <f t="shared" si="35"/>
        <v>4023.6618032601609</v>
      </c>
      <c r="H132" s="16">
        <f t="shared" si="36"/>
        <v>0.31463933220894885</v>
      </c>
      <c r="I132" s="16">
        <f t="shared" si="37"/>
        <v>0.65031852357472442</v>
      </c>
      <c r="J132" s="16">
        <f t="shared" si="38"/>
        <v>0.33567919136577556</v>
      </c>
      <c r="K132" s="15">
        <f t="shared" si="39"/>
        <v>0.65031852357472442</v>
      </c>
      <c r="L132" s="2">
        <f>AVERAGE(G113:G115)</f>
        <v>13479.666666666666</v>
      </c>
      <c r="M132" s="2"/>
    </row>
    <row r="133" spans="1:13" x14ac:dyDescent="0.2">
      <c r="A133" s="1">
        <v>1985</v>
      </c>
      <c r="B133" s="60">
        <f>HughSmith!C9</f>
        <v>867.94892823388955</v>
      </c>
      <c r="C133" s="60">
        <f>SUM(HughSmith!D9:J9)</f>
        <v>669.11447398568021</v>
      </c>
      <c r="D133" s="59">
        <f>'Master escapements'!J18</f>
        <v>903</v>
      </c>
      <c r="E133" s="2">
        <f>'Master goals'!$D$3</f>
        <v>500</v>
      </c>
      <c r="F133" s="2">
        <f>'Master goals'!$E$3</f>
        <v>1600</v>
      </c>
      <c r="G133" s="2">
        <f t="shared" si="35"/>
        <v>2440.06340221957</v>
      </c>
      <c r="H133" s="16">
        <f t="shared" si="36"/>
        <v>0.35570753097824087</v>
      </c>
      <c r="I133" s="16">
        <f t="shared" si="37"/>
        <v>0.62992764893789288</v>
      </c>
      <c r="J133" s="16">
        <f t="shared" si="38"/>
        <v>0.27422011795965201</v>
      </c>
      <c r="K133" s="15">
        <f t="shared" si="39"/>
        <v>0.62992764893789288</v>
      </c>
      <c r="L133" s="2">
        <f>AVERAGE(G101:G110)</f>
        <v>9343.2000000000007</v>
      </c>
    </row>
    <row r="134" spans="1:13" x14ac:dyDescent="0.2">
      <c r="A134" s="1">
        <v>1986</v>
      </c>
      <c r="B134" s="60">
        <f>HughSmith!C10</f>
        <v>1597.6548065454551</v>
      </c>
      <c r="C134" s="60">
        <f>SUM(HughSmith!D10:J10)</f>
        <v>985.58798862262915</v>
      </c>
      <c r="D134" s="59">
        <f>'Master escapements'!J19</f>
        <v>1782</v>
      </c>
      <c r="E134" s="2">
        <f>'Master goals'!$D$3</f>
        <v>500</v>
      </c>
      <c r="F134" s="2">
        <f>'Master goals'!$E$3</f>
        <v>1600</v>
      </c>
      <c r="G134" s="2">
        <f t="shared" si="35"/>
        <v>4365.2427951680838</v>
      </c>
      <c r="H134" s="16">
        <f t="shared" si="36"/>
        <v>0.36599448908406879</v>
      </c>
      <c r="I134" s="16">
        <f t="shared" si="37"/>
        <v>0.59177528407526214</v>
      </c>
      <c r="J134" s="16">
        <f t="shared" si="38"/>
        <v>0.22578079499119336</v>
      </c>
      <c r="K134" s="15">
        <f t="shared" si="39"/>
        <v>0.59177528407526214</v>
      </c>
      <c r="L134" s="2"/>
    </row>
    <row r="135" spans="1:13" x14ac:dyDescent="0.2">
      <c r="A135" s="1">
        <v>1987</v>
      </c>
      <c r="B135" s="60">
        <f>HughSmith!C11</f>
        <v>657.25781161538475</v>
      </c>
      <c r="C135" s="60">
        <f>SUM(HughSmith!D11:J11)</f>
        <v>469.47551346153847</v>
      </c>
      <c r="D135" s="59">
        <f>'Master escapements'!J20</f>
        <v>1117</v>
      </c>
      <c r="E135" s="2">
        <f>'Master goals'!$D$3</f>
        <v>500</v>
      </c>
      <c r="F135" s="2">
        <f>'Master goals'!$E$3</f>
        <v>1600</v>
      </c>
      <c r="G135" s="2">
        <f t="shared" si="35"/>
        <v>2243.7333250769234</v>
      </c>
      <c r="H135" s="16">
        <f t="shared" si="36"/>
        <v>0.29293044956349773</v>
      </c>
      <c r="I135" s="16">
        <f t="shared" si="37"/>
        <v>0.50216900220898342</v>
      </c>
      <c r="J135" s="16">
        <f t="shared" si="38"/>
        <v>0.20923855264548569</v>
      </c>
      <c r="K135" s="15">
        <f t="shared" si="39"/>
        <v>0.50216900220898342</v>
      </c>
      <c r="L135" s="2"/>
    </row>
    <row r="136" spans="1:13" x14ac:dyDescent="0.2">
      <c r="A136" s="1">
        <v>1988</v>
      </c>
      <c r="B136" s="60">
        <f>HughSmith!C12</f>
        <v>405.92055454545448</v>
      </c>
      <c r="C136" s="60">
        <f>SUM(HughSmith!D12:J12)</f>
        <v>553.92087272727258</v>
      </c>
      <c r="D136" s="59">
        <f>'Master escapements'!J21</f>
        <v>513</v>
      </c>
      <c r="E136" s="2">
        <f>'Master goals'!$D$3</f>
        <v>500</v>
      </c>
      <c r="F136" s="2">
        <f>'Master goals'!$E$3</f>
        <v>1600</v>
      </c>
      <c r="G136" s="2">
        <f t="shared" si="35"/>
        <v>1472.8414272727271</v>
      </c>
      <c r="H136" s="16">
        <f t="shared" si="36"/>
        <v>0.2756037052115658</v>
      </c>
      <c r="I136" s="16">
        <f t="shared" si="37"/>
        <v>0.65169366470772994</v>
      </c>
      <c r="J136" s="16">
        <f t="shared" si="38"/>
        <v>0.37608995949616414</v>
      </c>
      <c r="K136" s="15">
        <f t="shared" si="39"/>
        <v>0.65169366470772994</v>
      </c>
    </row>
    <row r="137" spans="1:13" x14ac:dyDescent="0.2">
      <c r="A137" s="1">
        <v>1989</v>
      </c>
      <c r="B137" s="60">
        <f>HughSmith!C13</f>
        <v>1216.7415215686278</v>
      </c>
      <c r="C137" s="60">
        <f>SUM(HughSmith!D13:J13)</f>
        <v>754.4066980392156</v>
      </c>
      <c r="D137" s="59">
        <f>'Master escapements'!J22</f>
        <v>433</v>
      </c>
      <c r="E137" s="2">
        <f>'Master goals'!$D$3</f>
        <v>500</v>
      </c>
      <c r="F137" s="2">
        <f>'Master goals'!$E$3</f>
        <v>1600</v>
      </c>
      <c r="G137" s="2">
        <f t="shared" si="35"/>
        <v>2404.1482196078432</v>
      </c>
      <c r="H137" s="16">
        <f t="shared" si="36"/>
        <v>0.50610087666188019</v>
      </c>
      <c r="I137" s="16">
        <f t="shared" si="37"/>
        <v>0.81989463192472001</v>
      </c>
      <c r="J137" s="16">
        <f t="shared" si="38"/>
        <v>0.31379375526283981</v>
      </c>
      <c r="K137" s="15">
        <f t="shared" si="39"/>
        <v>0.81989463192472001</v>
      </c>
      <c r="M137" s="17"/>
    </row>
    <row r="138" spans="1:13" x14ac:dyDescent="0.2">
      <c r="A138" s="1">
        <v>1990</v>
      </c>
      <c r="B138" s="60">
        <f>HughSmith!C14</f>
        <v>1803.2502211764713</v>
      </c>
      <c r="C138" s="60">
        <f>SUM(HughSmith!D14:J14)</f>
        <v>2120.3495905882355</v>
      </c>
      <c r="D138" s="59">
        <f>'Master escapements'!J23</f>
        <v>870</v>
      </c>
      <c r="E138" s="2">
        <f>'Master goals'!$D$3</f>
        <v>500</v>
      </c>
      <c r="F138" s="2">
        <f>'Master goals'!$E$3</f>
        <v>1600</v>
      </c>
      <c r="G138" s="2">
        <f t="shared" si="35"/>
        <v>4793.5998117647068</v>
      </c>
      <c r="H138" s="16">
        <f t="shared" si="36"/>
        <v>0.37617871578491785</v>
      </c>
      <c r="I138" s="16">
        <f t="shared" si="37"/>
        <v>0.81850800355407227</v>
      </c>
      <c r="J138" s="16">
        <f t="shared" si="38"/>
        <v>0.44232928776915442</v>
      </c>
      <c r="K138" s="15">
        <f t="shared" si="39"/>
        <v>0.81850800355407227</v>
      </c>
    </row>
    <row r="139" spans="1:13" x14ac:dyDescent="0.2">
      <c r="A139" s="1">
        <v>1991</v>
      </c>
      <c r="B139" s="60">
        <f>HughSmith!C15</f>
        <v>2103.3371628347909</v>
      </c>
      <c r="C139" s="60">
        <f>SUM(HughSmith!D15:J15)</f>
        <v>1827.4302368728897</v>
      </c>
      <c r="D139" s="59">
        <f>'Master escapements'!J24</f>
        <v>1836</v>
      </c>
      <c r="E139" s="2">
        <f>'Master goals'!$D$3</f>
        <v>500</v>
      </c>
      <c r="F139" s="2">
        <f>'Master goals'!$E$3</f>
        <v>1600</v>
      </c>
      <c r="G139" s="2">
        <f t="shared" si="35"/>
        <v>5766.7673997076809</v>
      </c>
      <c r="H139" s="16">
        <f t="shared" si="36"/>
        <v>0.36473417723444329</v>
      </c>
      <c r="I139" s="16">
        <f t="shared" si="37"/>
        <v>0.68162405855088459</v>
      </c>
      <c r="J139" s="16">
        <f t="shared" si="38"/>
        <v>0.3168898813164413</v>
      </c>
      <c r="K139" s="15">
        <f t="shared" si="39"/>
        <v>0.68162405855088459</v>
      </c>
    </row>
    <row r="140" spans="1:13" x14ac:dyDescent="0.2">
      <c r="A140" s="1">
        <v>1992</v>
      </c>
      <c r="B140" s="60">
        <f>HughSmith!C16</f>
        <v>1854.4718550844138</v>
      </c>
      <c r="C140" s="60">
        <f>SUM(HughSmith!D16:J16)</f>
        <v>1614.2097813915841</v>
      </c>
      <c r="D140" s="59">
        <f>'Master escapements'!J25</f>
        <v>1426</v>
      </c>
      <c r="E140" s="2">
        <f>'Master goals'!$D$3</f>
        <v>500</v>
      </c>
      <c r="F140" s="2">
        <f>'Master goals'!$E$3</f>
        <v>1600</v>
      </c>
      <c r="G140" s="2">
        <f t="shared" si="35"/>
        <v>4894.6816364759979</v>
      </c>
      <c r="H140" s="16">
        <f t="shared" si="36"/>
        <v>0.37887486721599523</v>
      </c>
      <c r="I140" s="16">
        <f t="shared" si="37"/>
        <v>0.70866338080638258</v>
      </c>
      <c r="J140" s="16">
        <f t="shared" si="38"/>
        <v>0.32978851359038736</v>
      </c>
      <c r="K140" s="15">
        <f t="shared" si="39"/>
        <v>0.70866338080638258</v>
      </c>
    </row>
    <row r="141" spans="1:13" x14ac:dyDescent="0.2">
      <c r="A141" s="1">
        <v>1993</v>
      </c>
      <c r="B141" s="60">
        <f>HughSmith!C17</f>
        <v>2227.1374611627898</v>
      </c>
      <c r="C141" s="60">
        <f>SUM(HughSmith!D17:J17)</f>
        <v>1182.6648083720929</v>
      </c>
      <c r="D141" s="59">
        <f>'Master escapements'!J26</f>
        <v>832</v>
      </c>
      <c r="E141" s="2">
        <f>'Master goals'!$D$3</f>
        <v>500</v>
      </c>
      <c r="F141" s="2">
        <f>'Master goals'!$E$3</f>
        <v>1600</v>
      </c>
      <c r="G141" s="2">
        <f t="shared" si="35"/>
        <v>4241.8022695348827</v>
      </c>
      <c r="H141" s="16">
        <f t="shared" si="36"/>
        <v>0.52504509160135782</v>
      </c>
      <c r="I141" s="16">
        <f t="shared" si="37"/>
        <v>0.80385695816716385</v>
      </c>
      <c r="J141" s="16">
        <f t="shared" si="38"/>
        <v>0.27881186656580603</v>
      </c>
      <c r="K141" s="15">
        <f t="shared" si="39"/>
        <v>0.80385695816716385</v>
      </c>
    </row>
    <row r="142" spans="1:13" x14ac:dyDescent="0.2">
      <c r="A142" s="1">
        <v>1994</v>
      </c>
      <c r="B142" s="60">
        <f>HughSmith!C18</f>
        <v>4333.0464887241487</v>
      </c>
      <c r="C142" s="60">
        <f>SUM(HughSmith!D18:J18)</f>
        <v>3377.7121766470227</v>
      </c>
      <c r="D142" s="59">
        <f>'Master escapements'!J27</f>
        <v>1753</v>
      </c>
      <c r="E142" s="2">
        <f>'Master goals'!$D$3</f>
        <v>500</v>
      </c>
      <c r="F142" s="2">
        <f>'Master goals'!$E$3</f>
        <v>1600</v>
      </c>
      <c r="G142" s="2">
        <f t="shared" si="35"/>
        <v>9463.7586653711714</v>
      </c>
      <c r="H142" s="16">
        <f t="shared" si="36"/>
        <v>0.45785682432701863</v>
      </c>
      <c r="I142" s="16">
        <f t="shared" si="37"/>
        <v>0.81476704320299287</v>
      </c>
      <c r="J142" s="16">
        <f t="shared" si="38"/>
        <v>0.35691021887597424</v>
      </c>
      <c r="K142" s="15">
        <f t="shared" si="39"/>
        <v>0.81476704320299287</v>
      </c>
      <c r="M142" s="1">
        <f>(B150+C150)/G150</f>
        <v>0.39122610306592176</v>
      </c>
    </row>
    <row r="143" spans="1:13" x14ac:dyDescent="0.2">
      <c r="A143" s="1">
        <v>1995</v>
      </c>
      <c r="B143" s="60">
        <f>HughSmith!C19</f>
        <v>2018.3078434224599</v>
      </c>
      <c r="C143" s="60">
        <f>SUM(HughSmith!D19:J19)</f>
        <v>2908.8830356149738</v>
      </c>
      <c r="D143" s="59">
        <f>'Master escapements'!J28</f>
        <v>1781</v>
      </c>
      <c r="E143" s="2">
        <f>'Master goals'!$D$3</f>
        <v>500</v>
      </c>
      <c r="F143" s="2">
        <f>'Master goals'!$E$3</f>
        <v>1600</v>
      </c>
      <c r="G143" s="2">
        <f t="shared" si="35"/>
        <v>6708.1908790374337</v>
      </c>
      <c r="H143" s="16">
        <f t="shared" si="36"/>
        <v>0.30087215462659422</v>
      </c>
      <c r="I143" s="16">
        <f t="shared" si="37"/>
        <v>0.73450367884350398</v>
      </c>
      <c r="J143" s="16">
        <f t="shared" si="38"/>
        <v>0.43363152421690976</v>
      </c>
      <c r="K143" s="15">
        <f t="shared" si="39"/>
        <v>0.73450367884350398</v>
      </c>
      <c r="M143" s="1">
        <f>(B151+C151)/G151</f>
        <v>0.58927236748703515</v>
      </c>
    </row>
    <row r="144" spans="1:13" x14ac:dyDescent="0.2">
      <c r="A144" s="1">
        <v>1996</v>
      </c>
      <c r="B144" s="60">
        <f>HughSmith!C20</f>
        <v>1585.4382060305347</v>
      </c>
      <c r="C144" s="60">
        <f>SUM(HughSmith!D20:J20)</f>
        <v>1412.5816924618321</v>
      </c>
      <c r="D144" s="59">
        <f>'Master escapements'!J29</f>
        <v>950</v>
      </c>
      <c r="E144" s="2">
        <f>'Master goals'!$D$3</f>
        <v>500</v>
      </c>
      <c r="F144" s="2">
        <f>'Master goals'!$E$3</f>
        <v>1600</v>
      </c>
      <c r="G144" s="2">
        <f t="shared" si="35"/>
        <v>3948.0198984923668</v>
      </c>
      <c r="H144" s="16">
        <f t="shared" si="36"/>
        <v>0.40157806870121582</v>
      </c>
      <c r="I144" s="16">
        <f t="shared" si="37"/>
        <v>0.75937304663464911</v>
      </c>
      <c r="J144" s="16">
        <f t="shared" si="38"/>
        <v>0.35779497793343329</v>
      </c>
      <c r="K144" s="15">
        <f t="shared" si="39"/>
        <v>0.75937304663464911</v>
      </c>
    </row>
    <row r="145" spans="1:13" x14ac:dyDescent="0.2">
      <c r="A145" s="1">
        <v>1997</v>
      </c>
      <c r="B145" s="60">
        <f>HughSmith!C21</f>
        <v>1321.3277620440876</v>
      </c>
      <c r="C145" s="60">
        <f>SUM(HughSmith!D21:J21)</f>
        <v>642.27624729458887</v>
      </c>
      <c r="D145" s="59">
        <f>'Master escapements'!J30</f>
        <v>732</v>
      </c>
      <c r="E145" s="2">
        <f>'Master goals'!$D$3</f>
        <v>500</v>
      </c>
      <c r="F145" s="2">
        <f>'Master goals'!$E$3</f>
        <v>1600</v>
      </c>
      <c r="G145" s="2">
        <f t="shared" si="35"/>
        <v>2695.6040093386764</v>
      </c>
      <c r="H145" s="16">
        <f t="shared" si="36"/>
        <v>0.49017873451236421</v>
      </c>
      <c r="I145" s="16">
        <f t="shared" si="37"/>
        <v>0.72844676092480487</v>
      </c>
      <c r="J145" s="16">
        <f t="shared" si="38"/>
        <v>0.23826802641244066</v>
      </c>
      <c r="K145" s="15">
        <f t="shared" si="39"/>
        <v>0.72844676092480487</v>
      </c>
      <c r="M145" s="14"/>
    </row>
    <row r="146" spans="1:13" x14ac:dyDescent="0.2">
      <c r="A146" s="1">
        <v>1998</v>
      </c>
      <c r="B146" s="60">
        <f>HughSmith!C22</f>
        <v>1771.4823739124367</v>
      </c>
      <c r="C146" s="60">
        <f>SUM(HughSmith!D22:J22)</f>
        <v>1616.7849101565732</v>
      </c>
      <c r="D146" s="59">
        <f>'Master escapements'!J31</f>
        <v>983</v>
      </c>
      <c r="E146" s="2">
        <f>'Master goals'!$D$3</f>
        <v>500</v>
      </c>
      <c r="F146" s="2">
        <f>'Master goals'!$E$3</f>
        <v>1600</v>
      </c>
      <c r="G146" s="2">
        <f t="shared" si="35"/>
        <v>4371.2672840690102</v>
      </c>
      <c r="H146" s="16">
        <f t="shared" si="36"/>
        <v>0.40525601817316598</v>
      </c>
      <c r="I146" s="16">
        <f t="shared" si="37"/>
        <v>0.77512242191583147</v>
      </c>
      <c r="J146" s="16">
        <f t="shared" si="38"/>
        <v>0.36986640374266549</v>
      </c>
      <c r="K146" s="15">
        <f t="shared" si="39"/>
        <v>0.77512242191583147</v>
      </c>
    </row>
    <row r="147" spans="1:13" x14ac:dyDescent="0.2">
      <c r="A147" s="1">
        <v>1999</v>
      </c>
      <c r="B147" s="60">
        <f>HughSmith!C23</f>
        <v>1756.6023003284683</v>
      </c>
      <c r="C147" s="60">
        <f>SUM(HughSmith!D23:J23)</f>
        <v>1218.5799839416054</v>
      </c>
      <c r="D147" s="59">
        <f>'Master escapements'!J32</f>
        <v>1246</v>
      </c>
      <c r="E147" s="2">
        <f>'Master goals'!$D$3</f>
        <v>500</v>
      </c>
      <c r="F147" s="2">
        <f>'Master goals'!$E$3</f>
        <v>1600</v>
      </c>
      <c r="G147" s="2">
        <f t="shared" si="35"/>
        <v>4221.182284270074</v>
      </c>
      <c r="H147" s="16">
        <f t="shared" si="36"/>
        <v>0.41613988262821955</v>
      </c>
      <c r="I147" s="16">
        <f t="shared" si="37"/>
        <v>0.70482203418622136</v>
      </c>
      <c r="J147" s="16">
        <f t="shared" si="38"/>
        <v>0.28868215155800181</v>
      </c>
      <c r="K147" s="15">
        <f t="shared" si="39"/>
        <v>0.70482203418622136</v>
      </c>
    </row>
    <row r="148" spans="1:13" x14ac:dyDescent="0.2">
      <c r="A148" s="14">
        <v>2000</v>
      </c>
      <c r="B148" s="60">
        <f>HughSmith!C24</f>
        <v>488.56200189944082</v>
      </c>
      <c r="C148" s="60">
        <f>SUM(HughSmith!D24:J24)</f>
        <v>257.86700695530726</v>
      </c>
      <c r="D148" s="59">
        <f>'Master escapements'!J33</f>
        <v>600</v>
      </c>
      <c r="E148" s="2">
        <f>'Master goals'!$D$3</f>
        <v>500</v>
      </c>
      <c r="F148" s="2">
        <f>'Master goals'!$E$3</f>
        <v>1600</v>
      </c>
      <c r="G148" s="2">
        <f t="shared" ref="G148:G153" si="40">B148+C148+D148</f>
        <v>1346.4290088547482</v>
      </c>
      <c r="H148" s="16">
        <f t="shared" ref="H148:H157" si="41">B148/G148</f>
        <v>0.362857602358853</v>
      </c>
      <c r="I148" s="16">
        <f t="shared" si="37"/>
        <v>0.55437680259848909</v>
      </c>
      <c r="J148" s="16">
        <f t="shared" si="38"/>
        <v>0.19151920023963609</v>
      </c>
      <c r="K148" s="15">
        <f t="shared" si="39"/>
        <v>0.55437680259848909</v>
      </c>
      <c r="L148" s="16">
        <f>AVERAGE(K101:K110)</f>
        <v>0.54717551370207218</v>
      </c>
      <c r="M148" s="16">
        <f>AVERAGE(L101:L110)</f>
        <v>0.60172118129625418</v>
      </c>
    </row>
    <row r="149" spans="1:13" x14ac:dyDescent="0.2">
      <c r="A149" s="14">
        <v>2001</v>
      </c>
      <c r="B149" s="60">
        <f>HughSmith!C25</f>
        <v>696.43144301589678</v>
      </c>
      <c r="C149" s="60">
        <f>SUM(HughSmith!D25:J25)</f>
        <v>842.97839427618123</v>
      </c>
      <c r="D149" s="59">
        <f>'Master escapements'!J34</f>
        <v>1580</v>
      </c>
      <c r="E149" s="2">
        <f>'Master goals'!$D$3</f>
        <v>500</v>
      </c>
      <c r="F149" s="2">
        <f>'Master goals'!$E$3</f>
        <v>1600</v>
      </c>
      <c r="G149" s="2">
        <f t="shared" si="40"/>
        <v>3119.409837292078</v>
      </c>
      <c r="H149" s="16">
        <f t="shared" si="41"/>
        <v>0.2232574362913661</v>
      </c>
      <c r="I149" s="16">
        <f t="shared" si="37"/>
        <v>0.49349393557994964</v>
      </c>
      <c r="J149" s="16">
        <f t="shared" si="38"/>
        <v>0.27023649928858351</v>
      </c>
      <c r="K149" s="15">
        <f t="shared" si="39"/>
        <v>0.49349393557994964</v>
      </c>
    </row>
    <row r="150" spans="1:13" x14ac:dyDescent="0.2">
      <c r="A150" s="14">
        <v>2002</v>
      </c>
      <c r="B150" s="60">
        <f>HughSmith!C26</f>
        <v>891.5136973965391</v>
      </c>
      <c r="C150" s="60">
        <f>SUM(HughSmith!D26:J26)</f>
        <v>1223.4342523664409</v>
      </c>
      <c r="D150" s="59">
        <f>'Master escapements'!J35</f>
        <v>3291</v>
      </c>
      <c r="E150" s="2">
        <f>'Master goals'!$D$3</f>
        <v>500</v>
      </c>
      <c r="F150" s="2">
        <f>'Master goals'!$E$3</f>
        <v>1600</v>
      </c>
      <c r="G150" s="2">
        <f t="shared" si="40"/>
        <v>5405.94794976298</v>
      </c>
      <c r="H150" s="16">
        <f t="shared" si="41"/>
        <v>0.16491348153576413</v>
      </c>
      <c r="I150" s="16">
        <f t="shared" si="37"/>
        <v>0.39122610306592176</v>
      </c>
      <c r="J150" s="16">
        <f t="shared" si="38"/>
        <v>0.22631262153015763</v>
      </c>
      <c r="K150" s="15">
        <f t="shared" si="39"/>
        <v>0.39122610306592176</v>
      </c>
    </row>
    <row r="151" spans="1:13" x14ac:dyDescent="0.2">
      <c r="A151" s="14">
        <v>2003</v>
      </c>
      <c r="B151" s="60">
        <f>HughSmith!C27</f>
        <v>894.44455078994667</v>
      </c>
      <c r="C151" s="60">
        <f>SUM(HughSmith!D27:J27)</f>
        <v>1271.9577179381895</v>
      </c>
      <c r="D151" s="59">
        <f>'Master escapements'!J36</f>
        <v>1510</v>
      </c>
      <c r="E151" s="2">
        <f>'Master goals'!$D$3</f>
        <v>500</v>
      </c>
      <c r="F151" s="2">
        <f>'Master goals'!$E$3</f>
        <v>1600</v>
      </c>
      <c r="G151" s="2">
        <f t="shared" si="40"/>
        <v>3676.4022687281363</v>
      </c>
      <c r="H151" s="16">
        <f t="shared" si="41"/>
        <v>0.24329343891395833</v>
      </c>
      <c r="I151" s="16">
        <f t="shared" si="37"/>
        <v>0.58927236748703515</v>
      </c>
      <c r="J151" s="16">
        <f t="shared" si="38"/>
        <v>0.34597892857307683</v>
      </c>
      <c r="K151" s="15">
        <f t="shared" si="39"/>
        <v>0.58927236748703515</v>
      </c>
    </row>
    <row r="152" spans="1:13" x14ac:dyDescent="0.2">
      <c r="A152" s="14">
        <v>2004</v>
      </c>
      <c r="B152" s="60">
        <f>HughSmith!C28</f>
        <v>1016.5876905103869</v>
      </c>
      <c r="C152" s="60">
        <f>SUM(HughSmith!D28:J28)</f>
        <v>634.97066169912546</v>
      </c>
      <c r="D152" s="59">
        <f>'Master escapements'!J37</f>
        <v>840</v>
      </c>
      <c r="E152" s="2">
        <f>'Master goals'!$D$3</f>
        <v>500</v>
      </c>
      <c r="F152" s="2">
        <f>'Master goals'!$E$3</f>
        <v>1600</v>
      </c>
      <c r="G152" s="2">
        <f t="shared" si="40"/>
        <v>2491.5583522095121</v>
      </c>
      <c r="H152" s="16">
        <f t="shared" si="41"/>
        <v>0.40801279633241488</v>
      </c>
      <c r="I152" s="16">
        <f t="shared" si="37"/>
        <v>0.66286159854330184</v>
      </c>
      <c r="J152" s="16">
        <f t="shared" si="38"/>
        <v>0.25484880221088696</v>
      </c>
      <c r="K152" s="15">
        <f t="shared" si="39"/>
        <v>0.66286159854330184</v>
      </c>
    </row>
    <row r="153" spans="1:13" x14ac:dyDescent="0.2">
      <c r="A153" s="14">
        <v>2005</v>
      </c>
      <c r="B153" s="60">
        <f>HughSmith!C29</f>
        <v>1162.8187437705315</v>
      </c>
      <c r="C153" s="60">
        <f>SUM(HughSmith!D29:J29)</f>
        <v>757.39708332706766</v>
      </c>
      <c r="D153" s="59">
        <f>'Master escapements'!J38</f>
        <v>1732</v>
      </c>
      <c r="E153" s="2">
        <f>'Master goals'!$D$3</f>
        <v>500</v>
      </c>
      <c r="F153" s="2">
        <f>'Master goals'!$E$3</f>
        <v>1600</v>
      </c>
      <c r="G153" s="2">
        <f t="shared" si="40"/>
        <v>3652.2158270975992</v>
      </c>
      <c r="H153" s="16">
        <f t="shared" si="41"/>
        <v>0.31838719254842579</v>
      </c>
      <c r="I153" s="16">
        <f t="shared" si="37"/>
        <v>0.52576734727738883</v>
      </c>
      <c r="J153" s="16">
        <f t="shared" si="38"/>
        <v>0.20738015472896304</v>
      </c>
      <c r="K153" s="15">
        <f t="shared" si="39"/>
        <v>0.52576734727738883</v>
      </c>
      <c r="M153" s="14"/>
    </row>
    <row r="154" spans="1:13" x14ac:dyDescent="0.2">
      <c r="A154" s="14">
        <v>2006</v>
      </c>
      <c r="B154" s="60">
        <f>HughSmith!C30</f>
        <v>702.58882001747122</v>
      </c>
      <c r="C154" s="60">
        <f>SUM(HughSmith!D30:J30)</f>
        <v>332.29241843391799</v>
      </c>
      <c r="D154" s="59">
        <f>'Master escapements'!J39</f>
        <v>891</v>
      </c>
      <c r="E154" s="2">
        <f>'Master goals'!$D$3</f>
        <v>500</v>
      </c>
      <c r="F154" s="2">
        <f>'Master goals'!$E$3</f>
        <v>1600</v>
      </c>
      <c r="G154" s="2">
        <f t="shared" ref="G154:G160" si="42">B154+C154+D154</f>
        <v>1925.8812384513892</v>
      </c>
      <c r="H154" s="16">
        <f t="shared" si="41"/>
        <v>0.36481419829523154</v>
      </c>
      <c r="I154" s="16">
        <f t="shared" si="37"/>
        <v>0.53735464980361014</v>
      </c>
      <c r="J154" s="16">
        <f t="shared" si="38"/>
        <v>0.1725404515083786</v>
      </c>
      <c r="K154" s="15">
        <f t="shared" si="39"/>
        <v>0.53735464980361014</v>
      </c>
    </row>
    <row r="155" spans="1:13" x14ac:dyDescent="0.2">
      <c r="A155" s="14">
        <v>2007</v>
      </c>
      <c r="B155" s="60">
        <f>HughSmith!C31</f>
        <v>1262.171751366167</v>
      </c>
      <c r="C155" s="60">
        <f>SUM(HughSmith!D31:J31)</f>
        <v>802.88434478455508</v>
      </c>
      <c r="D155" s="59">
        <f>'Master escapements'!J40</f>
        <v>1244</v>
      </c>
      <c r="E155" s="2">
        <f>'Master goals'!$D$3</f>
        <v>500</v>
      </c>
      <c r="F155" s="2">
        <f>'Master goals'!$E$3</f>
        <v>1600</v>
      </c>
      <c r="G155" s="2">
        <f t="shared" si="42"/>
        <v>3309.0560961507222</v>
      </c>
      <c r="H155" s="16">
        <f t="shared" si="41"/>
        <v>0.38142954204807689</v>
      </c>
      <c r="I155" s="16">
        <f t="shared" si="37"/>
        <v>0.62406197904982941</v>
      </c>
      <c r="J155" s="16">
        <f t="shared" si="38"/>
        <v>0.24263243700175252</v>
      </c>
      <c r="K155" s="15">
        <f t="shared" si="39"/>
        <v>0.62406197904982941</v>
      </c>
    </row>
    <row r="156" spans="1:13" x14ac:dyDescent="0.2">
      <c r="A156" s="14">
        <v>2008</v>
      </c>
      <c r="B156" s="60">
        <f>HughSmith!C32</f>
        <v>716</v>
      </c>
      <c r="C156" s="60">
        <f>SUM(HughSmith!D32:J32)</f>
        <v>1319</v>
      </c>
      <c r="D156" s="59">
        <f>'Master escapements'!J41</f>
        <v>1741</v>
      </c>
      <c r="E156" s="2">
        <f>'Master goals'!$D$3</f>
        <v>500</v>
      </c>
      <c r="F156" s="2">
        <f>'Master goals'!$E$3</f>
        <v>1600</v>
      </c>
      <c r="G156" s="2">
        <f t="shared" si="42"/>
        <v>3776</v>
      </c>
      <c r="H156" s="16">
        <f t="shared" si="41"/>
        <v>0.1896186440677966</v>
      </c>
      <c r="I156" s="16">
        <f t="shared" si="37"/>
        <v>0.53893008474576276</v>
      </c>
      <c r="J156" s="16">
        <f t="shared" si="38"/>
        <v>0.34931144067796616</v>
      </c>
      <c r="K156" s="15">
        <f t="shared" si="39"/>
        <v>0.53893008474576276</v>
      </c>
      <c r="L156" s="15">
        <f>AVERAGE(K130:K147)</f>
        <v>0.7023372103838823</v>
      </c>
    </row>
    <row r="157" spans="1:13" x14ac:dyDescent="0.2">
      <c r="A157" s="14">
        <v>2009</v>
      </c>
      <c r="B157" s="60">
        <f>HughSmith!C33</f>
        <v>1049</v>
      </c>
      <c r="C157" s="60">
        <f>SUM(HughSmith!D33:J33)</f>
        <v>1053</v>
      </c>
      <c r="D157" s="59">
        <f>'Master escapements'!J42</f>
        <v>2281</v>
      </c>
      <c r="E157" s="2">
        <f>'Master goals'!$D$3</f>
        <v>500</v>
      </c>
      <c r="F157" s="2">
        <f>'Master goals'!$E$3</f>
        <v>1600</v>
      </c>
      <c r="G157" s="2">
        <f t="shared" si="42"/>
        <v>4383</v>
      </c>
      <c r="H157" s="16">
        <f t="shared" si="41"/>
        <v>0.23933378964179786</v>
      </c>
      <c r="I157" s="16">
        <f t="shared" si="37"/>
        <v>0.47958019621263975</v>
      </c>
      <c r="J157" s="16">
        <f t="shared" si="38"/>
        <v>0.2402464065708419</v>
      </c>
      <c r="K157" s="15">
        <f t="shared" si="39"/>
        <v>0.47958019621263975</v>
      </c>
      <c r="L157" s="15">
        <f>AVERAGE(K148:K157)</f>
        <v>0.53969250643639288</v>
      </c>
    </row>
    <row r="158" spans="1:13" x14ac:dyDescent="0.2">
      <c r="A158" s="14">
        <v>2010</v>
      </c>
      <c r="B158" s="60">
        <f>HughSmith!C34</f>
        <v>1205</v>
      </c>
      <c r="C158" s="60">
        <f>SUM(HughSmith!D34:J34)</f>
        <v>1334</v>
      </c>
      <c r="D158" s="59">
        <f>'Master escapements'!J43</f>
        <v>2878</v>
      </c>
      <c r="E158" s="2">
        <f>'Master goals'!$D$3</f>
        <v>500</v>
      </c>
      <c r="F158" s="2">
        <f>'Master goals'!$E$3</f>
        <v>1600</v>
      </c>
      <c r="G158" s="2">
        <f t="shared" si="42"/>
        <v>5417</v>
      </c>
      <c r="H158" s="16">
        <f t="shared" ref="H158:H162" si="43">B158/G158</f>
        <v>0.22244784936311612</v>
      </c>
      <c r="I158" s="16">
        <f t="shared" ref="I158:I162" si="44">(B158+C158)/G158</f>
        <v>0.46870961786966958</v>
      </c>
      <c r="J158" s="16">
        <f t="shared" si="38"/>
        <v>0.24626176850655346</v>
      </c>
      <c r="K158" s="15"/>
      <c r="L158" s="15"/>
    </row>
    <row r="159" spans="1:13" x14ac:dyDescent="0.2">
      <c r="A159" s="14">
        <v>2011</v>
      </c>
      <c r="B159" s="60">
        <f>HughSmith!C35</f>
        <v>778</v>
      </c>
      <c r="C159" s="60">
        <f>SUM(HughSmith!D35:J35)</f>
        <v>1022</v>
      </c>
      <c r="D159" s="59">
        <f>'Master escapements'!J44</f>
        <v>2137</v>
      </c>
      <c r="E159" s="2">
        <f>'Master goals'!$D$3</f>
        <v>500</v>
      </c>
      <c r="F159" s="2">
        <f>'Master goals'!$E$3</f>
        <v>1600</v>
      </c>
      <c r="G159" s="2">
        <f>B159+C159+D159</f>
        <v>3937</v>
      </c>
      <c r="H159" s="16">
        <f t="shared" si="43"/>
        <v>0.19761239522479046</v>
      </c>
      <c r="I159" s="16">
        <f t="shared" si="44"/>
        <v>0.45720091440182881</v>
      </c>
      <c r="J159" s="16">
        <f t="shared" ref="J159:J163" si="45">I159-H159</f>
        <v>0.25958851917703835</v>
      </c>
      <c r="K159" s="15"/>
      <c r="L159" s="15"/>
    </row>
    <row r="160" spans="1:13" x14ac:dyDescent="0.2">
      <c r="A160" s="14">
        <v>2012</v>
      </c>
      <c r="B160" s="60">
        <f>HughSmith!C36</f>
        <v>821</v>
      </c>
      <c r="C160" s="60">
        <f>SUM(HughSmith!D36:J36)</f>
        <v>1434</v>
      </c>
      <c r="D160" s="59">
        <f>'Master escapements'!J45</f>
        <v>1908</v>
      </c>
      <c r="E160" s="2">
        <f>'Master goals'!$D$3</f>
        <v>500</v>
      </c>
      <c r="F160" s="2">
        <f>'Master goals'!$E$3</f>
        <v>1600</v>
      </c>
      <c r="G160" s="2">
        <f t="shared" si="42"/>
        <v>4163</v>
      </c>
      <c r="H160" s="16">
        <f t="shared" si="43"/>
        <v>0.19721354792217152</v>
      </c>
      <c r="I160" s="16">
        <f t="shared" si="44"/>
        <v>0.54167667547441745</v>
      </c>
      <c r="J160" s="16">
        <f t="shared" si="45"/>
        <v>0.34446312755224595</v>
      </c>
      <c r="K160" s="15"/>
      <c r="L160" s="15"/>
      <c r="M160" s="18">
        <v>773</v>
      </c>
    </row>
    <row r="161" spans="1:13" x14ac:dyDescent="0.2">
      <c r="A161" s="14">
        <v>2013</v>
      </c>
      <c r="B161" s="60">
        <f>HughSmith!C37</f>
        <v>1754</v>
      </c>
      <c r="C161" s="60">
        <f>SUM(HughSmith!D37:J37)</f>
        <v>2104</v>
      </c>
      <c r="D161" s="59">
        <f>'Master escapements'!J46</f>
        <v>3048</v>
      </c>
      <c r="E161" s="2">
        <f>'Master goals'!$D$3</f>
        <v>500</v>
      </c>
      <c r="F161" s="2">
        <f>'Master goals'!$E$3</f>
        <v>1600</v>
      </c>
      <c r="G161" s="2">
        <f t="shared" ref="G161:G166" si="46">B161+C161+D161</f>
        <v>6906</v>
      </c>
      <c r="H161" s="16">
        <f t="shared" si="43"/>
        <v>0.2539820445988995</v>
      </c>
      <c r="I161" s="16">
        <f t="shared" si="44"/>
        <v>0.5586446568201564</v>
      </c>
      <c r="J161" s="16">
        <f t="shared" si="45"/>
        <v>0.3046626122212569</v>
      </c>
      <c r="K161" s="15"/>
      <c r="L161" s="60"/>
      <c r="M161" s="60"/>
    </row>
    <row r="162" spans="1:13" x14ac:dyDescent="0.2">
      <c r="A162" s="14">
        <v>2014</v>
      </c>
      <c r="B162" s="60">
        <f>HughSmith!C38</f>
        <v>1873</v>
      </c>
      <c r="C162" s="60">
        <f>SUM(HughSmith!D38:J38)</f>
        <v>1724</v>
      </c>
      <c r="D162" s="59">
        <f>'Master escapements'!J47</f>
        <v>4110</v>
      </c>
      <c r="E162" s="2">
        <f>'Master goals'!$D$3</f>
        <v>500</v>
      </c>
      <c r="F162" s="2">
        <f>'Master goals'!$E$3</f>
        <v>1600</v>
      </c>
      <c r="G162" s="2">
        <f t="shared" si="46"/>
        <v>7707</v>
      </c>
      <c r="H162" s="16">
        <f t="shared" si="43"/>
        <v>0.24302582068249642</v>
      </c>
      <c r="I162" s="16">
        <f t="shared" si="44"/>
        <v>0.46671856753600621</v>
      </c>
      <c r="J162" s="16">
        <f t="shared" si="45"/>
        <v>0.22369274685350979</v>
      </c>
      <c r="K162" s="15"/>
      <c r="L162" s="62"/>
      <c r="M162" s="18"/>
    </row>
    <row r="163" spans="1:13" x14ac:dyDescent="0.2">
      <c r="A163" s="14">
        <v>2015</v>
      </c>
      <c r="B163" s="60">
        <f>HughSmith!C39</f>
        <v>470</v>
      </c>
      <c r="C163" s="60">
        <f>SUM(HughSmith!D39:J39)</f>
        <v>528</v>
      </c>
      <c r="D163" s="59">
        <f>'Master escapements'!J48</f>
        <v>956</v>
      </c>
      <c r="E163" s="2">
        <f>'Master goals'!$D$3</f>
        <v>500</v>
      </c>
      <c r="F163" s="2">
        <f>'Master goals'!$E$3</f>
        <v>1600</v>
      </c>
      <c r="G163" s="2">
        <f t="shared" si="46"/>
        <v>1954</v>
      </c>
      <c r="H163" s="16">
        <f>B163/G163</f>
        <v>0.24053224155578301</v>
      </c>
      <c r="I163" s="16">
        <f>(B163+C163)/G163</f>
        <v>0.51074718526100304</v>
      </c>
      <c r="J163" s="16">
        <f t="shared" si="45"/>
        <v>0.27021494370522003</v>
      </c>
      <c r="K163" s="15"/>
      <c r="L163" s="62"/>
      <c r="M163" s="62"/>
    </row>
    <row r="164" spans="1:13" x14ac:dyDescent="0.2">
      <c r="A164" s="14">
        <v>2016</v>
      </c>
      <c r="B164" s="60">
        <f>HughSmith!C40</f>
        <v>767</v>
      </c>
      <c r="C164" s="60">
        <f>SUM(HughSmith!D40:J40)</f>
        <v>751</v>
      </c>
      <c r="D164" s="59">
        <f>'Master escapements'!J49</f>
        <v>948</v>
      </c>
      <c r="E164" s="2">
        <f>'Master goals'!$D$3</f>
        <v>500</v>
      </c>
      <c r="F164" s="2">
        <f>'Master goals'!$E$3</f>
        <v>1600</v>
      </c>
      <c r="G164" s="2">
        <f t="shared" si="46"/>
        <v>2466</v>
      </c>
      <c r="H164" s="16">
        <f>B164/G164</f>
        <v>0.31103000811030007</v>
      </c>
      <c r="I164" s="16">
        <f>(B164+C164)/G164</f>
        <v>0.61557177615571779</v>
      </c>
      <c r="J164" s="16">
        <f t="shared" ref="J164:J165" si="47">I164-H164</f>
        <v>0.30454176804541772</v>
      </c>
      <c r="K164" s="15"/>
      <c r="L164" s="62"/>
      <c r="M164" s="62"/>
    </row>
    <row r="165" spans="1:13" x14ac:dyDescent="0.2">
      <c r="A165" s="14">
        <v>2017</v>
      </c>
      <c r="B165" s="60">
        <f>HughSmith!C41</f>
        <v>674</v>
      </c>
      <c r="C165" s="60">
        <f>SUM(HughSmith!D41:J41)</f>
        <v>485</v>
      </c>
      <c r="D165" s="59">
        <f>'Master escapements'!J50</f>
        <v>1266</v>
      </c>
      <c r="E165" s="2">
        <f>'Master goals'!$D$3</f>
        <v>500</v>
      </c>
      <c r="F165" s="2">
        <f>'Master goals'!$E$3</f>
        <v>1600</v>
      </c>
      <c r="G165" s="2">
        <f t="shared" si="46"/>
        <v>2425</v>
      </c>
      <c r="H165" s="16">
        <f>B165/G165</f>
        <v>0.27793814432989689</v>
      </c>
      <c r="I165" s="16">
        <f>(B165+C165)/G165</f>
        <v>0.4779381443298969</v>
      </c>
      <c r="J165" s="16">
        <f t="shared" si="47"/>
        <v>0.2</v>
      </c>
      <c r="K165" s="15"/>
      <c r="L165" s="62"/>
      <c r="M165" s="62"/>
    </row>
    <row r="166" spans="1:13" ht="15" x14ac:dyDescent="0.25">
      <c r="A166" s="14">
        <v>2018</v>
      </c>
      <c r="B166" s="507">
        <f>HughSmith!C42</f>
        <v>230</v>
      </c>
      <c r="C166" s="507">
        <f>SUM(HughSmith!D42:J42)</f>
        <v>469</v>
      </c>
      <c r="D166" s="516">
        <f>HughSmith!L42</f>
        <v>619</v>
      </c>
      <c r="E166" s="2">
        <f>'Master goals'!$D$3</f>
        <v>500</v>
      </c>
      <c r="F166" s="2">
        <f>'Master goals'!$E$3</f>
        <v>1600</v>
      </c>
      <c r="G166" s="2">
        <f t="shared" si="46"/>
        <v>1318</v>
      </c>
      <c r="H166" s="16">
        <f>B166/G166</f>
        <v>0.17450682852807284</v>
      </c>
      <c r="I166" s="16">
        <f>(B166+C166)/G166</f>
        <v>0.53034901365705611</v>
      </c>
      <c r="J166" s="16">
        <f t="shared" ref="J166" si="48">I166-H166</f>
        <v>0.35584218512898325</v>
      </c>
    </row>
  </sheetData>
  <phoneticPr fontId="12" type="noConversion"/>
  <pageMargins left="0.75" right="0.75" top="1" bottom="1" header="0.5" footer="0.5"/>
  <pageSetup orientation="portrait"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24"/>
  <sheetViews>
    <sheetView workbookViewId="0">
      <selection activeCell="H10" sqref="H10:H36"/>
    </sheetView>
  </sheetViews>
  <sheetFormatPr defaultRowHeight="12.75" x14ac:dyDescent="0.2"/>
  <cols>
    <col min="1" max="1" width="8.140625" customWidth="1"/>
    <col min="2" max="2" width="7.42578125" customWidth="1"/>
    <col min="3" max="3" width="9" customWidth="1"/>
    <col min="4" max="4" width="9.7109375" customWidth="1"/>
    <col min="5" max="5" width="9.140625" customWidth="1"/>
    <col min="6" max="9" width="9.7109375" customWidth="1"/>
    <col min="127" max="127" width="11" customWidth="1"/>
  </cols>
  <sheetData>
    <row r="1" spans="1:44" ht="15.75" x14ac:dyDescent="0.25">
      <c r="A1" s="76" t="s">
        <v>364</v>
      </c>
      <c r="B1" s="6"/>
      <c r="C1" s="6"/>
      <c r="D1" s="6"/>
      <c r="E1" s="6"/>
      <c r="F1" s="6"/>
      <c r="G1" s="6"/>
      <c r="H1" s="6"/>
      <c r="I1" s="6"/>
      <c r="J1" s="6"/>
    </row>
    <row r="2" spans="1:44" ht="15" x14ac:dyDescent="0.25">
      <c r="A2" s="81"/>
      <c r="B2" s="81"/>
      <c r="C2" s="81"/>
      <c r="D2" s="81"/>
      <c r="E2" s="81"/>
      <c r="F2" s="81"/>
      <c r="G2" s="81"/>
      <c r="H2" s="81"/>
      <c r="I2" s="81"/>
      <c r="J2" s="6"/>
    </row>
    <row r="3" spans="1:44" ht="15" x14ac:dyDescent="0.25">
      <c r="A3" s="83"/>
      <c r="B3" s="84"/>
      <c r="C3" s="84"/>
      <c r="D3" s="84"/>
      <c r="E3" s="84" t="s">
        <v>28</v>
      </c>
      <c r="F3" s="84"/>
      <c r="G3" s="84"/>
      <c r="H3" s="84"/>
      <c r="I3" s="84"/>
      <c r="K3" s="8"/>
      <c r="M3" s="47"/>
      <c r="Q3" s="8" t="s">
        <v>30</v>
      </c>
      <c r="R3" t="s">
        <v>367</v>
      </c>
      <c r="AR3" t="s">
        <v>374</v>
      </c>
    </row>
    <row r="4" spans="1:44" ht="14.25" customHeight="1" x14ac:dyDescent="0.25">
      <c r="A4" s="43"/>
      <c r="B4" s="42"/>
      <c r="C4" s="42"/>
      <c r="D4" s="42"/>
      <c r="E4" s="42" t="s">
        <v>22</v>
      </c>
      <c r="F4" s="42"/>
      <c r="G4" s="42" t="s">
        <v>26</v>
      </c>
      <c r="H4" s="42"/>
      <c r="I4" s="42" t="s">
        <v>27</v>
      </c>
      <c r="K4" s="66" t="s">
        <v>44</v>
      </c>
      <c r="P4" t="s">
        <v>47</v>
      </c>
      <c r="Q4" s="8" t="s">
        <v>31</v>
      </c>
      <c r="R4" t="s">
        <v>368</v>
      </c>
      <c r="S4" t="s">
        <v>370</v>
      </c>
      <c r="T4" t="s">
        <v>370</v>
      </c>
      <c r="X4" t="s">
        <v>205</v>
      </c>
      <c r="Z4" t="s">
        <v>152</v>
      </c>
    </row>
    <row r="5" spans="1:44" ht="15" x14ac:dyDescent="0.25">
      <c r="A5" s="85" t="s">
        <v>3</v>
      </c>
      <c r="B5" s="86" t="s">
        <v>4</v>
      </c>
      <c r="C5" s="86" t="s">
        <v>15</v>
      </c>
      <c r="D5" s="86" t="s">
        <v>16</v>
      </c>
      <c r="E5" s="86" t="s">
        <v>25</v>
      </c>
      <c r="F5" s="86" t="s">
        <v>20</v>
      </c>
      <c r="G5" s="86" t="s">
        <v>23</v>
      </c>
      <c r="H5" s="86" t="s">
        <v>5</v>
      </c>
      <c r="I5" s="86" t="s">
        <v>24</v>
      </c>
      <c r="K5" s="42" t="s">
        <v>270</v>
      </c>
      <c r="L5" s="64" t="s">
        <v>6</v>
      </c>
      <c r="M5" s="8" t="s">
        <v>18</v>
      </c>
      <c r="N5" s="8" t="s">
        <v>19</v>
      </c>
      <c r="P5" t="s">
        <v>23</v>
      </c>
      <c r="Q5" s="20" t="s">
        <v>21</v>
      </c>
      <c r="R5" s="479" t="s">
        <v>369</v>
      </c>
      <c r="S5" s="479" t="s">
        <v>21</v>
      </c>
      <c r="T5" s="479" t="s">
        <v>371</v>
      </c>
      <c r="Z5" s="9"/>
      <c r="AQ5" t="s">
        <v>373</v>
      </c>
    </row>
    <row r="6" spans="1:44" ht="15" x14ac:dyDescent="0.25">
      <c r="A6" s="66">
        <v>1987</v>
      </c>
      <c r="B6" s="87" t="s">
        <v>84</v>
      </c>
      <c r="C6" s="87" t="s">
        <v>84</v>
      </c>
      <c r="D6" s="87" t="s">
        <v>84</v>
      </c>
      <c r="E6" s="87" t="s">
        <v>84</v>
      </c>
      <c r="F6" s="48">
        <v>6519</v>
      </c>
      <c r="G6" s="88" t="s">
        <v>84</v>
      </c>
      <c r="H6" s="48">
        <f>'Master escapements'!G20</f>
        <v>55457</v>
      </c>
      <c r="I6" s="88" t="s">
        <v>84</v>
      </c>
      <c r="K6" s="65">
        <v>50000</v>
      </c>
      <c r="L6" s="65">
        <v>90000</v>
      </c>
      <c r="M6" s="9"/>
      <c r="N6" s="9"/>
      <c r="Q6" s="9">
        <f t="shared" ref="Q6:Q34" si="0">F6+H6-R6</f>
        <v>61976</v>
      </c>
      <c r="Z6" s="9">
        <f>HughSmith!M6</f>
        <v>6132.3981005882351</v>
      </c>
      <c r="AD6" t="s">
        <v>152</v>
      </c>
      <c r="AP6">
        <v>1982</v>
      </c>
      <c r="AQ6" s="379">
        <v>3.7520835163986841</v>
      </c>
      <c r="AR6" s="9">
        <f>HughSmith!M6*7.5</f>
        <v>45992.985754411762</v>
      </c>
    </row>
    <row r="7" spans="1:44" ht="15" x14ac:dyDescent="0.25">
      <c r="A7" s="66">
        <v>1988</v>
      </c>
      <c r="B7" s="87" t="s">
        <v>84</v>
      </c>
      <c r="C7" s="87" t="s">
        <v>84</v>
      </c>
      <c r="D7" s="87" t="s">
        <v>84</v>
      </c>
      <c r="E7" s="87" t="s">
        <v>84</v>
      </c>
      <c r="F7" s="48">
        <v>3643</v>
      </c>
      <c r="G7" s="88" t="s">
        <v>84</v>
      </c>
      <c r="H7" s="48">
        <f>'Master escapements'!G21</f>
        <v>39450</v>
      </c>
      <c r="I7" s="88" t="s">
        <v>84</v>
      </c>
      <c r="K7" s="65">
        <v>50000</v>
      </c>
      <c r="L7" s="65">
        <v>90000</v>
      </c>
      <c r="M7" s="9"/>
      <c r="N7" s="9"/>
      <c r="Q7" s="9">
        <f t="shared" si="0"/>
        <v>43093</v>
      </c>
      <c r="Z7" s="9">
        <f>HughSmith!M7</f>
        <v>3874.6376055912779</v>
      </c>
      <c r="AP7">
        <v>1983</v>
      </c>
      <c r="AQ7" s="379">
        <v>3.2797699836658984</v>
      </c>
      <c r="AR7" s="9">
        <f>HughSmith!M7*7.5</f>
        <v>29059.782041934584</v>
      </c>
    </row>
    <row r="8" spans="1:44" ht="15" x14ac:dyDescent="0.25">
      <c r="A8" s="66">
        <v>1989</v>
      </c>
      <c r="B8" s="87" t="s">
        <v>84</v>
      </c>
      <c r="C8" s="87" t="s">
        <v>84</v>
      </c>
      <c r="D8" s="87" t="s">
        <v>84</v>
      </c>
      <c r="E8" s="87" t="s">
        <v>84</v>
      </c>
      <c r="F8" s="48">
        <v>4033</v>
      </c>
      <c r="G8" s="88" t="s">
        <v>84</v>
      </c>
      <c r="H8" s="48">
        <f>'Master escapements'!G22</f>
        <v>56808</v>
      </c>
      <c r="I8" s="88" t="s">
        <v>84</v>
      </c>
      <c r="K8" s="65">
        <v>50000</v>
      </c>
      <c r="L8" s="65">
        <v>90000</v>
      </c>
      <c r="M8" s="9"/>
      <c r="N8" s="9"/>
      <c r="Q8" s="9">
        <f t="shared" si="0"/>
        <v>60841</v>
      </c>
      <c r="Z8" s="9">
        <f>HughSmith!M8</f>
        <v>4023.6618032601609</v>
      </c>
      <c r="AN8" t="s">
        <v>370</v>
      </c>
      <c r="AP8">
        <v>1984</v>
      </c>
      <c r="AQ8" s="379">
        <v>2.8739339138215305</v>
      </c>
      <c r="AR8" s="9">
        <f>HughSmith!M8*7.5</f>
        <v>30177.463524451206</v>
      </c>
    </row>
    <row r="9" spans="1:44" ht="15" x14ac:dyDescent="0.25">
      <c r="A9" s="66">
        <v>1990</v>
      </c>
      <c r="B9" s="87" t="s">
        <v>84</v>
      </c>
      <c r="C9" s="87" t="s">
        <v>84</v>
      </c>
      <c r="D9" s="87" t="s">
        <v>84</v>
      </c>
      <c r="E9" s="87" t="s">
        <v>84</v>
      </c>
      <c r="F9" s="48">
        <v>3685</v>
      </c>
      <c r="G9" s="88" t="s">
        <v>84</v>
      </c>
      <c r="H9" s="48">
        <f>'Master escapements'!G23</f>
        <v>72196</v>
      </c>
      <c r="I9" s="88" t="s">
        <v>84</v>
      </c>
      <c r="K9" s="65">
        <v>50000</v>
      </c>
      <c r="L9" s="65">
        <v>90000</v>
      </c>
      <c r="M9" s="9"/>
      <c r="N9" s="9"/>
      <c r="Q9" s="9">
        <f t="shared" si="0"/>
        <v>75881</v>
      </c>
      <c r="W9" t="s">
        <v>359</v>
      </c>
      <c r="Z9" s="9">
        <f>HughSmith!M9</f>
        <v>2440.06340221957</v>
      </c>
      <c r="AA9" t="s">
        <v>358</v>
      </c>
      <c r="AF9" t="s">
        <v>359</v>
      </c>
      <c r="AI9" t="s">
        <v>370</v>
      </c>
      <c r="AJ9" t="s">
        <v>358</v>
      </c>
      <c r="AM9" t="s">
        <v>370</v>
      </c>
      <c r="AN9" t="s">
        <v>372</v>
      </c>
      <c r="AP9">
        <v>1985</v>
      </c>
      <c r="AQ9" s="379">
        <v>3.8775989640080808</v>
      </c>
      <c r="AR9" s="9">
        <f>HughSmith!M9*7.5</f>
        <v>18300.475516646773</v>
      </c>
    </row>
    <row r="10" spans="1:44" ht="15" x14ac:dyDescent="0.25">
      <c r="A10" s="66">
        <v>1991</v>
      </c>
      <c r="B10" s="87" t="s">
        <v>84</v>
      </c>
      <c r="C10" s="87" t="s">
        <v>84</v>
      </c>
      <c r="D10" s="87" t="s">
        <v>84</v>
      </c>
      <c r="E10" s="87" t="s">
        <v>84</v>
      </c>
      <c r="F10" s="48">
        <v>5439</v>
      </c>
      <c r="G10" s="88" t="s">
        <v>84</v>
      </c>
      <c r="H10" s="48">
        <f>'Master escapements'!G24</f>
        <v>127484</v>
      </c>
      <c r="I10" s="88" t="s">
        <v>84</v>
      </c>
      <c r="K10" s="65">
        <v>50000</v>
      </c>
      <c r="L10" s="65">
        <v>90000</v>
      </c>
      <c r="M10" s="9"/>
      <c r="N10" s="9"/>
      <c r="Q10" s="9">
        <f t="shared" si="0"/>
        <v>132923</v>
      </c>
      <c r="W10" t="s">
        <v>198</v>
      </c>
      <c r="Y10" t="s">
        <v>92</v>
      </c>
      <c r="Z10" s="9">
        <f>HughSmith!M10</f>
        <v>4365.2427951680847</v>
      </c>
      <c r="AA10" t="s">
        <v>198</v>
      </c>
      <c r="AB10" t="s">
        <v>205</v>
      </c>
      <c r="AC10" t="s">
        <v>92</v>
      </c>
      <c r="AD10" t="s">
        <v>152</v>
      </c>
      <c r="AF10" t="s">
        <v>198</v>
      </c>
      <c r="AG10" t="s">
        <v>205</v>
      </c>
      <c r="AH10" t="s">
        <v>92</v>
      </c>
      <c r="AI10" s="479" t="s">
        <v>371</v>
      </c>
      <c r="AJ10" t="s">
        <v>198</v>
      </c>
      <c r="AK10" t="s">
        <v>205</v>
      </c>
      <c r="AL10" t="s">
        <v>92</v>
      </c>
      <c r="AM10" s="479" t="s">
        <v>371</v>
      </c>
      <c r="AN10" t="s">
        <v>21</v>
      </c>
      <c r="AP10">
        <v>1986</v>
      </c>
      <c r="AQ10" s="379">
        <v>4.1999609384774761</v>
      </c>
      <c r="AR10" s="9">
        <f>HughSmith!M10*7.5</f>
        <v>32739.320963760634</v>
      </c>
    </row>
    <row r="11" spans="1:44" ht="15" x14ac:dyDescent="0.25">
      <c r="A11" s="66">
        <v>1992</v>
      </c>
      <c r="B11" s="87">
        <v>41713</v>
      </c>
      <c r="C11" s="87">
        <v>2283</v>
      </c>
      <c r="D11" s="87">
        <v>79013</v>
      </c>
      <c r="E11" s="87">
        <v>431</v>
      </c>
      <c r="F11" s="48">
        <v>5629</v>
      </c>
      <c r="G11" s="88">
        <f t="shared" ref="G11:G23" si="1">SUM(B11:F11)</f>
        <v>129069</v>
      </c>
      <c r="H11" s="48">
        <f>'Master escapements'!G25</f>
        <v>83729</v>
      </c>
      <c r="I11" s="88">
        <f t="shared" ref="I11:I23" si="2">G11+H11</f>
        <v>212798</v>
      </c>
      <c r="K11" s="65">
        <v>50000</v>
      </c>
      <c r="L11" s="65">
        <v>90000</v>
      </c>
      <c r="M11" s="50">
        <f>'Master smolts'!E19</f>
        <v>1080551</v>
      </c>
      <c r="N11" s="45">
        <f t="shared" ref="N11:N34" si="3">I11/M11*100</f>
        <v>19.69347120126676</v>
      </c>
      <c r="P11" s="9">
        <f t="shared" ref="P11:P34" si="4">SUM(C11:F11)</f>
        <v>87356</v>
      </c>
      <c r="Q11" s="9">
        <f t="shared" si="0"/>
        <v>89357.072169809602</v>
      </c>
      <c r="R11" s="481">
        <v>0.92783019039759795</v>
      </c>
      <c r="S11" s="88">
        <f>(R11*D11)+F11+H11</f>
        <v>162668.6468338854</v>
      </c>
      <c r="U11" s="480">
        <v>81.845850660095252</v>
      </c>
      <c r="V11" s="66">
        <f>A6</f>
        <v>1987</v>
      </c>
      <c r="W11" s="9">
        <f>H6</f>
        <v>55457</v>
      </c>
      <c r="Y11" s="9">
        <f>ChilkatTable!J6</f>
        <v>37432.148331849698</v>
      </c>
      <c r="Z11" s="9">
        <f>HughSmith!M11</f>
        <v>2243.7333250769234</v>
      </c>
      <c r="AP11">
        <v>1987</v>
      </c>
      <c r="AQ11" s="379">
        <v>2.6708093694380484</v>
      </c>
      <c r="AR11" s="9">
        <f>HughSmith!M11*7.5</f>
        <v>16827.999938076926</v>
      </c>
    </row>
    <row r="12" spans="1:44" ht="15" x14ac:dyDescent="0.25">
      <c r="A12" s="66">
        <v>1993</v>
      </c>
      <c r="B12" s="87">
        <v>78371</v>
      </c>
      <c r="C12" s="87">
        <v>3430</v>
      </c>
      <c r="D12" s="87">
        <v>40308</v>
      </c>
      <c r="E12" s="87">
        <v>3222</v>
      </c>
      <c r="F12" s="48">
        <v>4659</v>
      </c>
      <c r="G12" s="88">
        <f t="shared" si="1"/>
        <v>129990</v>
      </c>
      <c r="H12" s="48">
        <f>'Master escapements'!G26</f>
        <v>119330</v>
      </c>
      <c r="I12" s="88">
        <f t="shared" si="2"/>
        <v>249320</v>
      </c>
      <c r="K12" s="65">
        <v>50000</v>
      </c>
      <c r="L12" s="65">
        <v>90000</v>
      </c>
      <c r="M12" s="50">
        <f>'Master smolts'!E20</f>
        <v>1510032</v>
      </c>
      <c r="N12" s="45">
        <f t="shared" si="3"/>
        <v>16.510908378100599</v>
      </c>
      <c r="P12" s="9">
        <f t="shared" si="4"/>
        <v>51619</v>
      </c>
      <c r="Q12" s="9">
        <f t="shared" si="0"/>
        <v>123988.16191786711</v>
      </c>
      <c r="R12" s="481">
        <v>0.83808213288382083</v>
      </c>
      <c r="S12" s="88">
        <f t="shared" ref="S12:S36" si="5">(R12*D12)+F12+H12</f>
        <v>157770.41461228105</v>
      </c>
      <c r="U12" s="480">
        <v>61.772182161071967</v>
      </c>
      <c r="V12" s="66">
        <f t="shared" ref="V12:V15" si="6">A7</f>
        <v>1988</v>
      </c>
      <c r="W12" s="9">
        <f t="shared" ref="W12:W41" si="7">H7</f>
        <v>39450</v>
      </c>
      <c r="Y12" s="9">
        <f>ChilkatTable!J7</f>
        <v>29495.053088079232</v>
      </c>
      <c r="Z12" s="9">
        <f>HughSmith!M12</f>
        <v>1472.8414272727273</v>
      </c>
      <c r="AP12">
        <v>1988</v>
      </c>
      <c r="AQ12" s="379">
        <v>1.5444060197490821</v>
      </c>
      <c r="AR12" s="9">
        <f>HughSmith!M12*7.5</f>
        <v>11046.310704545454</v>
      </c>
    </row>
    <row r="13" spans="1:44" ht="15" x14ac:dyDescent="0.25">
      <c r="A13" s="66">
        <v>1994</v>
      </c>
      <c r="B13" s="87">
        <v>97039</v>
      </c>
      <c r="C13" s="87">
        <v>26352</v>
      </c>
      <c r="D13" s="87">
        <v>86198</v>
      </c>
      <c r="E13" s="87">
        <v>19018</v>
      </c>
      <c r="F13" s="48">
        <v>14786</v>
      </c>
      <c r="G13" s="88">
        <f t="shared" si="1"/>
        <v>243393</v>
      </c>
      <c r="H13" s="48">
        <f>'Master escapements'!G27</f>
        <v>96343</v>
      </c>
      <c r="I13" s="88">
        <f t="shared" si="2"/>
        <v>339736</v>
      </c>
      <c r="K13" s="65">
        <v>50000</v>
      </c>
      <c r="L13" s="65">
        <v>90000</v>
      </c>
      <c r="M13" s="50">
        <f>'Master smolts'!E21</f>
        <v>1475874</v>
      </c>
      <c r="N13" s="45">
        <f t="shared" si="3"/>
        <v>23.019309236425332</v>
      </c>
      <c r="P13" s="9">
        <f t="shared" si="4"/>
        <v>146354</v>
      </c>
      <c r="Q13" s="9">
        <f t="shared" si="0"/>
        <v>111128.03240373312</v>
      </c>
      <c r="R13" s="481">
        <v>0.96759626688158651</v>
      </c>
      <c r="S13" s="88">
        <f t="shared" si="5"/>
        <v>194533.86301265901</v>
      </c>
      <c r="U13" s="480">
        <v>74.807767736549977</v>
      </c>
      <c r="V13" s="66">
        <f t="shared" si="6"/>
        <v>1989</v>
      </c>
      <c r="W13" s="9">
        <f t="shared" si="7"/>
        <v>56808</v>
      </c>
      <c r="X13" s="9">
        <f>'Berners River'!J102</f>
        <v>9320</v>
      </c>
      <c r="Y13" s="9">
        <f>ChilkatTable!J8</f>
        <v>48833.314804892871</v>
      </c>
      <c r="Z13" s="9">
        <f>HughSmith!M13</f>
        <v>2404.1482196078432</v>
      </c>
      <c r="AA13" s="446">
        <f t="shared" ref="AA13:AA41" si="8">(W13-(AVERAGE(W$13:W$41)))/STDEV(W$13:W$41)</f>
        <v>-0.87804998274711976</v>
      </c>
      <c r="AB13" s="446">
        <f t="shared" ref="AB13:AB41" si="9">(X13-(AVERAGE(X$13:X$41)))/STDEV(X$13:X$41)</f>
        <v>-0.44647032352108029</v>
      </c>
      <c r="AC13" s="446">
        <f t="shared" ref="AC13:AC41" si="10">(Y13-(AVERAGE(Y$13:Y$41)))/STDEV(Y$13:Y$41)</f>
        <v>-0.53018192599790093</v>
      </c>
      <c r="AD13" s="446">
        <f t="shared" ref="AD13:AD41" si="11">(Z13-(AVERAGE(Z$13:Z$41)))/STDEV(Z$13:Z$41)</f>
        <v>-0.96719498639309187</v>
      </c>
      <c r="AP13">
        <v>1989</v>
      </c>
      <c r="AQ13" s="379">
        <v>2.3994648814511308</v>
      </c>
      <c r="AR13" s="9">
        <f>HughSmith!M13*7.5</f>
        <v>18031.111647058824</v>
      </c>
    </row>
    <row r="14" spans="1:44" ht="15" x14ac:dyDescent="0.25">
      <c r="A14" s="66">
        <v>1995</v>
      </c>
      <c r="B14" s="87">
        <v>45041</v>
      </c>
      <c r="C14" s="87">
        <v>1853</v>
      </c>
      <c r="D14" s="87">
        <v>56820</v>
      </c>
      <c r="E14" s="87">
        <v>7857</v>
      </c>
      <c r="F14" s="48">
        <v>13835</v>
      </c>
      <c r="G14" s="88">
        <f t="shared" si="1"/>
        <v>125406</v>
      </c>
      <c r="H14" s="48">
        <f>'Master escapements'!G28</f>
        <v>55710</v>
      </c>
      <c r="I14" s="88">
        <f t="shared" si="2"/>
        <v>181116</v>
      </c>
      <c r="K14" s="65">
        <v>50000</v>
      </c>
      <c r="L14" s="65">
        <v>90000</v>
      </c>
      <c r="M14" s="50">
        <f>'Master smolts'!E22</f>
        <v>1525330</v>
      </c>
      <c r="N14" s="45">
        <f t="shared" si="3"/>
        <v>11.873889584548918</v>
      </c>
      <c r="P14" s="9">
        <f t="shared" si="4"/>
        <v>80365</v>
      </c>
      <c r="Q14" s="9">
        <f t="shared" si="0"/>
        <v>69544.088459811333</v>
      </c>
      <c r="R14" s="481">
        <v>0.91154018866334097</v>
      </c>
      <c r="S14" s="88">
        <f t="shared" si="5"/>
        <v>121338.71351985104</v>
      </c>
      <c r="U14" s="477">
        <v>44.074472220600114</v>
      </c>
      <c r="V14" s="66">
        <f t="shared" si="6"/>
        <v>1990</v>
      </c>
      <c r="W14" s="9">
        <f t="shared" si="7"/>
        <v>72196</v>
      </c>
      <c r="X14" s="9">
        <f>'Berners River'!J103</f>
        <v>13715</v>
      </c>
      <c r="Y14" s="9">
        <f>ChilkatTable!J9</f>
        <v>79807</v>
      </c>
      <c r="Z14" s="9">
        <f>HughSmith!M14</f>
        <v>4793.5998117647068</v>
      </c>
      <c r="AA14" s="446">
        <f t="shared" si="8"/>
        <v>-0.5091176808902087</v>
      </c>
      <c r="AB14" s="446">
        <f t="shared" si="9"/>
        <v>0.21395485502656481</v>
      </c>
      <c r="AC14" s="446">
        <f t="shared" si="10"/>
        <v>0.16439799955252204</v>
      </c>
      <c r="AD14" s="446">
        <f t="shared" si="11"/>
        <v>0.32540651195264469</v>
      </c>
      <c r="AP14">
        <v>1990</v>
      </c>
      <c r="AQ14" s="379">
        <v>3.6168321860428221</v>
      </c>
      <c r="AR14" s="9">
        <f>HughSmith!M14*7.5</f>
        <v>35951.998588235299</v>
      </c>
    </row>
    <row r="15" spans="1:44" ht="15" x14ac:dyDescent="0.25">
      <c r="A15" s="66">
        <v>1996</v>
      </c>
      <c r="B15" s="87">
        <v>24779</v>
      </c>
      <c r="C15" s="87">
        <v>220</v>
      </c>
      <c r="D15" s="87">
        <v>17069</v>
      </c>
      <c r="E15" s="87">
        <v>2461</v>
      </c>
      <c r="F15" s="48">
        <v>5119</v>
      </c>
      <c r="G15" s="88">
        <f t="shared" si="1"/>
        <v>49648</v>
      </c>
      <c r="H15" s="48">
        <f>'Master escapements'!G29</f>
        <v>44635</v>
      </c>
      <c r="I15" s="88">
        <f t="shared" si="2"/>
        <v>94283</v>
      </c>
      <c r="K15" s="65">
        <v>50000</v>
      </c>
      <c r="L15" s="65">
        <v>90000</v>
      </c>
      <c r="M15" s="50">
        <f>'Master smolts'!E23</f>
        <v>986489</v>
      </c>
      <c r="N15" s="45">
        <f t="shared" si="3"/>
        <v>9.5574304427114747</v>
      </c>
      <c r="P15" s="9">
        <f t="shared" si="4"/>
        <v>24869</v>
      </c>
      <c r="Q15" s="9">
        <f t="shared" si="0"/>
        <v>49753.16470199277</v>
      </c>
      <c r="R15" s="481">
        <v>0.83529800722686631</v>
      </c>
      <c r="S15" s="88">
        <f t="shared" si="5"/>
        <v>64011.70168535538</v>
      </c>
      <c r="U15" s="477">
        <v>39.676587924995992</v>
      </c>
      <c r="V15" s="66">
        <f t="shared" si="6"/>
        <v>1991</v>
      </c>
      <c r="W15" s="9">
        <f t="shared" si="7"/>
        <v>127484</v>
      </c>
      <c r="X15" s="9">
        <f>'Berners River'!J104</f>
        <v>14311</v>
      </c>
      <c r="Y15" s="9">
        <f>ChilkatTable!J10</f>
        <v>84516.611642352465</v>
      </c>
      <c r="Z15" s="9">
        <f>HughSmith!M15</f>
        <v>5766.7673997076818</v>
      </c>
      <c r="AA15" s="446">
        <f t="shared" si="8"/>
        <v>0.81643009042931924</v>
      </c>
      <c r="AB15" s="446">
        <f t="shared" si="9"/>
        <v>0.30351421939844114</v>
      </c>
      <c r="AC15" s="446">
        <f t="shared" si="10"/>
        <v>0.27001028570158281</v>
      </c>
      <c r="AD15" s="446">
        <f t="shared" si="11"/>
        <v>0.85185278374387319</v>
      </c>
      <c r="AP15">
        <v>1991</v>
      </c>
      <c r="AQ15" s="379">
        <v>4.1722714114334973</v>
      </c>
      <c r="AR15" s="9">
        <f>HughSmith!M15*7.5</f>
        <v>43250.755497807615</v>
      </c>
    </row>
    <row r="16" spans="1:44" ht="15" x14ac:dyDescent="0.25">
      <c r="A16" s="66">
        <v>1997</v>
      </c>
      <c r="B16" s="87">
        <v>8822</v>
      </c>
      <c r="C16" s="87">
        <v>550</v>
      </c>
      <c r="D16" s="87">
        <v>1489</v>
      </c>
      <c r="E16" s="87">
        <v>4963</v>
      </c>
      <c r="F16" s="48">
        <v>2717</v>
      </c>
      <c r="G16" s="88">
        <f t="shared" si="1"/>
        <v>18541</v>
      </c>
      <c r="H16" s="48">
        <f>'Master escapements'!G30</f>
        <v>32345</v>
      </c>
      <c r="I16" s="88">
        <f t="shared" si="2"/>
        <v>50886</v>
      </c>
      <c r="K16" s="65">
        <v>50000</v>
      </c>
      <c r="L16" s="65">
        <v>90000</v>
      </c>
      <c r="M16" s="50">
        <f>'Master smolts'!E24</f>
        <v>759763</v>
      </c>
      <c r="N16" s="45">
        <f t="shared" si="3"/>
        <v>6.6976149141245358</v>
      </c>
      <c r="P16" s="9">
        <f t="shared" si="4"/>
        <v>9719</v>
      </c>
      <c r="Q16" s="9">
        <f t="shared" si="0"/>
        <v>35061</v>
      </c>
      <c r="R16" s="481">
        <v>1</v>
      </c>
      <c r="S16" s="88">
        <f t="shared" si="5"/>
        <v>36551</v>
      </c>
      <c r="U16" s="477">
        <v>18.440695397967986</v>
      </c>
      <c r="V16" s="66">
        <v>1992</v>
      </c>
      <c r="W16" s="9">
        <f t="shared" si="7"/>
        <v>83729</v>
      </c>
      <c r="X16" s="9">
        <f>'Berners River'!J105</f>
        <v>18991</v>
      </c>
      <c r="Y16" s="9">
        <f>ChilkatTable!J11</f>
        <v>77588.469183807058</v>
      </c>
      <c r="Z16" s="9">
        <f>HughSmith!M16</f>
        <v>4894.6816364759979</v>
      </c>
      <c r="AA16" s="446">
        <f t="shared" si="8"/>
        <v>-0.23261025709791899</v>
      </c>
      <c r="AB16" s="446">
        <f t="shared" si="9"/>
        <v>1.0067656040635102</v>
      </c>
      <c r="AC16" s="446">
        <f t="shared" si="10"/>
        <v>0.11464780162043892</v>
      </c>
      <c r="AD16" s="446">
        <f t="shared" si="11"/>
        <v>0.38008789512282887</v>
      </c>
      <c r="AE16" s="66">
        <v>1992</v>
      </c>
      <c r="AF16" s="9">
        <f t="shared" ref="AF16:AF41" si="12">I11</f>
        <v>212798</v>
      </c>
      <c r="AG16" s="9">
        <f>'Berners River'!K105</f>
        <v>49685.775120772909</v>
      </c>
      <c r="AH16" s="448">
        <v>275990.07402776123</v>
      </c>
      <c r="AI16" s="477">
        <f t="shared" ref="AI16:AI41" si="13">U11</f>
        <v>81.845850660095252</v>
      </c>
      <c r="AJ16" s="446">
        <f t="shared" ref="AJ16:AJ41" si="14">(AF16-(AVERAGE(AF$16:AF$41)))/STDEV(AF$16:AF$41)</f>
        <v>0.49753930095751842</v>
      </c>
      <c r="AK16" s="446">
        <f t="shared" ref="AK16:AK41" si="15">(AG16-(AVERAGE(AG$16:AG$41)))/STDEV(AG$16:AG$41)</f>
        <v>1.3414159195449635</v>
      </c>
      <c r="AL16" s="446"/>
      <c r="AM16" s="446">
        <f t="shared" ref="AM16:AM41" si="16">(AI16-(AVERAGE(AI$16:AI$41)))/STDEV(AI$16:AI$41)</f>
        <v>2.2749750531124984</v>
      </c>
      <c r="AN16" s="446">
        <f t="shared" ref="AN16:AN41" si="17">(S11-(AVERAGE(S$16:S$43)))/STDEV(S$16:S$43)</f>
        <v>0.77342986437331529</v>
      </c>
      <c r="AO16">
        <f>AVERAGE(AK16:AL16)</f>
        <v>1.3414159195449635</v>
      </c>
      <c r="AP16">
        <v>1992</v>
      </c>
      <c r="AQ16" s="379">
        <v>3.8709355582596414</v>
      </c>
      <c r="AR16" s="9">
        <f>HughSmith!M16*7.5</f>
        <v>36710.112273569983</v>
      </c>
    </row>
    <row r="17" spans="1:44" ht="15" x14ac:dyDescent="0.25">
      <c r="A17" s="89">
        <v>1998</v>
      </c>
      <c r="B17" s="87">
        <v>28827</v>
      </c>
      <c r="C17" s="87">
        <v>742</v>
      </c>
      <c r="D17" s="87">
        <v>19371</v>
      </c>
      <c r="E17" s="87">
        <v>4427</v>
      </c>
      <c r="F17" s="48">
        <v>5176</v>
      </c>
      <c r="G17" s="88">
        <f t="shared" si="1"/>
        <v>58543</v>
      </c>
      <c r="H17" s="48">
        <f>'Master escapements'!G31</f>
        <v>61382</v>
      </c>
      <c r="I17" s="88">
        <f t="shared" si="2"/>
        <v>119925</v>
      </c>
      <c r="K17" s="65">
        <v>50000</v>
      </c>
      <c r="L17" s="65">
        <v>90000</v>
      </c>
      <c r="M17" s="50">
        <f>'Master smolts'!E25</f>
        <v>853662</v>
      </c>
      <c r="N17" s="45">
        <f t="shared" si="3"/>
        <v>14.048300146896548</v>
      </c>
      <c r="P17" s="9">
        <f t="shared" si="4"/>
        <v>29716</v>
      </c>
      <c r="Q17" s="9">
        <f t="shared" si="0"/>
        <v>66557.331269719565</v>
      </c>
      <c r="R17" s="481">
        <v>0.66873028043329619</v>
      </c>
      <c r="S17" s="88">
        <f>(R17*D17)+F17+H17</f>
        <v>79511.974262273376</v>
      </c>
      <c r="U17" s="477">
        <v>36.598030104593306</v>
      </c>
      <c r="V17" s="66">
        <v>1993</v>
      </c>
      <c r="W17" s="9">
        <f t="shared" si="7"/>
        <v>119330</v>
      </c>
      <c r="X17" s="9">
        <f>'Berners River'!J106</f>
        <v>19450</v>
      </c>
      <c r="Y17" s="9">
        <f>ChilkatTable!J12</f>
        <v>58216.575707485921</v>
      </c>
      <c r="Z17" s="9">
        <f>HughSmith!M17</f>
        <v>4241.8022695348827</v>
      </c>
      <c r="AA17" s="446">
        <f t="shared" si="8"/>
        <v>0.6209352899782371</v>
      </c>
      <c r="AB17" s="446">
        <f t="shared" si="9"/>
        <v>1.075738336021046</v>
      </c>
      <c r="AC17" s="446">
        <f t="shared" si="10"/>
        <v>-0.31976380435402157</v>
      </c>
      <c r="AD17" s="446">
        <f t="shared" si="11"/>
        <v>2.6905244042069912E-2</v>
      </c>
      <c r="AE17" s="66">
        <v>1993</v>
      </c>
      <c r="AF17" s="9">
        <f t="shared" si="12"/>
        <v>249320</v>
      </c>
      <c r="AG17" s="9">
        <f>'Berners River'!K106</f>
        <v>53385.621649948291</v>
      </c>
      <c r="AH17" s="448">
        <v>296541.64869923156</v>
      </c>
      <c r="AI17" s="477">
        <f t="shared" si="13"/>
        <v>61.772182161071967</v>
      </c>
      <c r="AJ17" s="446">
        <f t="shared" si="14"/>
        <v>1.0025097513679422</v>
      </c>
      <c r="AK17" s="446">
        <f t="shared" si="15"/>
        <v>1.5638512304235195</v>
      </c>
      <c r="AL17" s="446"/>
      <c r="AM17" s="446">
        <f t="shared" si="16"/>
        <v>1.0779044482524991</v>
      </c>
      <c r="AN17" s="446">
        <f t="shared" si="17"/>
        <v>0.68187217947723078</v>
      </c>
      <c r="AO17">
        <f t="shared" ref="AO17:AO41" si="18">AVERAGE(AK17:AL17)</f>
        <v>1.5638512304235195</v>
      </c>
      <c r="AP17">
        <v>1993</v>
      </c>
      <c r="AQ17" s="379">
        <v>4.1726997823101817</v>
      </c>
      <c r="AR17" s="9">
        <f>HughSmith!M17*7.5</f>
        <v>31813.51702151162</v>
      </c>
    </row>
    <row r="18" spans="1:44" ht="15" x14ac:dyDescent="0.25">
      <c r="A18" s="66">
        <v>1999</v>
      </c>
      <c r="B18" s="87">
        <v>36231</v>
      </c>
      <c r="C18" s="87">
        <v>2881</v>
      </c>
      <c r="D18" s="87">
        <v>7507</v>
      </c>
      <c r="E18" s="87">
        <v>4170</v>
      </c>
      <c r="F18" s="48">
        <v>5619</v>
      </c>
      <c r="G18" s="88">
        <f t="shared" si="1"/>
        <v>56408</v>
      </c>
      <c r="H18" s="48">
        <f>'Master escapements'!G32</f>
        <v>60768</v>
      </c>
      <c r="I18" s="88">
        <f t="shared" si="2"/>
        <v>117176</v>
      </c>
      <c r="K18" s="65">
        <v>50000</v>
      </c>
      <c r="L18" s="65">
        <v>90000</v>
      </c>
      <c r="M18" s="50">
        <f>'Master smolts'!E26</f>
        <v>1184195</v>
      </c>
      <c r="N18" s="45">
        <f t="shared" si="3"/>
        <v>9.8949919565612081</v>
      </c>
      <c r="P18" s="9">
        <f t="shared" si="4"/>
        <v>20177</v>
      </c>
      <c r="Q18" s="9">
        <f t="shared" si="0"/>
        <v>66386.217094849373</v>
      </c>
      <c r="R18" s="481">
        <v>0.7829051506303254</v>
      </c>
      <c r="S18" s="88">
        <f t="shared" si="5"/>
        <v>72264.268965781856</v>
      </c>
      <c r="U18" s="477">
        <v>33.407871331548399</v>
      </c>
      <c r="V18" s="66">
        <v>1994</v>
      </c>
      <c r="W18" s="9">
        <f t="shared" si="7"/>
        <v>96343</v>
      </c>
      <c r="X18" s="9">
        <f>'Berners River'!J107</f>
        <v>19760</v>
      </c>
      <c r="Y18" s="9">
        <f>ChilkatTable!J13</f>
        <v>194425.20171286893</v>
      </c>
      <c r="Z18" s="9">
        <f>HughSmith!M18</f>
        <v>9463.7586653711714</v>
      </c>
      <c r="AA18" s="446">
        <f t="shared" si="8"/>
        <v>6.9814493072543435E-2</v>
      </c>
      <c r="AB18" s="446">
        <f t="shared" si="9"/>
        <v>1.1223212268856124</v>
      </c>
      <c r="AC18" s="446">
        <f t="shared" si="10"/>
        <v>2.7346928001539044</v>
      </c>
      <c r="AD18" s="446">
        <f t="shared" si="11"/>
        <v>2.8517830041565624</v>
      </c>
      <c r="AE18" s="66">
        <v>1994</v>
      </c>
      <c r="AF18" s="9">
        <f t="shared" si="12"/>
        <v>339736</v>
      </c>
      <c r="AG18" s="9">
        <f>'Berners River'!K107</f>
        <v>77208.888401009244</v>
      </c>
      <c r="AH18" s="448">
        <v>428872.98776509165</v>
      </c>
      <c r="AI18" s="477">
        <f t="shared" si="13"/>
        <v>74.807767736549977</v>
      </c>
      <c r="AJ18" s="446">
        <f t="shared" si="14"/>
        <v>2.252644142811699</v>
      </c>
      <c r="AK18" s="446">
        <f t="shared" si="15"/>
        <v>2.9961094887399993</v>
      </c>
      <c r="AL18" s="446"/>
      <c r="AM18" s="446">
        <f t="shared" si="16"/>
        <v>1.8552669074512751</v>
      </c>
      <c r="AN18" s="446">
        <f t="shared" si="17"/>
        <v>1.3690540181595923</v>
      </c>
      <c r="AO18">
        <f t="shared" si="18"/>
        <v>2.9961094887399993</v>
      </c>
      <c r="AP18">
        <v>1994</v>
      </c>
      <c r="AQ18" s="379">
        <v>6.6518893716874876</v>
      </c>
      <c r="AR18" s="9">
        <f>HughSmith!M18*7.5</f>
        <v>70978.18999028379</v>
      </c>
    </row>
    <row r="19" spans="1:44" ht="15" x14ac:dyDescent="0.25">
      <c r="A19" s="66">
        <v>2000</v>
      </c>
      <c r="B19" s="87">
        <v>21236</v>
      </c>
      <c r="C19" s="87">
        <v>2132</v>
      </c>
      <c r="D19" s="87">
        <v>11466</v>
      </c>
      <c r="E19" s="87">
        <v>4137</v>
      </c>
      <c r="F19" s="48">
        <v>5478</v>
      </c>
      <c r="G19" s="88">
        <f t="shared" si="1"/>
        <v>44449</v>
      </c>
      <c r="H19" s="48">
        <f>'Master escapements'!G33</f>
        <v>64700</v>
      </c>
      <c r="I19" s="88">
        <f t="shared" si="2"/>
        <v>109149</v>
      </c>
      <c r="K19" s="65">
        <v>50000</v>
      </c>
      <c r="L19" s="65">
        <v>90000</v>
      </c>
      <c r="M19" s="50">
        <f>'Master smolts'!E27</f>
        <v>1691411</v>
      </c>
      <c r="N19" s="45">
        <f t="shared" si="3"/>
        <v>6.4531329168368901</v>
      </c>
      <c r="P19" s="9">
        <f t="shared" si="4"/>
        <v>23213</v>
      </c>
      <c r="Q19" s="9">
        <f t="shared" si="0"/>
        <v>70177.330283038522</v>
      </c>
      <c r="R19" s="481">
        <v>0.66971696148039539</v>
      </c>
      <c r="S19" s="88">
        <f t="shared" si="5"/>
        <v>77856.974680334213</v>
      </c>
      <c r="U19" s="478">
        <v>28.678174124704519</v>
      </c>
      <c r="V19" s="66">
        <v>1995</v>
      </c>
      <c r="W19" s="9">
        <f t="shared" si="7"/>
        <v>55710</v>
      </c>
      <c r="X19" s="9">
        <f>'Berners River'!J108</f>
        <v>6138</v>
      </c>
      <c r="Y19" s="9">
        <f>ChilkatTable!J14</f>
        <v>56736.778289155831</v>
      </c>
      <c r="Z19" s="9">
        <f>HughSmith!M19</f>
        <v>6708.1908790374318</v>
      </c>
      <c r="AA19" s="446">
        <f t="shared" si="8"/>
        <v>-0.90437488965112867</v>
      </c>
      <c r="AB19" s="446">
        <f t="shared" si="9"/>
        <v>-0.924621158137373</v>
      </c>
      <c r="AC19" s="446">
        <f t="shared" si="10"/>
        <v>-0.3529480242548485</v>
      </c>
      <c r="AD19" s="446">
        <f t="shared" si="11"/>
        <v>1.3611267125205835</v>
      </c>
      <c r="AE19" s="66">
        <v>1995</v>
      </c>
      <c r="AF19" s="9">
        <f t="shared" si="12"/>
        <v>181116</v>
      </c>
      <c r="AG19" s="9">
        <f>'Berners River'!K108</f>
        <v>30008.150686949062</v>
      </c>
      <c r="AH19" s="448">
        <v>166686.57597531317</v>
      </c>
      <c r="AI19" s="477">
        <f t="shared" si="13"/>
        <v>44.074472220600114</v>
      </c>
      <c r="AJ19" s="446">
        <f t="shared" si="14"/>
        <v>5.9488980331510906E-2</v>
      </c>
      <c r="AK19" s="446">
        <f t="shared" si="15"/>
        <v>0.15839427965423714</v>
      </c>
      <c r="AL19" s="446"/>
      <c r="AM19" s="446">
        <f t="shared" si="16"/>
        <v>2.2521455148459799E-2</v>
      </c>
      <c r="AN19" s="446">
        <f t="shared" si="17"/>
        <v>8.9135661283177453E-4</v>
      </c>
      <c r="AO19">
        <f t="shared" si="18"/>
        <v>0.15839427965423714</v>
      </c>
      <c r="AP19">
        <v>1995</v>
      </c>
      <c r="AQ19" s="379">
        <v>4.0549686086040255</v>
      </c>
      <c r="AR19" s="9">
        <f>HughSmith!M19*7.5</f>
        <v>50311.43159278074</v>
      </c>
    </row>
    <row r="20" spans="1:44" ht="15" x14ac:dyDescent="0.25">
      <c r="A20" s="66">
        <v>2001</v>
      </c>
      <c r="B20" s="87">
        <v>38326</v>
      </c>
      <c r="C20" s="87">
        <v>2065</v>
      </c>
      <c r="D20" s="87">
        <v>11777</v>
      </c>
      <c r="E20" s="87">
        <v>3094</v>
      </c>
      <c r="F20" s="48">
        <v>3121</v>
      </c>
      <c r="G20" s="88">
        <f t="shared" si="1"/>
        <v>58383</v>
      </c>
      <c r="H20" s="48">
        <f>'Master escapements'!G34</f>
        <v>104394</v>
      </c>
      <c r="I20" s="88">
        <f t="shared" si="2"/>
        <v>162777</v>
      </c>
      <c r="K20" s="65">
        <v>50000</v>
      </c>
      <c r="L20" s="65">
        <v>90000</v>
      </c>
      <c r="M20" s="50">
        <f>'Master smolts'!E28</f>
        <v>1811038</v>
      </c>
      <c r="N20" s="45">
        <f t="shared" si="3"/>
        <v>8.9880499470469424</v>
      </c>
      <c r="P20" s="9">
        <f t="shared" si="4"/>
        <v>20057</v>
      </c>
      <c r="Q20" s="9">
        <f t="shared" si="0"/>
        <v>107514.21434198921</v>
      </c>
      <c r="R20" s="481">
        <v>0.78565801078892228</v>
      </c>
      <c r="S20" s="88">
        <f t="shared" si="5"/>
        <v>116767.69439306113</v>
      </c>
      <c r="U20" s="478">
        <v>49.301353652307427</v>
      </c>
      <c r="V20" s="66">
        <v>1996</v>
      </c>
      <c r="W20" s="9">
        <f t="shared" si="7"/>
        <v>44635</v>
      </c>
      <c r="X20" s="9">
        <f>'Berners River'!J109</f>
        <v>7509</v>
      </c>
      <c r="Y20" s="9">
        <f>ChilkatTable!J15</f>
        <v>37331.253053327193</v>
      </c>
      <c r="Z20" s="9">
        <f>HughSmith!M20</f>
        <v>3948.0198984923668</v>
      </c>
      <c r="AA20" s="446">
        <f t="shared" si="8"/>
        <v>-1.16990161457089</v>
      </c>
      <c r="AB20" s="446">
        <f t="shared" si="9"/>
        <v>-0.71860456660408034</v>
      </c>
      <c r="AC20" s="446">
        <f t="shared" si="10"/>
        <v>-0.78811381704523686</v>
      </c>
      <c r="AD20" s="446">
        <f t="shared" si="11"/>
        <v>-0.13201973030919523</v>
      </c>
      <c r="AE20" s="66">
        <v>1996</v>
      </c>
      <c r="AF20" s="9">
        <f t="shared" si="12"/>
        <v>94283</v>
      </c>
      <c r="AG20" s="9">
        <f>'Berners River'!K109</f>
        <v>25112.698673798015</v>
      </c>
      <c r="AH20" s="448">
        <v>139493.75951572534</v>
      </c>
      <c r="AI20" s="477">
        <f t="shared" si="13"/>
        <v>39.676587924995992</v>
      </c>
      <c r="AJ20" s="446">
        <f t="shared" si="14"/>
        <v>-1.1411051580094433</v>
      </c>
      <c r="AK20" s="446">
        <f t="shared" si="15"/>
        <v>-0.13592100662846246</v>
      </c>
      <c r="AL20" s="446"/>
      <c r="AM20" s="446">
        <f t="shared" si="16"/>
        <v>-0.23974141992588319</v>
      </c>
      <c r="AN20" s="446">
        <f t="shared" si="17"/>
        <v>-1.0706643083935341</v>
      </c>
      <c r="AO20">
        <f t="shared" si="18"/>
        <v>-0.13592100662846246</v>
      </c>
      <c r="AP20">
        <v>1996</v>
      </c>
      <c r="AQ20" s="379">
        <v>3.4076793457873791</v>
      </c>
      <c r="AR20" s="9">
        <f>HughSmith!M20*7.5</f>
        <v>29610.149238692749</v>
      </c>
    </row>
    <row r="21" spans="1:44" ht="15" x14ac:dyDescent="0.25">
      <c r="A21" s="66">
        <v>2002</v>
      </c>
      <c r="B21" s="87">
        <v>39053</v>
      </c>
      <c r="C21" s="87">
        <v>3456</v>
      </c>
      <c r="D21" s="87">
        <v>30894</v>
      </c>
      <c r="E21" s="87">
        <v>6642</v>
      </c>
      <c r="F21" s="48">
        <v>3870</v>
      </c>
      <c r="G21" s="88">
        <f t="shared" si="1"/>
        <v>83915</v>
      </c>
      <c r="H21" s="48">
        <f>'Master escapements'!G35</f>
        <v>219360</v>
      </c>
      <c r="I21" s="88">
        <f t="shared" si="2"/>
        <v>303275</v>
      </c>
      <c r="K21" s="65">
        <v>50000</v>
      </c>
      <c r="L21" s="65">
        <v>90000</v>
      </c>
      <c r="M21" s="50">
        <f>'Master smolts'!E29</f>
        <v>2741593</v>
      </c>
      <c r="N21" s="45">
        <f t="shared" si="3"/>
        <v>11.061999355848954</v>
      </c>
      <c r="P21" s="9">
        <f t="shared" si="4"/>
        <v>44862</v>
      </c>
      <c r="Q21" s="9">
        <f t="shared" si="0"/>
        <v>223229.15807047466</v>
      </c>
      <c r="R21" s="481">
        <v>0.84192952534004184</v>
      </c>
      <c r="S21" s="88">
        <f t="shared" si="5"/>
        <v>249240.57075585524</v>
      </c>
      <c r="U21" s="478">
        <v>72.579620295382142</v>
      </c>
      <c r="V21" s="66">
        <v>1997</v>
      </c>
      <c r="W21" s="9">
        <f t="shared" si="7"/>
        <v>32345</v>
      </c>
      <c r="X21" s="9">
        <f>'Berners River'!J110</f>
        <v>12474</v>
      </c>
      <c r="Y21" s="9">
        <f>ChilkatTable!J16</f>
        <v>43519.496802707559</v>
      </c>
      <c r="Z21" s="9">
        <f>HughSmith!M21</f>
        <v>2695.6040093386764</v>
      </c>
      <c r="AA21" s="446">
        <f t="shared" si="8"/>
        <v>-1.4645583594254155</v>
      </c>
      <c r="AB21" s="446">
        <f t="shared" si="9"/>
        <v>2.7473024178412912E-2</v>
      </c>
      <c r="AC21" s="446">
        <f t="shared" si="10"/>
        <v>-0.64934344291450641</v>
      </c>
      <c r="AD21" s="446">
        <f t="shared" si="11"/>
        <v>-0.80952860313418262</v>
      </c>
      <c r="AE21" s="66">
        <v>1997</v>
      </c>
      <c r="AF21" s="9">
        <f t="shared" si="12"/>
        <v>50886</v>
      </c>
      <c r="AG21" s="9">
        <f>'Berners River'!K110</f>
        <v>17708.193293887598</v>
      </c>
      <c r="AH21" s="448">
        <v>98363.879122777143</v>
      </c>
      <c r="AI21" s="477">
        <f t="shared" si="13"/>
        <v>18.440695397967986</v>
      </c>
      <c r="AJ21" s="446">
        <f t="shared" si="14"/>
        <v>-1.7411326109545493</v>
      </c>
      <c r="AK21" s="446">
        <f t="shared" si="15"/>
        <v>-0.58108094585691461</v>
      </c>
      <c r="AL21" s="446"/>
      <c r="AM21" s="446">
        <f t="shared" si="16"/>
        <v>-1.5061199452715739</v>
      </c>
      <c r="AN21" s="446">
        <f t="shared" si="17"/>
        <v>-1.5839593418228881</v>
      </c>
      <c r="AO21">
        <f t="shared" si="18"/>
        <v>-0.58108094585691461</v>
      </c>
      <c r="AP21">
        <v>1997</v>
      </c>
      <c r="AQ21" s="379">
        <v>2.6918613044967539</v>
      </c>
      <c r="AR21" s="9">
        <f>HughSmith!M21*7.5</f>
        <v>20217.030070040073</v>
      </c>
    </row>
    <row r="22" spans="1:44" ht="15" x14ac:dyDescent="0.25">
      <c r="A22" s="66">
        <v>2003</v>
      </c>
      <c r="B22" s="87">
        <v>36433</v>
      </c>
      <c r="C22" s="87">
        <v>3646</v>
      </c>
      <c r="D22" s="87">
        <v>27694</v>
      </c>
      <c r="E22" s="87">
        <v>10503</v>
      </c>
      <c r="F22" s="48">
        <v>3702</v>
      </c>
      <c r="G22" s="88">
        <f t="shared" si="1"/>
        <v>81978</v>
      </c>
      <c r="H22" s="48">
        <f>'Master escapements'!G36</f>
        <v>183112</v>
      </c>
      <c r="I22" s="88">
        <f t="shared" si="2"/>
        <v>265090</v>
      </c>
      <c r="K22" s="65">
        <v>50000</v>
      </c>
      <c r="L22" s="65">
        <v>90000</v>
      </c>
      <c r="M22" s="50">
        <f>'Master smolts'!E30</f>
        <v>2737851</v>
      </c>
      <c r="N22" s="45">
        <f t="shared" si="3"/>
        <v>9.6824114971925059</v>
      </c>
      <c r="P22" s="9">
        <f t="shared" si="4"/>
        <v>45545</v>
      </c>
      <c r="Q22" s="9">
        <f t="shared" si="0"/>
        <v>186813.28889077593</v>
      </c>
      <c r="R22" s="481">
        <v>0.71110922405782639</v>
      </c>
      <c r="S22" s="88">
        <f t="shared" si="5"/>
        <v>206507.45885105745</v>
      </c>
      <c r="U22" s="478">
        <v>48.852062962890919</v>
      </c>
      <c r="V22" s="89">
        <v>1998</v>
      </c>
      <c r="W22" s="9">
        <f t="shared" si="7"/>
        <v>61382</v>
      </c>
      <c r="X22" s="9">
        <f>'Berners River'!J111</f>
        <v>8443</v>
      </c>
      <c r="Y22" s="9">
        <f>ChilkatTable!J17</f>
        <v>50758</v>
      </c>
      <c r="Z22" s="9">
        <f>HughSmith!M22</f>
        <v>4371.2672840690102</v>
      </c>
      <c r="AA22" s="446">
        <f t="shared" si="8"/>
        <v>-0.76838684597213203</v>
      </c>
      <c r="AB22" s="446">
        <f t="shared" si="9"/>
        <v>-0.57825482445083787</v>
      </c>
      <c r="AC22" s="446">
        <f t="shared" si="10"/>
        <v>-0.48702116901646519</v>
      </c>
      <c r="AD22" s="446">
        <f t="shared" si="11"/>
        <v>9.6940842302132804E-2</v>
      </c>
      <c r="AE22" s="89">
        <v>1998</v>
      </c>
      <c r="AF22" s="9">
        <f t="shared" si="12"/>
        <v>119925</v>
      </c>
      <c r="AG22" s="9">
        <f>'Berners River'!K111</f>
        <v>24778.138818002408</v>
      </c>
      <c r="AH22" s="448">
        <v>137635.37652502628</v>
      </c>
      <c r="AI22" s="477">
        <f t="shared" si="13"/>
        <v>36.598030104593306</v>
      </c>
      <c r="AJ22" s="446">
        <f t="shared" si="14"/>
        <v>-0.78656673488299655</v>
      </c>
      <c r="AK22" s="446">
        <f t="shared" si="15"/>
        <v>-0.15603479376653787</v>
      </c>
      <c r="AL22" s="446"/>
      <c r="AM22" s="446">
        <f t="shared" si="16"/>
        <v>-0.42332774707606186</v>
      </c>
      <c r="AN22" s="446">
        <f t="shared" si="17"/>
        <v>-0.78093344056300751</v>
      </c>
      <c r="AO22">
        <f t="shared" si="18"/>
        <v>-0.15603479376653787</v>
      </c>
      <c r="AP22">
        <v>1998</v>
      </c>
      <c r="AQ22" s="379">
        <v>3.2249503256252758</v>
      </c>
      <c r="AR22" s="9">
        <f>HughSmith!M22*7.5</f>
        <v>32784.504630517578</v>
      </c>
    </row>
    <row r="23" spans="1:44" ht="15" x14ac:dyDescent="0.25">
      <c r="A23" s="66">
        <v>2004</v>
      </c>
      <c r="B23" s="87">
        <v>62002</v>
      </c>
      <c r="C23" s="87">
        <v>5335</v>
      </c>
      <c r="D23" s="87">
        <v>30961</v>
      </c>
      <c r="E23" s="87">
        <v>14108</v>
      </c>
      <c r="F23" s="48">
        <v>9804</v>
      </c>
      <c r="G23" s="88">
        <f t="shared" si="1"/>
        <v>122210</v>
      </c>
      <c r="H23" s="48">
        <f>'Master escapements'!G37</f>
        <v>129327</v>
      </c>
      <c r="I23" s="88">
        <f t="shared" si="2"/>
        <v>251537</v>
      </c>
      <c r="K23" s="65">
        <v>50000</v>
      </c>
      <c r="L23" s="65">
        <v>90000</v>
      </c>
      <c r="M23" s="50">
        <f>'Master smolts'!E31</f>
        <v>2961344</v>
      </c>
      <c r="N23" s="45">
        <f t="shared" si="3"/>
        <v>8.494014879730285</v>
      </c>
      <c r="P23" s="9">
        <f t="shared" si="4"/>
        <v>60208</v>
      </c>
      <c r="Q23" s="9">
        <f t="shared" si="0"/>
        <v>139130.16829619187</v>
      </c>
      <c r="R23" s="481">
        <v>0.83170380812180367</v>
      </c>
      <c r="S23" s="88">
        <f t="shared" si="5"/>
        <v>164881.38160325916</v>
      </c>
      <c r="U23" s="478">
        <v>55.734017680595798</v>
      </c>
      <c r="V23" s="66">
        <v>1999</v>
      </c>
      <c r="W23" s="9">
        <f t="shared" si="7"/>
        <v>60768</v>
      </c>
      <c r="X23" s="9">
        <f>'Berners River'!J112</f>
        <v>12313</v>
      </c>
      <c r="Y23" s="9">
        <f>ChilkatTable!J18</f>
        <v>57140.359403245857</v>
      </c>
      <c r="Z23" s="9">
        <f>HughSmith!M23</f>
        <v>4221.182284270074</v>
      </c>
      <c r="AA23" s="446">
        <f t="shared" si="8"/>
        <v>-0.78310769555233373</v>
      </c>
      <c r="AB23" s="446">
        <f t="shared" si="9"/>
        <v>3.2799744068154483E-3</v>
      </c>
      <c r="AC23" s="446">
        <f t="shared" si="10"/>
        <v>-0.34389778246371389</v>
      </c>
      <c r="AD23" s="446">
        <f t="shared" si="11"/>
        <v>1.5750624322362679E-2</v>
      </c>
      <c r="AE23" s="66">
        <v>1999</v>
      </c>
      <c r="AF23" s="9">
        <f t="shared" si="12"/>
        <v>117176</v>
      </c>
      <c r="AG23" s="9">
        <f>'Berners River'!K112</f>
        <v>35538.161085633677</v>
      </c>
      <c r="AH23" s="448">
        <v>197404.18027185858</v>
      </c>
      <c r="AI23" s="477">
        <f t="shared" si="13"/>
        <v>33.407871331548399</v>
      </c>
      <c r="AJ23" s="446">
        <f t="shared" si="14"/>
        <v>-0.82457570942377356</v>
      </c>
      <c r="AK23" s="446">
        <f t="shared" si="15"/>
        <v>0.49085930826914442</v>
      </c>
      <c r="AL23" s="446"/>
      <c r="AM23" s="446">
        <f t="shared" si="16"/>
        <v>-0.61356927130139771</v>
      </c>
      <c r="AN23" s="446">
        <f t="shared" si="17"/>
        <v>-0.91640744174021282</v>
      </c>
      <c r="AO23">
        <f t="shared" si="18"/>
        <v>0.49085930826914442</v>
      </c>
      <c r="AP23">
        <v>1999</v>
      </c>
      <c r="AQ23" s="379">
        <v>4.1652872370535938</v>
      </c>
      <c r="AR23" s="9">
        <f>HughSmith!M23*7.5</f>
        <v>31658.867132025556</v>
      </c>
    </row>
    <row r="24" spans="1:44" ht="15" x14ac:dyDescent="0.25">
      <c r="A24" s="66">
        <v>2005</v>
      </c>
      <c r="B24" s="87">
        <v>46521</v>
      </c>
      <c r="C24" s="87">
        <v>4325</v>
      </c>
      <c r="D24" s="87">
        <v>23546</v>
      </c>
      <c r="E24" s="87">
        <v>4654</v>
      </c>
      <c r="F24" s="48">
        <v>8393</v>
      </c>
      <c r="G24" s="88">
        <f t="shared" ref="G24:G31" si="19">SUM(B24:F24)</f>
        <v>87439</v>
      </c>
      <c r="H24" s="48">
        <f>'Master escapements'!G38</f>
        <v>135558</v>
      </c>
      <c r="I24" s="88">
        <f t="shared" ref="I24:I28" si="20">G24+H24</f>
        <v>222997</v>
      </c>
      <c r="K24" s="65">
        <v>50000</v>
      </c>
      <c r="L24" s="65">
        <v>90000</v>
      </c>
      <c r="M24" s="50">
        <f>'Master smolts'!E32</f>
        <v>3755274</v>
      </c>
      <c r="N24" s="45">
        <f t="shared" si="3"/>
        <v>5.9382351327759304</v>
      </c>
      <c r="P24" s="9">
        <f t="shared" si="4"/>
        <v>40918</v>
      </c>
      <c r="Q24" s="9">
        <f t="shared" si="0"/>
        <v>143950.2404785192</v>
      </c>
      <c r="R24" s="481">
        <v>0.75952148080832527</v>
      </c>
      <c r="S24" s="88">
        <f t="shared" si="5"/>
        <v>161834.69278711284</v>
      </c>
      <c r="U24" s="478">
        <v>36.642075586525813</v>
      </c>
      <c r="V24" s="66">
        <v>2000</v>
      </c>
      <c r="W24" s="9">
        <f t="shared" si="7"/>
        <v>64700</v>
      </c>
      <c r="X24" s="9">
        <f>'Berners River'!J113</f>
        <v>13219</v>
      </c>
      <c r="Y24" s="9">
        <f>ChilkatTable!J19</f>
        <v>84843</v>
      </c>
      <c r="Z24" s="9">
        <f>HughSmith!M24</f>
        <v>1346.429008854748</v>
      </c>
      <c r="AA24" s="446">
        <f t="shared" si="8"/>
        <v>-0.68883671745892494</v>
      </c>
      <c r="AB24" s="446">
        <f t="shared" si="9"/>
        <v>0.13942222964325832</v>
      </c>
      <c r="AC24" s="446">
        <f t="shared" si="10"/>
        <v>0.27732949230316478</v>
      </c>
      <c r="AD24" s="446">
        <f t="shared" si="11"/>
        <v>-1.5393804372874518</v>
      </c>
      <c r="AE24" s="66">
        <v>2000</v>
      </c>
      <c r="AF24" s="9">
        <f t="shared" si="12"/>
        <v>109149</v>
      </c>
      <c r="AG24" s="9">
        <f>'Berners River'!K113</f>
        <v>24033.712363482147</v>
      </c>
      <c r="AH24" s="9">
        <f>ChilkatTable!K19</f>
        <v>125178</v>
      </c>
      <c r="AI24" s="477">
        <f t="shared" si="13"/>
        <v>28.678174124704519</v>
      </c>
      <c r="AJ24" s="446">
        <f t="shared" si="14"/>
        <v>-0.93556080896499449</v>
      </c>
      <c r="AK24" s="446">
        <f t="shared" si="15"/>
        <v>-0.20078982036877399</v>
      </c>
      <c r="AL24" s="446">
        <f t="shared" ref="AL24:AL41" si="21">(AH24-(AVERAGE(AH$16:AH$41)))/STDEV(AH$16:AH$41)</f>
        <v>-0.28806015115841838</v>
      </c>
      <c r="AM24" s="446">
        <f t="shared" si="16"/>
        <v>-0.89561943549917422</v>
      </c>
      <c r="AN24" s="446">
        <f t="shared" si="17"/>
        <v>-0.81186866849238204</v>
      </c>
      <c r="AO24">
        <f t="shared" si="18"/>
        <v>-0.24442498576359617</v>
      </c>
      <c r="AP24">
        <v>2000</v>
      </c>
      <c r="AQ24" s="379">
        <v>2.5264586311745054</v>
      </c>
      <c r="AR24" s="9">
        <f>HughSmith!M24*7.5</f>
        <v>10098.217566410609</v>
      </c>
    </row>
    <row r="25" spans="1:44" ht="15" x14ac:dyDescent="0.25">
      <c r="A25" s="66">
        <v>2006</v>
      </c>
      <c r="B25" s="87">
        <v>49394</v>
      </c>
      <c r="C25" s="87">
        <v>613</v>
      </c>
      <c r="D25" s="87">
        <v>37879</v>
      </c>
      <c r="E25" s="87">
        <v>4621</v>
      </c>
      <c r="F25" s="48">
        <v>11803</v>
      </c>
      <c r="G25" s="88">
        <f t="shared" si="19"/>
        <v>104310</v>
      </c>
      <c r="H25" s="48">
        <f>'Master escapements'!G39</f>
        <v>122384</v>
      </c>
      <c r="I25" s="88">
        <f t="shared" si="20"/>
        <v>226694</v>
      </c>
      <c r="K25" s="65">
        <v>50000</v>
      </c>
      <c r="L25" s="65">
        <v>90000</v>
      </c>
      <c r="M25" s="50">
        <f>'Master smolts'!E33</f>
        <v>2149673</v>
      </c>
      <c r="N25" s="45">
        <f t="shared" si="3"/>
        <v>10.545510875374999</v>
      </c>
      <c r="P25" s="9">
        <f t="shared" si="4"/>
        <v>54916</v>
      </c>
      <c r="Q25" s="9">
        <f t="shared" si="0"/>
        <v>134186.13603533129</v>
      </c>
      <c r="R25" s="481">
        <v>0.86396466871019184</v>
      </c>
      <c r="S25" s="88">
        <f t="shared" si="5"/>
        <v>166913.11768607335</v>
      </c>
      <c r="U25" s="478">
        <v>62.665213498227573</v>
      </c>
      <c r="V25" s="66">
        <v>2001</v>
      </c>
      <c r="W25" s="9">
        <f t="shared" si="7"/>
        <v>104394</v>
      </c>
      <c r="X25" s="9">
        <f>'Berners River'!J114</f>
        <v>23943</v>
      </c>
      <c r="Y25" s="9">
        <f>ChilkatTable!J20</f>
        <v>107697</v>
      </c>
      <c r="Z25" s="9">
        <f>HughSmith!M25</f>
        <v>3119.409837292078</v>
      </c>
      <c r="AA25" s="446">
        <f t="shared" si="8"/>
        <v>0.26283983504355923</v>
      </c>
      <c r="AB25" s="446">
        <f t="shared" si="9"/>
        <v>1.7508897187774894</v>
      </c>
      <c r="AC25" s="446">
        <f t="shared" si="10"/>
        <v>0.78982677890427444</v>
      </c>
      <c r="AD25" s="446">
        <f t="shared" si="11"/>
        <v>-0.58026593465478726</v>
      </c>
      <c r="AE25" s="66">
        <v>2001</v>
      </c>
      <c r="AF25" s="9">
        <f t="shared" si="12"/>
        <v>162777</v>
      </c>
      <c r="AG25" s="9">
        <f>'Berners River'!K114</f>
        <v>36805.75112682458</v>
      </c>
      <c r="AH25" s="9">
        <f>ChilkatTable!K20</f>
        <v>155865</v>
      </c>
      <c r="AI25" s="477">
        <f t="shared" si="13"/>
        <v>49.301353652307427</v>
      </c>
      <c r="AJ25" s="446">
        <f t="shared" si="14"/>
        <v>-0.1940747097751854</v>
      </c>
      <c r="AK25" s="446">
        <f t="shared" si="15"/>
        <v>0.56706700571158453</v>
      </c>
      <c r="AL25" s="446">
        <f t="shared" si="21"/>
        <v>3.2590902532561014E-2</v>
      </c>
      <c r="AM25" s="446">
        <f t="shared" si="16"/>
        <v>0.3342206404413629</v>
      </c>
      <c r="AN25" s="446">
        <f t="shared" si="17"/>
        <v>-8.4550065910726627E-2</v>
      </c>
      <c r="AO25">
        <f t="shared" si="18"/>
        <v>0.29982895412207278</v>
      </c>
      <c r="AP25">
        <v>2001</v>
      </c>
      <c r="AQ25" s="379">
        <v>4.4321211948027184</v>
      </c>
      <c r="AR25" s="9">
        <f>HughSmith!M25*7.5</f>
        <v>23395.573779690585</v>
      </c>
    </row>
    <row r="26" spans="1:44" ht="15" x14ac:dyDescent="0.25">
      <c r="A26" s="66">
        <v>2007</v>
      </c>
      <c r="B26" s="87">
        <v>23519</v>
      </c>
      <c r="C26" s="87">
        <v>6484</v>
      </c>
      <c r="D26" s="87">
        <v>18795</v>
      </c>
      <c r="E26" s="87">
        <v>2124</v>
      </c>
      <c r="F26" s="48">
        <v>8133</v>
      </c>
      <c r="G26" s="88">
        <f t="shared" si="19"/>
        <v>59055</v>
      </c>
      <c r="H26" s="48">
        <f>'Master escapements'!G40</f>
        <v>74246</v>
      </c>
      <c r="I26" s="88">
        <f t="shared" si="20"/>
        <v>133301</v>
      </c>
      <c r="K26" s="65">
        <v>50000</v>
      </c>
      <c r="L26" s="65">
        <v>90000</v>
      </c>
      <c r="M26" s="50">
        <f>'Master smolts'!E34</f>
        <v>3035547</v>
      </c>
      <c r="N26" s="45">
        <f t="shared" si="3"/>
        <v>4.3913337530270491</v>
      </c>
      <c r="P26" s="9">
        <f t="shared" si="4"/>
        <v>35536</v>
      </c>
      <c r="Q26" s="9">
        <f t="shared" si="0"/>
        <v>82378.122843391378</v>
      </c>
      <c r="R26" s="481">
        <v>0.87715660862747924</v>
      </c>
      <c r="S26" s="88">
        <f t="shared" si="5"/>
        <v>98865.158459153477</v>
      </c>
      <c r="U26" s="478">
        <v>20.096588700062146</v>
      </c>
      <c r="V26" s="66">
        <v>2002</v>
      </c>
      <c r="W26" s="9">
        <f t="shared" si="7"/>
        <v>219360</v>
      </c>
      <c r="X26" s="9">
        <f>'Berners River'!J115</f>
        <v>34382</v>
      </c>
      <c r="Y26" s="9">
        <f>ChilkatTable!J21</f>
        <v>204925</v>
      </c>
      <c r="Z26" s="9">
        <f>HughSmith!M26</f>
        <v>5405.94794976298</v>
      </c>
      <c r="AA26" s="446">
        <f t="shared" si="8"/>
        <v>3.0191870546485524</v>
      </c>
      <c r="AB26" s="446">
        <f t="shared" si="9"/>
        <v>3.3195310017942967</v>
      </c>
      <c r="AC26" s="446">
        <f t="shared" si="10"/>
        <v>2.9701490936698596</v>
      </c>
      <c r="AD26" s="446">
        <f t="shared" si="11"/>
        <v>0.65666332555953344</v>
      </c>
      <c r="AE26" s="66">
        <v>2002</v>
      </c>
      <c r="AF26" s="9">
        <f t="shared" si="12"/>
        <v>303275</v>
      </c>
      <c r="AG26" s="9">
        <f>'Berners River'!K115</f>
        <v>56500.421037951979</v>
      </c>
      <c r="AH26" s="9">
        <f>ChilkatTable!K21</f>
        <v>339984</v>
      </c>
      <c r="AI26" s="477">
        <f t="shared" si="13"/>
        <v>72.579620295382142</v>
      </c>
      <c r="AJ26" s="446">
        <f t="shared" si="14"/>
        <v>1.7485171072601282</v>
      </c>
      <c r="AK26" s="446">
        <f t="shared" si="15"/>
        <v>1.7511134221743097</v>
      </c>
      <c r="AL26" s="446">
        <f t="shared" si="21"/>
        <v>1.956465877425168</v>
      </c>
      <c r="AM26" s="446">
        <f t="shared" si="16"/>
        <v>1.7223938451484966</v>
      </c>
      <c r="AN26" s="446">
        <f t="shared" si="17"/>
        <v>2.3916309974954499</v>
      </c>
      <c r="AO26">
        <f t="shared" si="18"/>
        <v>1.8537896497997388</v>
      </c>
      <c r="AP26">
        <v>2002</v>
      </c>
      <c r="AQ26" s="379">
        <v>4.696055820465828</v>
      </c>
      <c r="AR26" s="9">
        <f>HughSmith!M26*7.5</f>
        <v>40544.60962322235</v>
      </c>
    </row>
    <row r="27" spans="1:44" ht="15" x14ac:dyDescent="0.25">
      <c r="A27" s="66">
        <v>2008</v>
      </c>
      <c r="B27" s="87">
        <v>47996.923700581407</v>
      </c>
      <c r="C27" s="87">
        <v>0</v>
      </c>
      <c r="D27" s="87">
        <v>25254.10358751917</v>
      </c>
      <c r="E27" s="87">
        <v>1529.662801729643</v>
      </c>
      <c r="F27" s="48">
        <v>4064</v>
      </c>
      <c r="G27" s="88">
        <f t="shared" si="19"/>
        <v>78844.690089830226</v>
      </c>
      <c r="H27" s="48">
        <f>'Master escapements'!G41</f>
        <v>95226</v>
      </c>
      <c r="I27" s="88">
        <f t="shared" si="20"/>
        <v>174070.69008983023</v>
      </c>
      <c r="K27" s="65">
        <v>50000</v>
      </c>
      <c r="L27" s="65">
        <v>90000</v>
      </c>
      <c r="M27" s="50">
        <f>'Master smolts'!E35</f>
        <v>2021243</v>
      </c>
      <c r="N27" s="45">
        <f t="shared" si="3"/>
        <v>8.6120614933400006</v>
      </c>
      <c r="P27" s="9">
        <f t="shared" si="4"/>
        <v>30847.766389248813</v>
      </c>
      <c r="Q27" s="9">
        <f t="shared" si="0"/>
        <v>99289.05834139658</v>
      </c>
      <c r="R27" s="481">
        <v>0.94165860342706131</v>
      </c>
      <c r="S27" s="88">
        <f t="shared" si="5"/>
        <v>123070.74391502564</v>
      </c>
      <c r="U27" s="478">
        <v>43.222358456726184</v>
      </c>
      <c r="V27" s="66">
        <v>2003</v>
      </c>
      <c r="W27" s="9">
        <f t="shared" si="7"/>
        <v>183112</v>
      </c>
      <c r="X27" s="9">
        <f>'Berners River'!J116</f>
        <v>12549</v>
      </c>
      <c r="Y27" s="9">
        <f>ChilkatTable!J22</f>
        <v>133109</v>
      </c>
      <c r="Z27" s="9">
        <f>HughSmith!M27</f>
        <v>3676.4022687281363</v>
      </c>
      <c r="AA27" s="446">
        <f t="shared" si="8"/>
        <v>2.1501294722655713</v>
      </c>
      <c r="AB27" s="446">
        <f t="shared" si="9"/>
        <v>3.8743078419840302E-2</v>
      </c>
      <c r="AC27" s="446">
        <f t="shared" si="10"/>
        <v>1.3596868054688758</v>
      </c>
      <c r="AD27" s="446">
        <f t="shared" si="11"/>
        <v>-0.27895443129363484</v>
      </c>
      <c r="AE27" s="66">
        <v>2003</v>
      </c>
      <c r="AF27" s="9">
        <f t="shared" si="12"/>
        <v>265090</v>
      </c>
      <c r="AG27" s="9">
        <f>'Berners River'!K116</f>
        <v>31550.021630484258</v>
      </c>
      <c r="AH27" s="9">
        <f>ChilkatTable!K22</f>
        <v>219114</v>
      </c>
      <c r="AI27" s="477">
        <f t="shared" si="13"/>
        <v>48.852062962890919</v>
      </c>
      <c r="AJ27" s="446">
        <f t="shared" si="14"/>
        <v>1.2205532320911332</v>
      </c>
      <c r="AK27" s="446">
        <f t="shared" si="15"/>
        <v>0.25109178479543104</v>
      </c>
      <c r="AL27" s="446">
        <f t="shared" si="21"/>
        <v>0.69348504320779003</v>
      </c>
      <c r="AM27" s="446">
        <f t="shared" si="16"/>
        <v>0.30742769637316958</v>
      </c>
      <c r="AN27" s="446">
        <f t="shared" si="17"/>
        <v>1.5928642960818757</v>
      </c>
      <c r="AO27">
        <f t="shared" si="18"/>
        <v>0.47228841400161053</v>
      </c>
      <c r="AP27">
        <v>2003</v>
      </c>
      <c r="AQ27" s="379">
        <v>3.7439226830430816</v>
      </c>
      <c r="AR27" s="9">
        <f>HughSmith!M27*7.5</f>
        <v>27573.01701546102</v>
      </c>
    </row>
    <row r="28" spans="1:44" ht="15" x14ac:dyDescent="0.25">
      <c r="A28" s="66">
        <v>2009</v>
      </c>
      <c r="B28" s="87">
        <v>51748.07419336708</v>
      </c>
      <c r="C28" s="87">
        <v>4748.8873562509589</v>
      </c>
      <c r="D28" s="87">
        <v>46837.725627215434</v>
      </c>
      <c r="E28" s="87">
        <v>6720.0146222776184</v>
      </c>
      <c r="F28" s="48">
        <v>10006</v>
      </c>
      <c r="G28" s="88">
        <f t="shared" si="19"/>
        <v>120060.70179911111</v>
      </c>
      <c r="H28" s="48">
        <f>'Master escapements'!G42</f>
        <v>103950</v>
      </c>
      <c r="I28" s="88">
        <f t="shared" si="20"/>
        <v>224010.70179911109</v>
      </c>
      <c r="K28" s="65">
        <v>50000</v>
      </c>
      <c r="L28" s="65">
        <v>90000</v>
      </c>
      <c r="M28" s="50">
        <f>'Master smolts'!E36</f>
        <v>2803021</v>
      </c>
      <c r="N28" s="45">
        <f t="shared" si="3"/>
        <v>7.991759669267946</v>
      </c>
      <c r="P28" s="9">
        <f t="shared" si="4"/>
        <v>68312.627605744012</v>
      </c>
      <c r="Q28" s="9">
        <f t="shared" si="0"/>
        <v>113955.21817544514</v>
      </c>
      <c r="R28" s="481">
        <v>0.78182455486136526</v>
      </c>
      <c r="S28" s="88">
        <f t="shared" si="5"/>
        <v>150574.88398921647</v>
      </c>
      <c r="U28" s="478">
        <v>38.98826515963971</v>
      </c>
      <c r="V28" s="66">
        <v>2004</v>
      </c>
      <c r="W28" s="9">
        <f t="shared" si="7"/>
        <v>129327</v>
      </c>
      <c r="X28" s="9">
        <f>'Berners River'!J117</f>
        <v>17936</v>
      </c>
      <c r="Y28" s="9">
        <f>ChilkatTable!J23</f>
        <v>67053</v>
      </c>
      <c r="Z28" s="9">
        <f>HughSmith!M28</f>
        <v>2491.5583522095121</v>
      </c>
      <c r="AA28" s="446">
        <f t="shared" si="8"/>
        <v>0.86061661449497351</v>
      </c>
      <c r="AB28" s="446">
        <f t="shared" si="9"/>
        <v>0.84823350773409834</v>
      </c>
      <c r="AC28" s="446">
        <f t="shared" si="10"/>
        <v>-0.121608406035583</v>
      </c>
      <c r="AD28" s="446">
        <f t="shared" si="11"/>
        <v>-0.91990946332897805</v>
      </c>
      <c r="AE28" s="66">
        <v>2004</v>
      </c>
      <c r="AF28" s="9">
        <f t="shared" si="12"/>
        <v>251537</v>
      </c>
      <c r="AG28" s="9">
        <f>'Berners River'!K117</f>
        <v>36660.003930812047</v>
      </c>
      <c r="AH28" s="9">
        <f>ChilkatTable!K23</f>
        <v>195249</v>
      </c>
      <c r="AI28" s="477">
        <f t="shared" si="13"/>
        <v>55.734017680595798</v>
      </c>
      <c r="AJ28" s="446">
        <f t="shared" si="14"/>
        <v>1.0331630422216718</v>
      </c>
      <c r="AK28" s="446">
        <f t="shared" si="15"/>
        <v>0.55830466311194404</v>
      </c>
      <c r="AL28" s="446">
        <f t="shared" si="21"/>
        <v>0.44411764345104543</v>
      </c>
      <c r="AM28" s="446">
        <f t="shared" si="16"/>
        <v>0.71782531238157121</v>
      </c>
      <c r="AN28" s="446">
        <f t="shared" si="17"/>
        <v>0.81479027025186213</v>
      </c>
      <c r="AO28">
        <f t="shared" si="18"/>
        <v>0.50121115328149468</v>
      </c>
      <c r="AP28">
        <v>2004</v>
      </c>
      <c r="AQ28" s="379">
        <v>3.9830147394059674</v>
      </c>
      <c r="AR28" s="9">
        <f>HughSmith!M28*7.5</f>
        <v>18686.687641571341</v>
      </c>
    </row>
    <row r="29" spans="1:44" ht="15" x14ac:dyDescent="0.25">
      <c r="A29" s="89">
        <v>2010</v>
      </c>
      <c r="B29" s="90">
        <v>34553.563312988241</v>
      </c>
      <c r="C29" s="90">
        <v>3987.8108895504251</v>
      </c>
      <c r="D29" s="90">
        <v>52497.481202318129</v>
      </c>
      <c r="E29" s="90">
        <v>14287.145752523342</v>
      </c>
      <c r="F29" s="91">
        <v>14666</v>
      </c>
      <c r="G29" s="92">
        <f t="shared" si="19"/>
        <v>119992.00115738013</v>
      </c>
      <c r="H29" s="48">
        <f>'Master escapements'!G43</f>
        <v>126830</v>
      </c>
      <c r="I29" s="92">
        <f t="shared" ref="I29:I34" si="22">G29+H29</f>
        <v>246822.00115738012</v>
      </c>
      <c r="K29" s="65">
        <v>50000</v>
      </c>
      <c r="L29" s="65">
        <v>90000</v>
      </c>
      <c r="M29" s="50">
        <f>'Master smolts'!E37</f>
        <v>2270500</v>
      </c>
      <c r="N29" s="54">
        <f t="shared" si="3"/>
        <v>10.870821455951557</v>
      </c>
      <c r="P29" s="9">
        <f t="shared" si="4"/>
        <v>85438.437844391898</v>
      </c>
      <c r="Q29" s="12">
        <f t="shared" si="0"/>
        <v>141495.20329862082</v>
      </c>
      <c r="R29" s="481">
        <v>0.79670137917513795</v>
      </c>
      <c r="S29" s="88">
        <f t="shared" si="5"/>
        <v>183320.81567710772</v>
      </c>
      <c r="U29" s="478">
        <v>49.571264714156591</v>
      </c>
      <c r="V29" s="66">
        <v>2005</v>
      </c>
      <c r="W29" s="9">
        <f t="shared" si="7"/>
        <v>135558</v>
      </c>
      <c r="X29" s="9">
        <f>'Berners River'!J118</f>
        <v>6479</v>
      </c>
      <c r="Y29" s="9">
        <f>ChilkatTable!J24</f>
        <v>34575</v>
      </c>
      <c r="Z29" s="9">
        <f>HughSmith!M29</f>
        <v>3652.2158270975992</v>
      </c>
      <c r="AA29" s="446">
        <f t="shared" si="8"/>
        <v>1.0100068648764664</v>
      </c>
      <c r="AB29" s="446">
        <f t="shared" si="9"/>
        <v>-0.87337997818634983</v>
      </c>
      <c r="AC29" s="446">
        <f t="shared" si="10"/>
        <v>-0.84992234995047056</v>
      </c>
      <c r="AD29" s="446">
        <f t="shared" si="11"/>
        <v>-0.29203836686860235</v>
      </c>
      <c r="AE29" s="66">
        <v>2005</v>
      </c>
      <c r="AF29" s="9">
        <f t="shared" si="12"/>
        <v>222997</v>
      </c>
      <c r="AG29" s="9">
        <f>'Berners River'!K118</f>
        <v>14016.874942477865</v>
      </c>
      <c r="AH29" s="9">
        <f>ChilkatTable!K24</f>
        <v>65200</v>
      </c>
      <c r="AI29" s="477">
        <f t="shared" si="13"/>
        <v>36.642075586525813</v>
      </c>
      <c r="AJ29" s="446">
        <f t="shared" si="14"/>
        <v>0.63855550006315098</v>
      </c>
      <c r="AK29" s="446">
        <f t="shared" si="15"/>
        <v>-0.80300354144915487</v>
      </c>
      <c r="AL29" s="446">
        <f t="shared" si="21"/>
        <v>-0.91477533668576094</v>
      </c>
      <c r="AM29" s="446">
        <f t="shared" si="16"/>
        <v>-0.42070114438503597</v>
      </c>
      <c r="AN29" s="446">
        <f t="shared" si="17"/>
        <v>0.75784160755375451</v>
      </c>
      <c r="AO29">
        <f t="shared" si="18"/>
        <v>-0.85888943906745796</v>
      </c>
      <c r="AP29">
        <v>2005</v>
      </c>
      <c r="AQ29" s="379">
        <v>4.7227029524352995</v>
      </c>
      <c r="AR29" s="9">
        <f>HughSmith!M29*7.5</f>
        <v>27391.618703231994</v>
      </c>
    </row>
    <row r="30" spans="1:44" ht="15" x14ac:dyDescent="0.25">
      <c r="A30" s="89">
        <v>2011</v>
      </c>
      <c r="B30" s="90">
        <v>23825.245316706063</v>
      </c>
      <c r="C30" s="90">
        <v>6382.7117314603756</v>
      </c>
      <c r="D30" s="90">
        <v>11353.073533812909</v>
      </c>
      <c r="E30" s="90">
        <v>4804.3457873123234</v>
      </c>
      <c r="F30" s="91">
        <v>12702</v>
      </c>
      <c r="G30" s="92">
        <f t="shared" si="19"/>
        <v>59067.376369291669</v>
      </c>
      <c r="H30" s="48">
        <f>'Master escapements'!G44</f>
        <v>70871</v>
      </c>
      <c r="I30" s="92">
        <f t="shared" si="22"/>
        <v>129938.37636929167</v>
      </c>
      <c r="K30" s="65">
        <v>50000</v>
      </c>
      <c r="L30" s="65">
        <v>90000</v>
      </c>
      <c r="M30" s="50">
        <f>'Master smolts'!E38</f>
        <v>1526065</v>
      </c>
      <c r="N30" s="54">
        <f t="shared" si="3"/>
        <v>8.5146030063786053</v>
      </c>
      <c r="P30" s="9">
        <f t="shared" si="4"/>
        <v>35242.13105258561</v>
      </c>
      <c r="Q30" s="12">
        <f t="shared" si="0"/>
        <v>83572.57274185594</v>
      </c>
      <c r="R30" s="481">
        <v>0.42725814406242368</v>
      </c>
      <c r="S30" s="88">
        <f t="shared" si="5"/>
        <v>88423.693127461127</v>
      </c>
      <c r="U30" s="478">
        <v>21.284953088566176</v>
      </c>
      <c r="V30" s="66">
        <v>2006</v>
      </c>
      <c r="W30" s="9">
        <f t="shared" si="7"/>
        <v>122384</v>
      </c>
      <c r="X30" s="9">
        <f>'Berners River'!J119</f>
        <v>6789</v>
      </c>
      <c r="Y30" s="9">
        <f>ChilkatTable!J25</f>
        <v>79050</v>
      </c>
      <c r="Z30" s="9">
        <f>HughSmith!M30</f>
        <v>1925.8812384513892</v>
      </c>
      <c r="AA30" s="446">
        <f t="shared" si="8"/>
        <v>0.69415593267845843</v>
      </c>
      <c r="AB30" s="446">
        <f t="shared" si="9"/>
        <v>-0.82679708732178325</v>
      </c>
      <c r="AC30" s="446">
        <f t="shared" si="10"/>
        <v>0.14742239589639883</v>
      </c>
      <c r="AD30" s="446">
        <f t="shared" si="11"/>
        <v>-1.2259190461235054</v>
      </c>
      <c r="AE30" s="66">
        <v>2006</v>
      </c>
      <c r="AF30" s="9">
        <f t="shared" si="12"/>
        <v>226694</v>
      </c>
      <c r="AG30" s="9">
        <f>'Berners River'!K119</f>
        <v>17141.204102688618</v>
      </c>
      <c r="AH30" s="9">
        <f>ChilkatTable!K25</f>
        <v>145284</v>
      </c>
      <c r="AI30" s="477">
        <f t="shared" si="13"/>
        <v>62.665213498227573</v>
      </c>
      <c r="AJ30" s="446">
        <f t="shared" si="14"/>
        <v>0.68967197109889211</v>
      </c>
      <c r="AK30" s="446">
        <f t="shared" si="15"/>
        <v>-0.61516841840871128</v>
      </c>
      <c r="AL30" s="446">
        <f t="shared" si="21"/>
        <v>-7.7970859748022051E-2</v>
      </c>
      <c r="AM30" s="446">
        <f t="shared" si="16"/>
        <v>1.1311593659064301</v>
      </c>
      <c r="AN30" s="446">
        <f t="shared" si="17"/>
        <v>0.85276745133401566</v>
      </c>
      <c r="AO30">
        <f t="shared" si="18"/>
        <v>-0.34656963907836669</v>
      </c>
      <c r="AP30">
        <v>2006</v>
      </c>
      <c r="AQ30" s="379">
        <v>3.617441621196245</v>
      </c>
      <c r="AR30" s="9">
        <f>HughSmith!M30*7.5</f>
        <v>14444.10928838542</v>
      </c>
    </row>
    <row r="31" spans="1:44" ht="15" x14ac:dyDescent="0.25">
      <c r="A31" s="89">
        <v>2012</v>
      </c>
      <c r="B31" s="90">
        <v>14647.586530633618</v>
      </c>
      <c r="C31" s="90">
        <v>0</v>
      </c>
      <c r="D31" s="90">
        <v>12107.617925698278</v>
      </c>
      <c r="E31" s="90">
        <v>1212.1820597027918</v>
      </c>
      <c r="F31" s="91">
        <v>14204</v>
      </c>
      <c r="G31" s="92">
        <f t="shared" si="19"/>
        <v>42171.38651603469</v>
      </c>
      <c r="H31" s="48">
        <f>'Master escapements'!G45</f>
        <v>70775</v>
      </c>
      <c r="I31" s="92">
        <f t="shared" si="22"/>
        <v>112946.38651603469</v>
      </c>
      <c r="K31" s="65">
        <v>50000</v>
      </c>
      <c r="L31" s="65">
        <v>90000</v>
      </c>
      <c r="M31" s="50">
        <f>'Master smolts'!E39</f>
        <v>1463444</v>
      </c>
      <c r="N31" s="54">
        <f t="shared" si="3"/>
        <v>7.7178482071083483</v>
      </c>
      <c r="P31" s="9">
        <f t="shared" si="4"/>
        <v>27523.79998540107</v>
      </c>
      <c r="Q31" s="12">
        <f t="shared" si="0"/>
        <v>84978.111331309265</v>
      </c>
      <c r="R31" s="481">
        <v>0.88866869073721999</v>
      </c>
      <c r="S31" s="88">
        <f t="shared" si="5"/>
        <v>95738.660969976787</v>
      </c>
      <c r="U31" s="478">
        <v>32.992223929882734</v>
      </c>
      <c r="V31" s="66">
        <v>2007</v>
      </c>
      <c r="W31" s="9">
        <f t="shared" si="7"/>
        <v>74246</v>
      </c>
      <c r="X31" s="9">
        <f>'Berners River'!J120</f>
        <v>4859</v>
      </c>
      <c r="Y31" s="9">
        <f>ChilkatTable!J26</f>
        <v>24770</v>
      </c>
      <c r="Z31" s="9">
        <f>HughSmith!M31</f>
        <v>3309.0560961507222</v>
      </c>
      <c r="AA31" s="446">
        <f t="shared" si="8"/>
        <v>-0.45996826453937256</v>
      </c>
      <c r="AB31" s="446">
        <f t="shared" si="9"/>
        <v>-1.1168131498011815</v>
      </c>
      <c r="AC31" s="446">
        <f t="shared" si="10"/>
        <v>-1.069797903250719</v>
      </c>
      <c r="AD31" s="446">
        <f t="shared" si="11"/>
        <v>-0.47767459563750619</v>
      </c>
      <c r="AE31" s="66">
        <v>2007</v>
      </c>
      <c r="AF31" s="9">
        <f t="shared" si="12"/>
        <v>133301</v>
      </c>
      <c r="AG31" s="9">
        <f>'Berners River'!K120</f>
        <v>9665.5504169317664</v>
      </c>
      <c r="AH31" s="9">
        <f>ChilkatTable!K26</f>
        <v>38270</v>
      </c>
      <c r="AI31" s="477">
        <f t="shared" si="13"/>
        <v>20.096588700062146</v>
      </c>
      <c r="AJ31" s="446">
        <f t="shared" si="14"/>
        <v>-0.60162383075151893</v>
      </c>
      <c r="AK31" s="446">
        <f t="shared" si="15"/>
        <v>-1.0646058041216697</v>
      </c>
      <c r="AL31" s="446">
        <f t="shared" si="21"/>
        <v>-1.196169180199238</v>
      </c>
      <c r="AM31" s="446">
        <f t="shared" si="16"/>
        <v>-1.4073726138200295</v>
      </c>
      <c r="AN31" s="446">
        <f t="shared" si="17"/>
        <v>-0.41918400520172172</v>
      </c>
      <c r="AO31">
        <f t="shared" si="18"/>
        <v>-1.130387492160454</v>
      </c>
      <c r="AP31">
        <v>2007</v>
      </c>
      <c r="AQ31" s="379">
        <v>2.7118869599033641</v>
      </c>
      <c r="AR31" s="9">
        <f>HughSmith!M31*7.5</f>
        <v>24817.920721130416</v>
      </c>
    </row>
    <row r="32" spans="1:44" ht="15" x14ac:dyDescent="0.25">
      <c r="A32" s="89">
        <v>2013</v>
      </c>
      <c r="B32" s="90">
        <v>34849.481399449214</v>
      </c>
      <c r="C32" s="90">
        <v>2372.0061132470109</v>
      </c>
      <c r="D32" s="90">
        <v>24985.960716932037</v>
      </c>
      <c r="E32" s="90">
        <v>2472.3628289496119</v>
      </c>
      <c r="F32" s="91">
        <v>10613</v>
      </c>
      <c r="G32" s="92">
        <f t="shared" ref="G32:G37" si="23">SUM(B32:F32)</f>
        <v>75292.811058577878</v>
      </c>
      <c r="H32" s="48">
        <f>'Master escapements'!G46</f>
        <v>68117</v>
      </c>
      <c r="I32" s="92">
        <f t="shared" si="22"/>
        <v>143409.81105857788</v>
      </c>
      <c r="K32" s="65">
        <v>50000</v>
      </c>
      <c r="L32" s="65">
        <v>90000</v>
      </c>
      <c r="M32" s="50">
        <f>'Master smolts'!E40</f>
        <v>1338435</v>
      </c>
      <c r="N32" s="45">
        <f t="shared" si="3"/>
        <v>10.714738560974412</v>
      </c>
      <c r="P32" s="9">
        <f t="shared" si="4"/>
        <v>40443.329659128663</v>
      </c>
      <c r="Q32" s="9">
        <f t="shared" si="0"/>
        <v>78729.066439018963</v>
      </c>
      <c r="R32" s="481">
        <v>0.93356098104191187</v>
      </c>
      <c r="S32" s="88">
        <f t="shared" si="5"/>
        <v>102055.91799917375</v>
      </c>
      <c r="U32" s="478">
        <v>50.584065586141378</v>
      </c>
      <c r="V32" s="66">
        <v>2008</v>
      </c>
      <c r="W32" s="9">
        <f t="shared" si="7"/>
        <v>95226</v>
      </c>
      <c r="X32" s="9">
        <f>'Berners River'!J121</f>
        <v>8527</v>
      </c>
      <c r="Y32" s="9">
        <f>ChilkatTable!J27</f>
        <v>56369</v>
      </c>
      <c r="Z32" s="9">
        <f>HughSmith!M32</f>
        <v>3776</v>
      </c>
      <c r="AA32" s="446">
        <f t="shared" si="8"/>
        <v>4.3034054992600004E-2</v>
      </c>
      <c r="AB32" s="446">
        <f t="shared" si="9"/>
        <v>-0.56563236370043923</v>
      </c>
      <c r="AC32" s="446">
        <f t="shared" si="10"/>
        <v>-0.3611953934358742</v>
      </c>
      <c r="AD32" s="446">
        <f t="shared" si="11"/>
        <v>-0.22507588564892547</v>
      </c>
      <c r="AE32" s="66">
        <v>2008</v>
      </c>
      <c r="AF32" s="9">
        <f t="shared" si="12"/>
        <v>174070.69008983023</v>
      </c>
      <c r="AG32" s="9">
        <f>'Berners River'!K121</f>
        <v>16023.759212206873</v>
      </c>
      <c r="AH32" s="9">
        <f>ChilkatTable!K27</f>
        <v>108141</v>
      </c>
      <c r="AI32" s="477">
        <f t="shared" si="13"/>
        <v>43.222358456726184</v>
      </c>
      <c r="AJ32" s="446">
        <f t="shared" si="14"/>
        <v>-3.7922807594107981E-2</v>
      </c>
      <c r="AK32" s="446">
        <f t="shared" si="15"/>
        <v>-0.68234936757617837</v>
      </c>
      <c r="AL32" s="446">
        <f t="shared" si="21"/>
        <v>-0.46608120247438978</v>
      </c>
      <c r="AM32" s="446">
        <f t="shared" si="16"/>
        <v>-2.8293389122766861E-2</v>
      </c>
      <c r="AN32" s="446">
        <f t="shared" si="17"/>
        <v>3.3266443374213611E-2</v>
      </c>
      <c r="AO32">
        <f t="shared" si="18"/>
        <v>-0.57421528502528407</v>
      </c>
      <c r="AP32">
        <v>2008</v>
      </c>
      <c r="AQ32" s="379">
        <v>3.8245198363132995</v>
      </c>
      <c r="AR32" s="9">
        <f>HughSmith!M32*7.5</f>
        <v>28320</v>
      </c>
    </row>
    <row r="33" spans="1:44" ht="15" x14ac:dyDescent="0.25">
      <c r="A33" s="89">
        <v>2014</v>
      </c>
      <c r="B33" s="90">
        <v>12118</v>
      </c>
      <c r="C33" s="90">
        <v>773.20016853215623</v>
      </c>
      <c r="D33" s="90">
        <v>32145.380809862523</v>
      </c>
      <c r="E33" s="90">
        <v>3655.7306340608257</v>
      </c>
      <c r="F33" s="91">
        <v>16792</v>
      </c>
      <c r="G33" s="92">
        <f t="shared" si="23"/>
        <v>65484.311612455502</v>
      </c>
      <c r="H33" s="48">
        <f>'Master escapements'!G47</f>
        <v>124171</v>
      </c>
      <c r="I33" s="92">
        <f t="shared" si="22"/>
        <v>189655.31161245549</v>
      </c>
      <c r="K33" s="65">
        <v>50000</v>
      </c>
      <c r="L33" s="65">
        <v>90000</v>
      </c>
      <c r="M33" s="50">
        <f>'Master smolts'!E41</f>
        <v>1155192</v>
      </c>
      <c r="N33" s="45">
        <f t="shared" si="3"/>
        <v>16.417644132962788</v>
      </c>
      <c r="P33" s="9">
        <f t="shared" si="4"/>
        <v>53366.311612455509</v>
      </c>
      <c r="Q33" s="9">
        <f t="shared" si="0"/>
        <v>140962.11477508635</v>
      </c>
      <c r="R33" s="481">
        <v>0.88522491364415201</v>
      </c>
      <c r="S33" s="88">
        <f t="shared" si="5"/>
        <v>169418.89195146895</v>
      </c>
      <c r="U33" s="478">
        <v>41.023847660721387</v>
      </c>
      <c r="V33" s="66">
        <v>2009</v>
      </c>
      <c r="W33" s="9">
        <f t="shared" si="7"/>
        <v>103950</v>
      </c>
      <c r="X33" s="9">
        <f>'Berners River'!J122</f>
        <v>5250</v>
      </c>
      <c r="Y33" s="9">
        <f>ChilkatTable!J28</f>
        <v>47911</v>
      </c>
      <c r="Z33" s="9">
        <f>HughSmith!M33</f>
        <v>4383</v>
      </c>
      <c r="AA33" s="446">
        <f t="shared" si="8"/>
        <v>0.25219479072171958</v>
      </c>
      <c r="AB33" s="446">
        <f t="shared" si="9"/>
        <v>-1.0580586003558734</v>
      </c>
      <c r="AC33" s="446">
        <f t="shared" si="10"/>
        <v>-0.55086468765448737</v>
      </c>
      <c r="AD33" s="446">
        <f t="shared" si="11"/>
        <v>0.10328779079937053</v>
      </c>
      <c r="AE33" s="66">
        <v>2009</v>
      </c>
      <c r="AF33" s="9">
        <f t="shared" si="12"/>
        <v>224010.70179911109</v>
      </c>
      <c r="AG33" s="9">
        <f>'Berners River'!K122</f>
        <v>10337.446114936709</v>
      </c>
      <c r="AH33" s="9">
        <f>ChilkatTable!K28</f>
        <v>78096</v>
      </c>
      <c r="AI33" s="477">
        <f t="shared" si="13"/>
        <v>38.98826515963971</v>
      </c>
      <c r="AJ33" s="446">
        <f t="shared" si="14"/>
        <v>0.65257142071588048</v>
      </c>
      <c r="AK33" s="446">
        <f t="shared" si="15"/>
        <v>-1.0242113371390071</v>
      </c>
      <c r="AL33" s="446">
        <f t="shared" si="21"/>
        <v>-0.78002394396575336</v>
      </c>
      <c r="AM33" s="446">
        <f t="shared" si="16"/>
        <v>-0.28078877253629636</v>
      </c>
      <c r="AN33" s="446">
        <f t="shared" si="17"/>
        <v>0.54737342653103205</v>
      </c>
      <c r="AO33">
        <f t="shared" si="18"/>
        <v>-0.90211764055238031</v>
      </c>
      <c r="AP33">
        <v>2009</v>
      </c>
      <c r="AQ33" s="379">
        <v>3.9579049170809988</v>
      </c>
      <c r="AR33" s="9">
        <f>HughSmith!M33*7.5</f>
        <v>32872.5</v>
      </c>
    </row>
    <row r="34" spans="1:44" ht="15" x14ac:dyDescent="0.25">
      <c r="A34" s="89">
        <v>2015</v>
      </c>
      <c r="B34" s="90">
        <v>16355.093115063042</v>
      </c>
      <c r="C34" s="90">
        <v>5634.4386210000002</v>
      </c>
      <c r="D34" s="90">
        <v>8736.6692009860726</v>
      </c>
      <c r="E34" s="90">
        <v>3063.1473348489312</v>
      </c>
      <c r="F34" s="91">
        <v>10434</v>
      </c>
      <c r="G34" s="92">
        <f t="shared" si="23"/>
        <v>44223.348271898045</v>
      </c>
      <c r="H34" s="48">
        <f>'Master escapements'!G48</f>
        <v>60178</v>
      </c>
      <c r="I34" s="92">
        <f t="shared" si="22"/>
        <v>104401.34827189805</v>
      </c>
      <c r="K34" s="65">
        <v>50000</v>
      </c>
      <c r="L34" s="65">
        <v>90000</v>
      </c>
      <c r="M34" s="50">
        <f>'Master smolts'!E42</f>
        <v>670139</v>
      </c>
      <c r="N34" s="45">
        <f t="shared" si="3"/>
        <v>15.579058713475572</v>
      </c>
      <c r="P34" s="9">
        <f t="shared" si="4"/>
        <v>27868.255156835003</v>
      </c>
      <c r="Q34" s="9">
        <f t="shared" si="0"/>
        <v>70611.259254034521</v>
      </c>
      <c r="R34" s="481">
        <v>0.7407459654815024</v>
      </c>
      <c r="S34" s="88">
        <f t="shared" si="5"/>
        <v>77083.652462376936</v>
      </c>
      <c r="U34" s="478">
        <v>28.485770290825741</v>
      </c>
      <c r="V34" s="89">
        <v>2010</v>
      </c>
      <c r="W34" s="9">
        <f t="shared" si="7"/>
        <v>126830</v>
      </c>
      <c r="X34" s="9">
        <f>'Berners River'!J123</f>
        <v>9334</v>
      </c>
      <c r="Y34" s="9">
        <f>ChilkatTable!J29</f>
        <v>84909</v>
      </c>
      <c r="Z34" s="9">
        <f>HughSmith!M34</f>
        <v>5417</v>
      </c>
      <c r="AA34" s="446">
        <f t="shared" si="8"/>
        <v>0.80075022784715011</v>
      </c>
      <c r="AB34" s="446">
        <f t="shared" si="9"/>
        <v>-0.44436658006268048</v>
      </c>
      <c r="AC34" s="446">
        <f t="shared" si="10"/>
        <v>0.27880953172364575</v>
      </c>
      <c r="AD34" s="446">
        <f t="shared" si="11"/>
        <v>0.66264206007043813</v>
      </c>
      <c r="AE34" s="89">
        <v>2010</v>
      </c>
      <c r="AF34" s="9">
        <f t="shared" si="12"/>
        <v>246822.00115738012</v>
      </c>
      <c r="AG34" s="9">
        <f>'Berners River'!K123</f>
        <v>23630.53139184419</v>
      </c>
      <c r="AH34" s="9">
        <f>ChilkatTable!K29</f>
        <v>154342</v>
      </c>
      <c r="AI34" s="477">
        <f t="shared" si="13"/>
        <v>49.571264714156591</v>
      </c>
      <c r="AJ34" s="446">
        <f t="shared" si="14"/>
        <v>0.96797123757673476</v>
      </c>
      <c r="AK34" s="446">
        <f t="shared" si="15"/>
        <v>-0.22502911896113897</v>
      </c>
      <c r="AL34" s="446">
        <f t="shared" si="21"/>
        <v>1.6676946956213978E-2</v>
      </c>
      <c r="AM34" s="446">
        <f t="shared" si="16"/>
        <v>0.35031648251835573</v>
      </c>
      <c r="AN34" s="446">
        <f t="shared" si="17"/>
        <v>1.1594599017056724</v>
      </c>
      <c r="AO34">
        <f t="shared" si="18"/>
        <v>-0.1041760860024625</v>
      </c>
      <c r="AP34">
        <v>2010</v>
      </c>
      <c r="AQ34" s="379">
        <v>3.6439518331485585</v>
      </c>
      <c r="AR34" s="9">
        <f>HughSmith!M34*7.5</f>
        <v>40627.5</v>
      </c>
    </row>
    <row r="35" spans="1:44" ht="15" x14ac:dyDescent="0.25">
      <c r="A35" s="89">
        <v>2016</v>
      </c>
      <c r="B35" s="90">
        <v>9801.0815198392684</v>
      </c>
      <c r="C35" s="90">
        <v>326.40000000000003</v>
      </c>
      <c r="D35" s="90">
        <v>14757.294278967724</v>
      </c>
      <c r="E35" s="90">
        <v>1209.5069733250484</v>
      </c>
      <c r="F35" s="91">
        <v>11720</v>
      </c>
      <c r="G35" s="92">
        <f t="shared" si="23"/>
        <v>37814.282772132043</v>
      </c>
      <c r="H35" s="48">
        <f>'Master escapements'!G49</f>
        <v>87704</v>
      </c>
      <c r="I35" s="92">
        <f>G35+H35</f>
        <v>125518.28277213205</v>
      </c>
      <c r="K35" s="65">
        <v>50000</v>
      </c>
      <c r="L35" s="65">
        <v>90000</v>
      </c>
      <c r="M35" s="50">
        <f>'Master smolts'!E43</f>
        <v>1874546</v>
      </c>
      <c r="N35" s="45">
        <f>I35/M35*100</f>
        <v>6.6959297222971355</v>
      </c>
      <c r="P35" s="9">
        <f>SUM(C35:F35)</f>
        <v>28013.201252292773</v>
      </c>
      <c r="Q35" s="9">
        <f>F35+H35-R35</f>
        <v>99423.053954202565</v>
      </c>
      <c r="R35" s="481">
        <v>0.94604579743042283</v>
      </c>
      <c r="S35" s="88">
        <f t="shared" si="5"/>
        <v>113385.07623406145</v>
      </c>
      <c r="U35" s="478">
        <v>28.844284025028823</v>
      </c>
      <c r="V35" s="89">
        <v>2011</v>
      </c>
      <c r="W35" s="9">
        <f t="shared" si="7"/>
        <v>70871</v>
      </c>
      <c r="X35" s="9">
        <f>'Berners River'!J124</f>
        <v>7509</v>
      </c>
      <c r="Y35" s="9">
        <f>ChilkatTable!J30</f>
        <v>61099</v>
      </c>
      <c r="Z35" s="9">
        <f>HughSmith!M35</f>
        <v>3937</v>
      </c>
      <c r="AA35" s="446">
        <f t="shared" si="8"/>
        <v>-0.54088498658038342</v>
      </c>
      <c r="AB35" s="446">
        <f t="shared" si="9"/>
        <v>-0.71860456660408034</v>
      </c>
      <c r="AC35" s="446">
        <f t="shared" si="10"/>
        <v>-0.25512590163473442</v>
      </c>
      <c r="AD35" s="446">
        <f t="shared" si="11"/>
        <v>-0.13798107196165091</v>
      </c>
      <c r="AE35" s="89">
        <v>2011</v>
      </c>
      <c r="AF35" s="9">
        <f t="shared" si="12"/>
        <v>129938.37636929167</v>
      </c>
      <c r="AG35" s="9">
        <f>'Berners River'!K124</f>
        <v>13488.060059090903</v>
      </c>
      <c r="AH35" s="9">
        <f>ChilkatTable!K30</f>
        <v>97720</v>
      </c>
      <c r="AI35" s="477">
        <f t="shared" si="13"/>
        <v>21.284953088566176</v>
      </c>
      <c r="AJ35" s="446">
        <f t="shared" si="14"/>
        <v>-0.64811705591332602</v>
      </c>
      <c r="AK35" s="446">
        <f t="shared" si="15"/>
        <v>-0.83479596906901143</v>
      </c>
      <c r="AL35" s="446">
        <f t="shared" si="21"/>
        <v>-0.57497111124728051</v>
      </c>
      <c r="AM35" s="446">
        <f t="shared" si="16"/>
        <v>-1.3365058423871039</v>
      </c>
      <c r="AN35" s="446">
        <f t="shared" si="17"/>
        <v>-0.61435572214807643</v>
      </c>
      <c r="AO35">
        <f t="shared" si="18"/>
        <v>-0.70488354015814592</v>
      </c>
      <c r="AP35">
        <v>2011</v>
      </c>
      <c r="AQ35" s="379">
        <v>4.471506823573387</v>
      </c>
      <c r="AR35" s="9">
        <f>HughSmith!M35*7.5</f>
        <v>29527.5</v>
      </c>
    </row>
    <row r="36" spans="1:44" ht="15" x14ac:dyDescent="0.25">
      <c r="A36" s="89">
        <v>2017</v>
      </c>
      <c r="B36" s="90">
        <v>19552</v>
      </c>
      <c r="C36" s="90">
        <v>5984</v>
      </c>
      <c r="D36" s="90">
        <v>10230</v>
      </c>
      <c r="E36" s="90">
        <v>4723</v>
      </c>
      <c r="F36" s="91">
        <v>7960</v>
      </c>
      <c r="G36" s="92">
        <f t="shared" si="23"/>
        <v>48449</v>
      </c>
      <c r="H36" s="48">
        <f>'Master escapements'!G50</f>
        <v>57868</v>
      </c>
      <c r="I36" s="92">
        <f>G36+H36</f>
        <v>106317</v>
      </c>
      <c r="K36" s="65">
        <v>50000</v>
      </c>
      <c r="L36" s="65">
        <v>90000</v>
      </c>
      <c r="M36" s="50">
        <f>'Master smolts'!E44</f>
        <v>2151500</v>
      </c>
      <c r="N36" s="45">
        <f>I36/M36*100</f>
        <v>4.9415291656983502</v>
      </c>
      <c r="P36" s="9">
        <f>SUM(C36:F36)</f>
        <v>28897</v>
      </c>
      <c r="Q36" s="9">
        <f>F36+H36-R36</f>
        <v>65827.25415794806</v>
      </c>
      <c r="R36" s="481">
        <v>0.74584205193258646</v>
      </c>
      <c r="S36" s="88">
        <f t="shared" si="5"/>
        <v>73457.964191270352</v>
      </c>
      <c r="U36" s="478">
        <v>35.947465614868761</v>
      </c>
      <c r="V36" s="89">
        <v>2012</v>
      </c>
      <c r="W36" s="9">
        <f t="shared" si="7"/>
        <v>70775</v>
      </c>
      <c r="X36" s="9">
        <f>'Berners River'!J125</f>
        <v>6802</v>
      </c>
      <c r="Y36" s="9">
        <f>ChilkatTable!J31</f>
        <v>36961</v>
      </c>
      <c r="Z36" s="9">
        <f>HughSmith!M36</f>
        <v>4163</v>
      </c>
      <c r="AA36" s="446">
        <f t="shared" si="8"/>
        <v>-0.54318661778510546</v>
      </c>
      <c r="AB36" s="446">
        <f t="shared" si="9"/>
        <v>-0.82484361125326922</v>
      </c>
      <c r="AC36" s="446">
        <f t="shared" si="10"/>
        <v>-0.79641668241611119</v>
      </c>
      <c r="AD36" s="446">
        <f t="shared" si="11"/>
        <v>-1.5723755854048116E-2</v>
      </c>
      <c r="AE36" s="89">
        <v>2012</v>
      </c>
      <c r="AF36" s="9">
        <f t="shared" si="12"/>
        <v>112946.38651603469</v>
      </c>
      <c r="AG36" s="9">
        <f>'Berners River'!K125</f>
        <v>9852.5066227316747</v>
      </c>
      <c r="AH36" s="9">
        <f>ChilkatTable!K31</f>
        <v>65097</v>
      </c>
      <c r="AI36" s="477">
        <f t="shared" si="13"/>
        <v>32.992223929882734</v>
      </c>
      <c r="AJ36" s="446">
        <f t="shared" si="14"/>
        <v>-0.8830563464661032</v>
      </c>
      <c r="AK36" s="446">
        <f t="shared" si="15"/>
        <v>-1.0533659698664239</v>
      </c>
      <c r="AL36" s="446">
        <f t="shared" si="21"/>
        <v>-0.91585159238133784</v>
      </c>
      <c r="AM36" s="446">
        <f t="shared" si="16"/>
        <v>-0.63835593580891481</v>
      </c>
      <c r="AN36" s="446">
        <f t="shared" si="17"/>
        <v>-0.47762445044641039</v>
      </c>
      <c r="AO36">
        <f t="shared" si="18"/>
        <v>-0.98460878112388084</v>
      </c>
      <c r="AP36">
        <v>2012</v>
      </c>
      <c r="AQ36" s="379">
        <v>3.5228806749102057</v>
      </c>
      <c r="AR36" s="9">
        <f>HughSmith!M36*7.5</f>
        <v>31222.5</v>
      </c>
    </row>
    <row r="37" spans="1:44" ht="15" x14ac:dyDescent="0.25">
      <c r="A37" s="89">
        <v>2018</v>
      </c>
      <c r="B37" s="519">
        <v>4390</v>
      </c>
      <c r="C37" s="519">
        <v>2628</v>
      </c>
      <c r="D37" s="519">
        <v>15794</v>
      </c>
      <c r="E37" s="519">
        <v>1392</v>
      </c>
      <c r="F37" s="524">
        <v>9503</v>
      </c>
      <c r="G37" s="523">
        <f t="shared" si="23"/>
        <v>33707</v>
      </c>
      <c r="H37" s="522">
        <f>60678-F37</f>
        <v>51175</v>
      </c>
      <c r="I37" s="523">
        <f>G37+H37</f>
        <v>84882</v>
      </c>
      <c r="K37" s="65">
        <v>50000</v>
      </c>
      <c r="L37" s="65">
        <v>90000</v>
      </c>
      <c r="M37" s="50">
        <f>'Master smolts'!E45</f>
        <v>1622565</v>
      </c>
      <c r="N37" s="45">
        <f>I37/M37*100</f>
        <v>5.2313466640781723</v>
      </c>
      <c r="P37" s="9">
        <f>SUM(C37:F37)</f>
        <v>29317</v>
      </c>
      <c r="Q37" s="9">
        <f>F37+H37-R37</f>
        <v>60678</v>
      </c>
      <c r="R37" s="481"/>
      <c r="S37" s="88">
        <f t="shared" ref="S37" si="24">(R37*D37)+F37+H37</f>
        <v>60678</v>
      </c>
      <c r="V37" s="89">
        <v>2013</v>
      </c>
      <c r="W37" s="9">
        <f t="shared" si="7"/>
        <v>68117</v>
      </c>
      <c r="X37" s="9">
        <f>'Berners River'!J126</f>
        <v>7795</v>
      </c>
      <c r="Y37" s="9">
        <f>ChilkatTable!J32</f>
        <v>51324</v>
      </c>
      <c r="Z37" s="9">
        <f>HughSmith!M37</f>
        <v>6906</v>
      </c>
      <c r="AA37" s="446">
        <f t="shared" si="8"/>
        <v>-0.60691303176584821</v>
      </c>
      <c r="AB37" s="446">
        <f t="shared" si="9"/>
        <v>-0.67562809309677052</v>
      </c>
      <c r="AC37" s="446">
        <f t="shared" si="10"/>
        <v>-0.47432870974385527</v>
      </c>
      <c r="AD37" s="446">
        <f t="shared" si="11"/>
        <v>1.4681338462838034</v>
      </c>
      <c r="AE37" s="89">
        <v>2013</v>
      </c>
      <c r="AF37" s="9">
        <f t="shared" si="12"/>
        <v>143409.81105857788</v>
      </c>
      <c r="AG37" s="9">
        <f>'Berners River'!K126</f>
        <v>22582.581021634618</v>
      </c>
      <c r="AH37" s="9">
        <f>ChilkatTable!K32</f>
        <v>121537</v>
      </c>
      <c r="AI37" s="477">
        <f t="shared" si="13"/>
        <v>50.584065586141378</v>
      </c>
      <c r="AJ37" s="446">
        <f t="shared" si="14"/>
        <v>-0.46185462661801185</v>
      </c>
      <c r="AK37" s="446">
        <f t="shared" si="15"/>
        <v>-0.28803204747310002</v>
      </c>
      <c r="AL37" s="446">
        <f t="shared" si="21"/>
        <v>-0.32610526754284352</v>
      </c>
      <c r="AM37" s="446">
        <f t="shared" si="16"/>
        <v>0.41071372144299745</v>
      </c>
      <c r="AN37" s="446">
        <f t="shared" si="17"/>
        <v>-0.35954237464451116</v>
      </c>
      <c r="AO37">
        <f t="shared" si="18"/>
        <v>-0.30706865750797174</v>
      </c>
      <c r="AP37">
        <v>2013</v>
      </c>
      <c r="AQ37" s="379">
        <v>5.0653238681982691</v>
      </c>
      <c r="AR37" s="9">
        <f>HughSmith!M37*7.5</f>
        <v>51795</v>
      </c>
    </row>
    <row r="38" spans="1:44" ht="15" x14ac:dyDescent="0.25">
      <c r="A38" s="424" t="s">
        <v>356</v>
      </c>
      <c r="B38" s="425"/>
      <c r="C38" s="425"/>
      <c r="D38" s="425"/>
      <c r="E38" s="425"/>
      <c r="F38" s="426"/>
      <c r="G38" s="427"/>
      <c r="H38" s="428"/>
      <c r="I38" s="83"/>
      <c r="V38" s="89">
        <v>2014</v>
      </c>
      <c r="W38" s="9">
        <f t="shared" si="7"/>
        <v>124171</v>
      </c>
      <c r="X38" s="9">
        <f>'Berners River'!J127</f>
        <v>19214</v>
      </c>
      <c r="Y38" s="9">
        <f>ChilkatTable!J33</f>
        <v>130200</v>
      </c>
      <c r="Z38" s="9">
        <f>HughSmith!M38</f>
        <v>7707</v>
      </c>
      <c r="AA38" s="446">
        <f t="shared" si="8"/>
        <v>0.73699983854135809</v>
      </c>
      <c r="AB38" s="446">
        <f t="shared" si="9"/>
        <v>1.0402752320080211</v>
      </c>
      <c r="AC38" s="446">
        <f t="shared" si="10"/>
        <v>1.2944529467691896</v>
      </c>
      <c r="AD38" s="446">
        <f t="shared" si="11"/>
        <v>1.9014440684173868</v>
      </c>
      <c r="AE38" s="89">
        <v>2014</v>
      </c>
      <c r="AF38" s="9">
        <f t="shared" si="12"/>
        <v>189655.31161245549</v>
      </c>
      <c r="AG38" s="9">
        <f>'Berners River'!K127</f>
        <v>30382.29454920346</v>
      </c>
      <c r="AH38" s="9">
        <f>ChilkatTable!K33</f>
        <v>156445</v>
      </c>
      <c r="AI38" s="477">
        <f t="shared" si="13"/>
        <v>41.023847660721387</v>
      </c>
      <c r="AJ38" s="446">
        <f t="shared" si="14"/>
        <v>0.17755754259909245</v>
      </c>
      <c r="AK38" s="446">
        <f t="shared" si="15"/>
        <v>0.18088786301170928</v>
      </c>
      <c r="AL38" s="446">
        <f t="shared" si="21"/>
        <v>3.8651371497945966E-2</v>
      </c>
      <c r="AM38" s="446">
        <f t="shared" si="16"/>
        <v>-0.15939910348149275</v>
      </c>
      <c r="AN38" s="446">
        <f t="shared" si="17"/>
        <v>0.89960534717731699</v>
      </c>
      <c r="AO38">
        <f t="shared" si="18"/>
        <v>0.10976961725482762</v>
      </c>
      <c r="AP38">
        <v>2014</v>
      </c>
      <c r="AQ38" s="379">
        <v>6.6261472069908107</v>
      </c>
      <c r="AR38" s="9">
        <f>HughSmith!M38*7.5</f>
        <v>57802.5</v>
      </c>
    </row>
    <row r="39" spans="1:44" ht="15" x14ac:dyDescent="0.25">
      <c r="A39" s="85" t="s">
        <v>32</v>
      </c>
      <c r="B39" s="93">
        <f>AVERAGE(B11:B37)</f>
        <v>35079.409225504736</v>
      </c>
      <c r="C39" s="93">
        <f>AVERAGE(C11:C37)</f>
        <v>3674.2390696311454</v>
      </c>
      <c r="D39" s="93">
        <f>AVERAGE(D11:D37)</f>
        <v>27980.974329011566</v>
      </c>
      <c r="E39" s="93">
        <f>AVERAGE(E11:E37)</f>
        <v>5240.7814368418576</v>
      </c>
      <c r="F39" s="93">
        <f>AVERAGE(F11:F36)</f>
        <v>8654.038461538461</v>
      </c>
      <c r="G39" s="93">
        <f>AVERAGE(G11:G36)</f>
        <v>82466.804217181198</v>
      </c>
      <c r="H39" s="93">
        <f>AVERAGE(H11:H36)</f>
        <v>94346.653846153844</v>
      </c>
      <c r="I39" s="93">
        <f>AVERAGE(I11:I36)</f>
        <v>176813.45806333504</v>
      </c>
      <c r="K39" s="48"/>
      <c r="L39" s="48"/>
      <c r="M39" s="48"/>
      <c r="N39" s="48"/>
      <c r="O39" s="48"/>
      <c r="P39" s="48"/>
      <c r="Q39" s="48"/>
      <c r="R39" s="48"/>
      <c r="S39" s="441"/>
      <c r="T39" s="48"/>
      <c r="V39" s="89">
        <v>2015</v>
      </c>
      <c r="W39" s="9">
        <f t="shared" si="7"/>
        <v>60178</v>
      </c>
      <c r="X39" s="9">
        <f>'Berners River'!J128</f>
        <v>12338</v>
      </c>
      <c r="Y39" s="9">
        <f>ChilkatTable!J34</f>
        <v>47372</v>
      </c>
      <c r="Z39" s="9">
        <f>HughSmith!M39</f>
        <v>1954</v>
      </c>
      <c r="AA39" s="446">
        <f t="shared" si="8"/>
        <v>-0.79725313733135494</v>
      </c>
      <c r="AB39" s="446">
        <f t="shared" si="9"/>
        <v>7.0366591539579113E-3</v>
      </c>
      <c r="AC39" s="446">
        <f t="shared" si="10"/>
        <v>-0.56295167625508236</v>
      </c>
      <c r="AD39" s="446">
        <f t="shared" si="11"/>
        <v>-1.2107078765695107</v>
      </c>
      <c r="AE39" s="89">
        <v>2015</v>
      </c>
      <c r="AF39" s="9">
        <f t="shared" si="12"/>
        <v>104401.34827189805</v>
      </c>
      <c r="AG39" s="9">
        <f>'Berners River'!K128</f>
        <v>18047</v>
      </c>
      <c r="AH39" s="9">
        <f>ChilkatTable!K34</f>
        <v>71816</v>
      </c>
      <c r="AI39" s="477">
        <f t="shared" si="13"/>
        <v>28.485770290825741</v>
      </c>
      <c r="AJ39" s="446">
        <f t="shared" si="14"/>
        <v>-1.0012040878525545</v>
      </c>
      <c r="AK39" s="446">
        <f t="shared" si="15"/>
        <v>-0.56071183746077569</v>
      </c>
      <c r="AL39" s="446">
        <f t="shared" si="21"/>
        <v>-0.84564419414268011</v>
      </c>
      <c r="AM39" s="446">
        <f t="shared" si="16"/>
        <v>-0.90709322135998283</v>
      </c>
      <c r="AN39" s="446">
        <f t="shared" si="17"/>
        <v>-0.82632359605636818</v>
      </c>
      <c r="AO39">
        <f t="shared" si="18"/>
        <v>-0.7031780158017279</v>
      </c>
      <c r="AP39">
        <v>2015</v>
      </c>
      <c r="AQ39" s="379">
        <v>3.2240158473155649</v>
      </c>
      <c r="AR39" s="9">
        <f>HughSmith!M39*7.5</f>
        <v>14655</v>
      </c>
    </row>
    <row r="40" spans="1:44" ht="15" x14ac:dyDescent="0.25">
      <c r="K40" s="48"/>
      <c r="L40" s="48"/>
      <c r="M40" s="48"/>
      <c r="N40" s="48"/>
      <c r="O40" s="48"/>
      <c r="P40" s="48"/>
      <c r="Q40" s="48"/>
      <c r="R40" s="48"/>
      <c r="S40" s="442"/>
      <c r="T40" s="48"/>
      <c r="V40" s="89">
        <v>2016</v>
      </c>
      <c r="W40" s="9">
        <f t="shared" si="7"/>
        <v>87704</v>
      </c>
      <c r="X40" s="9">
        <f>'Berners River'!J129</f>
        <v>8357</v>
      </c>
      <c r="Y40" s="9">
        <f>ChilkatTable!J35</f>
        <v>26280</v>
      </c>
      <c r="Z40" s="9">
        <f>HughSmith!M40</f>
        <v>2466</v>
      </c>
      <c r="AA40" s="446">
        <f t="shared" si="8"/>
        <v>-0.13730834002739511</v>
      </c>
      <c r="AB40" s="446">
        <f t="shared" si="9"/>
        <v>-0.59117781998100793</v>
      </c>
      <c r="AC40" s="446">
        <f t="shared" si="10"/>
        <v>-1.0359363952972898</v>
      </c>
      <c r="AD40" s="446">
        <f t="shared" si="11"/>
        <v>-0.93373554981246376</v>
      </c>
      <c r="AE40" s="89">
        <v>2016</v>
      </c>
      <c r="AF40" s="9">
        <f t="shared" si="12"/>
        <v>125518.28277213205</v>
      </c>
      <c r="AG40" s="9">
        <f>'Berners River'!K129</f>
        <v>11572.217004779872</v>
      </c>
      <c r="AH40" s="9">
        <f>ChilkatTable!K35</f>
        <v>40522</v>
      </c>
      <c r="AI40" s="477">
        <f t="shared" si="13"/>
        <v>28.844284025028823</v>
      </c>
      <c r="AJ40" s="446">
        <f t="shared" si="14"/>
        <v>-0.70923136111605101</v>
      </c>
      <c r="AK40" s="446">
        <f t="shared" si="15"/>
        <v>-0.94997673184383291</v>
      </c>
      <c r="AL40" s="446">
        <f t="shared" si="21"/>
        <v>-1.1726378420784676</v>
      </c>
      <c r="AM40" s="446">
        <f t="shared" si="16"/>
        <v>-0.88571365874172081</v>
      </c>
      <c r="AN40" s="446">
        <f t="shared" si="17"/>
        <v>-0.14777791496195575</v>
      </c>
      <c r="AO40">
        <f t="shared" si="18"/>
        <v>-1.0613072869611502</v>
      </c>
      <c r="AP40">
        <v>2016</v>
      </c>
      <c r="AQ40" s="379">
        <v>4.6528674353316211</v>
      </c>
      <c r="AR40" s="9">
        <f>HughSmith!M40*7.5</f>
        <v>18495</v>
      </c>
    </row>
    <row r="41" spans="1:44" ht="15" x14ac:dyDescent="0.25">
      <c r="A41" s="6"/>
      <c r="B41" s="6"/>
      <c r="C41" s="6"/>
      <c r="D41" s="6"/>
      <c r="E41" s="6"/>
      <c r="F41" s="6"/>
      <c r="G41" s="6"/>
      <c r="H41" s="6"/>
      <c r="I41" s="6"/>
      <c r="J41" s="48"/>
      <c r="K41" s="48"/>
      <c r="L41" s="48"/>
      <c r="M41" s="48"/>
      <c r="N41" s="48"/>
      <c r="O41" s="48"/>
      <c r="P41" s="48"/>
      <c r="Q41" s="48"/>
      <c r="R41" s="48"/>
      <c r="S41" s="441"/>
      <c r="T41" s="48"/>
      <c r="V41" s="89">
        <v>2017</v>
      </c>
      <c r="W41" s="9">
        <f t="shared" si="7"/>
        <v>57868</v>
      </c>
      <c r="X41" s="9">
        <f>'Berners River'!J130</f>
        <v>8738</v>
      </c>
      <c r="Y41" s="9">
        <f>ChilkatTable!J36</f>
        <v>34482</v>
      </c>
      <c r="Z41" s="9">
        <f>HughSmith!M41</f>
        <v>2425</v>
      </c>
      <c r="AA41" s="446">
        <f t="shared" si="8"/>
        <v>-0.85263613819498008</v>
      </c>
      <c r="AB41" s="446">
        <f t="shared" si="9"/>
        <v>-0.53392594443455688</v>
      </c>
      <c r="AC41" s="446">
        <f t="shared" si="10"/>
        <v>-0.85200786004296658</v>
      </c>
      <c r="AD41" s="446">
        <f t="shared" si="11"/>
        <v>-0.95591497441605544</v>
      </c>
      <c r="AE41" s="89">
        <v>2017</v>
      </c>
      <c r="AF41" s="9">
        <f t="shared" si="12"/>
        <v>106317</v>
      </c>
      <c r="AG41" s="9">
        <f>'Berners River'!K130</f>
        <v>15996</v>
      </c>
      <c r="AH41" s="9">
        <f>ChilkatTable!K36</f>
        <v>52547</v>
      </c>
      <c r="AI41" s="477">
        <f t="shared" si="13"/>
        <v>35.947465614868761</v>
      </c>
      <c r="AJ41" s="446">
        <f t="shared" si="14"/>
        <v>-0.97471738077273562</v>
      </c>
      <c r="AK41" s="446">
        <f t="shared" si="15"/>
        <v>-0.68401825544714512</v>
      </c>
      <c r="AL41" s="446">
        <f t="shared" si="21"/>
        <v>-1.0469876018909605</v>
      </c>
      <c r="AM41" s="446">
        <f t="shared" si="16"/>
        <v>-0.46212342745968926</v>
      </c>
      <c r="AN41" s="446">
        <f t="shared" si="17"/>
        <v>-0.8940949080805819</v>
      </c>
      <c r="AO41">
        <f t="shared" si="18"/>
        <v>-0.86550292866905276</v>
      </c>
      <c r="AP41">
        <v>2017</v>
      </c>
      <c r="AQ41" s="379">
        <v>5.1578733018510396</v>
      </c>
      <c r="AR41" s="9">
        <f>HughSmith!M41*7.5</f>
        <v>18187.5</v>
      </c>
    </row>
    <row r="42" spans="1:44" ht="15.75" x14ac:dyDescent="0.25">
      <c r="A42" s="76" t="s">
        <v>56</v>
      </c>
      <c r="B42" s="6"/>
      <c r="C42" s="6"/>
      <c r="D42" s="6"/>
      <c r="E42" s="6"/>
      <c r="F42" s="6"/>
      <c r="G42" s="6"/>
      <c r="H42" s="6"/>
      <c r="I42" s="6"/>
      <c r="J42" s="6"/>
      <c r="S42" s="439"/>
      <c r="AJ42" s="447"/>
      <c r="AK42" s="447"/>
    </row>
    <row r="43" spans="1:44" ht="15" x14ac:dyDescent="0.25">
      <c r="A43" s="7"/>
      <c r="B43" s="7"/>
      <c r="C43" s="7"/>
      <c r="D43" s="7"/>
      <c r="E43" s="7"/>
      <c r="F43" s="7"/>
      <c r="G43" s="7"/>
      <c r="H43" s="7"/>
      <c r="I43" s="7"/>
      <c r="J43" s="6"/>
      <c r="S43" s="443"/>
    </row>
    <row r="44" spans="1:44" ht="15" x14ac:dyDescent="0.25">
      <c r="A44" s="49"/>
      <c r="B44" s="82"/>
      <c r="C44" s="82"/>
      <c r="D44" s="82"/>
      <c r="E44" s="82" t="s">
        <v>283</v>
      </c>
      <c r="F44" s="82"/>
      <c r="G44" s="82"/>
      <c r="H44" s="82"/>
      <c r="I44" s="82"/>
      <c r="S44" s="440"/>
    </row>
    <row r="45" spans="1:44" ht="15" x14ac:dyDescent="0.25">
      <c r="A45" s="22"/>
      <c r="B45" s="37"/>
      <c r="C45" s="37"/>
      <c r="D45" s="37"/>
      <c r="E45" s="37" t="s">
        <v>22</v>
      </c>
      <c r="F45" s="37"/>
      <c r="G45" s="37" t="s">
        <v>26</v>
      </c>
      <c r="H45" s="37"/>
      <c r="I45" s="37" t="s">
        <v>27</v>
      </c>
      <c r="S45" s="441"/>
    </row>
    <row r="46" spans="1:44" ht="15" x14ac:dyDescent="0.25">
      <c r="A46" s="23" t="s">
        <v>3</v>
      </c>
      <c r="B46" s="31" t="s">
        <v>4</v>
      </c>
      <c r="C46" s="31" t="s">
        <v>15</v>
      </c>
      <c r="D46" s="31" t="s">
        <v>16</v>
      </c>
      <c r="E46" s="31" t="s">
        <v>25</v>
      </c>
      <c r="F46" s="31" t="s">
        <v>20</v>
      </c>
      <c r="G46" s="31" t="s">
        <v>23</v>
      </c>
      <c r="H46" s="31" t="s">
        <v>5</v>
      </c>
      <c r="I46" s="31" t="s">
        <v>24</v>
      </c>
      <c r="S46" s="440"/>
    </row>
    <row r="47" spans="1:44" ht="15" x14ac:dyDescent="0.25">
      <c r="A47" s="27">
        <v>1992</v>
      </c>
      <c r="B47" s="46">
        <f t="shared" ref="B47:F56" si="25">B11/$I11*100</f>
        <v>19.602157915017997</v>
      </c>
      <c r="C47" s="46">
        <f t="shared" si="25"/>
        <v>1.0728484290265885</v>
      </c>
      <c r="D47" s="46">
        <f t="shared" si="25"/>
        <v>37.130518143967514</v>
      </c>
      <c r="E47" s="46">
        <f t="shared" si="25"/>
        <v>0.20253949755166872</v>
      </c>
      <c r="F47" s="46">
        <f t="shared" si="25"/>
        <v>2.6452316281168056</v>
      </c>
      <c r="G47" s="77">
        <f t="shared" ref="G47:G67" si="26">SUM(B47:F47)</f>
        <v>60.653295613680569</v>
      </c>
      <c r="H47" s="46">
        <f t="shared" ref="H47:H73" si="27">H11/$I11*100</f>
        <v>39.346704386319416</v>
      </c>
      <c r="I47" s="77">
        <f t="shared" ref="I47:I70" si="28">G47+H47</f>
        <v>99.999999999999986</v>
      </c>
      <c r="S47" s="443"/>
    </row>
    <row r="48" spans="1:44" x14ac:dyDescent="0.2">
      <c r="A48" s="27">
        <v>1993</v>
      </c>
      <c r="B48" s="46">
        <f t="shared" si="25"/>
        <v>31.433900208567305</v>
      </c>
      <c r="C48" s="46">
        <f t="shared" si="25"/>
        <v>1.3757420182897482</v>
      </c>
      <c r="D48" s="46">
        <f t="shared" si="25"/>
        <v>16.167174715225414</v>
      </c>
      <c r="E48" s="46">
        <f t="shared" si="25"/>
        <v>1.292315097064014</v>
      </c>
      <c r="F48" s="46">
        <f t="shared" si="25"/>
        <v>1.8686828172629553</v>
      </c>
      <c r="G48" s="77">
        <f t="shared" si="26"/>
        <v>52.137814856409435</v>
      </c>
      <c r="H48" s="46">
        <f t="shared" si="27"/>
        <v>47.862185143590565</v>
      </c>
      <c r="I48" s="77">
        <f t="shared" si="28"/>
        <v>100</v>
      </c>
    </row>
    <row r="49" spans="1:9" x14ac:dyDescent="0.2">
      <c r="A49" s="27">
        <v>1994</v>
      </c>
      <c r="B49" s="46">
        <f t="shared" si="25"/>
        <v>28.563060729507615</v>
      </c>
      <c r="C49" s="46">
        <f t="shared" si="25"/>
        <v>7.7566110156121217</v>
      </c>
      <c r="D49" s="46">
        <f t="shared" si="25"/>
        <v>25.372053594555773</v>
      </c>
      <c r="E49" s="46">
        <f t="shared" si="25"/>
        <v>5.5978759978336115</v>
      </c>
      <c r="F49" s="46">
        <f t="shared" si="25"/>
        <v>4.352202886947512</v>
      </c>
      <c r="G49" s="77">
        <f t="shared" si="26"/>
        <v>71.641804224456621</v>
      </c>
      <c r="H49" s="46">
        <f t="shared" si="27"/>
        <v>28.358195775543365</v>
      </c>
      <c r="I49" s="77">
        <f t="shared" si="28"/>
        <v>99.999999999999986</v>
      </c>
    </row>
    <row r="50" spans="1:9" x14ac:dyDescent="0.2">
      <c r="A50" s="27">
        <v>1995</v>
      </c>
      <c r="B50" s="46">
        <f t="shared" si="25"/>
        <v>24.868592504251417</v>
      </c>
      <c r="C50" s="46">
        <f t="shared" si="25"/>
        <v>1.0231012168996665</v>
      </c>
      <c r="D50" s="46">
        <f t="shared" si="25"/>
        <v>31.372159279136024</v>
      </c>
      <c r="E50" s="46">
        <f t="shared" si="25"/>
        <v>4.3381037567084082</v>
      </c>
      <c r="F50" s="46">
        <f t="shared" si="25"/>
        <v>7.6387508558051191</v>
      </c>
      <c r="G50" s="77">
        <f t="shared" si="26"/>
        <v>69.240707612800634</v>
      </c>
      <c r="H50" s="46">
        <f t="shared" si="27"/>
        <v>30.759292387199366</v>
      </c>
      <c r="I50" s="77">
        <f t="shared" si="28"/>
        <v>100</v>
      </c>
    </row>
    <row r="51" spans="1:9" x14ac:dyDescent="0.2">
      <c r="A51" s="27">
        <v>1996</v>
      </c>
      <c r="B51" s="46">
        <f t="shared" si="25"/>
        <v>26.281514164801713</v>
      </c>
      <c r="C51" s="46">
        <f t="shared" si="25"/>
        <v>0.2333400506984292</v>
      </c>
      <c r="D51" s="46">
        <f t="shared" si="25"/>
        <v>18.104006024415856</v>
      </c>
      <c r="E51" s="46">
        <f t="shared" si="25"/>
        <v>2.6102266580401556</v>
      </c>
      <c r="F51" s="46">
        <f t="shared" si="25"/>
        <v>5.4293987251148135</v>
      </c>
      <c r="G51" s="77">
        <f t="shared" si="26"/>
        <v>52.658485623070973</v>
      </c>
      <c r="H51" s="46">
        <f t="shared" si="27"/>
        <v>47.341514376929034</v>
      </c>
      <c r="I51" s="77">
        <f t="shared" si="28"/>
        <v>100</v>
      </c>
    </row>
    <row r="52" spans="1:9" x14ac:dyDescent="0.2">
      <c r="A52" s="27">
        <v>1997</v>
      </c>
      <c r="B52" s="46">
        <f t="shared" si="25"/>
        <v>17.33679204496325</v>
      </c>
      <c r="C52" s="46">
        <f t="shared" si="25"/>
        <v>1.0808473843493298</v>
      </c>
      <c r="D52" s="46">
        <f t="shared" si="25"/>
        <v>2.9261486459930039</v>
      </c>
      <c r="E52" s="46">
        <f t="shared" si="25"/>
        <v>9.7531737609558622</v>
      </c>
      <c r="F52" s="46">
        <f t="shared" si="25"/>
        <v>5.3393860786856893</v>
      </c>
      <c r="G52" s="77">
        <f t="shared" si="26"/>
        <v>36.436347914947135</v>
      </c>
      <c r="H52" s="46">
        <f t="shared" si="27"/>
        <v>63.563652085052865</v>
      </c>
      <c r="I52" s="77">
        <f t="shared" si="28"/>
        <v>100</v>
      </c>
    </row>
    <row r="53" spans="1:9" x14ac:dyDescent="0.2">
      <c r="A53" s="29">
        <v>1998</v>
      </c>
      <c r="B53" s="46">
        <f t="shared" si="25"/>
        <v>24.0375234521576</v>
      </c>
      <c r="C53" s="46">
        <f t="shared" si="25"/>
        <v>0.61872003335417969</v>
      </c>
      <c r="D53" s="46">
        <f t="shared" si="25"/>
        <v>16.152595372107566</v>
      </c>
      <c r="E53" s="46">
        <f t="shared" si="25"/>
        <v>3.6914738378153009</v>
      </c>
      <c r="F53" s="46">
        <f t="shared" si="25"/>
        <v>4.3160308526162181</v>
      </c>
      <c r="G53" s="77">
        <f t="shared" si="26"/>
        <v>48.816343548050867</v>
      </c>
      <c r="H53" s="46">
        <f t="shared" si="27"/>
        <v>51.183656451949133</v>
      </c>
      <c r="I53" s="77">
        <f t="shared" si="28"/>
        <v>100</v>
      </c>
    </row>
    <row r="54" spans="1:9" x14ac:dyDescent="0.2">
      <c r="A54" s="27">
        <v>1999</v>
      </c>
      <c r="B54" s="46">
        <f t="shared" si="25"/>
        <v>30.920154297808427</v>
      </c>
      <c r="C54" s="46">
        <f t="shared" si="25"/>
        <v>2.4586946132313785</v>
      </c>
      <c r="D54" s="46">
        <f t="shared" si="25"/>
        <v>6.4066020345463226</v>
      </c>
      <c r="E54" s="46">
        <f t="shared" si="25"/>
        <v>3.5587492319246259</v>
      </c>
      <c r="F54" s="46">
        <f t="shared" si="25"/>
        <v>4.7953505837372834</v>
      </c>
      <c r="G54" s="77">
        <f t="shared" si="26"/>
        <v>48.139550761248039</v>
      </c>
      <c r="H54" s="46">
        <f t="shared" si="27"/>
        <v>51.860449238751961</v>
      </c>
      <c r="I54" s="77">
        <f t="shared" si="28"/>
        <v>100</v>
      </c>
    </row>
    <row r="55" spans="1:9" x14ac:dyDescent="0.2">
      <c r="A55" s="27">
        <v>2000</v>
      </c>
      <c r="B55" s="46">
        <f t="shared" si="25"/>
        <v>19.455973027696086</v>
      </c>
      <c r="C55" s="46">
        <f t="shared" si="25"/>
        <v>1.9532932047018294</v>
      </c>
      <c r="D55" s="46">
        <f t="shared" si="25"/>
        <v>10.504906137481791</v>
      </c>
      <c r="E55" s="46">
        <f t="shared" si="25"/>
        <v>3.7902317016188882</v>
      </c>
      <c r="F55" s="46">
        <f t="shared" si="25"/>
        <v>5.018827474369898</v>
      </c>
      <c r="G55" s="77">
        <f t="shared" si="26"/>
        <v>40.723231545868494</v>
      </c>
      <c r="H55" s="46">
        <f t="shared" si="27"/>
        <v>59.276768454131513</v>
      </c>
      <c r="I55" s="77">
        <f t="shared" si="28"/>
        <v>100</v>
      </c>
    </row>
    <row r="56" spans="1:9" x14ac:dyDescent="0.2">
      <c r="A56" s="27">
        <v>2001</v>
      </c>
      <c r="B56" s="46">
        <f t="shared" si="25"/>
        <v>23.545095437316082</v>
      </c>
      <c r="C56" s="46">
        <f t="shared" si="25"/>
        <v>1.2686067441960474</v>
      </c>
      <c r="D56" s="46">
        <f t="shared" si="25"/>
        <v>7.2350516350590075</v>
      </c>
      <c r="E56" s="46">
        <f t="shared" si="25"/>
        <v>1.9007599353717048</v>
      </c>
      <c r="F56" s="46">
        <f t="shared" si="25"/>
        <v>1.917347045344244</v>
      </c>
      <c r="G56" s="77">
        <f t="shared" si="26"/>
        <v>35.866860797287082</v>
      </c>
      <c r="H56" s="46">
        <f t="shared" si="27"/>
        <v>64.133139202712925</v>
      </c>
      <c r="I56" s="77">
        <f t="shared" si="28"/>
        <v>100</v>
      </c>
    </row>
    <row r="57" spans="1:9" x14ac:dyDescent="0.2">
      <c r="A57" s="27">
        <v>2002</v>
      </c>
      <c r="B57" s="46">
        <f t="shared" ref="B57:F66" si="29">B21/$I21*100</f>
        <v>12.877091748413156</v>
      </c>
      <c r="C57" s="46">
        <f t="shared" si="29"/>
        <v>1.1395598054570935</v>
      </c>
      <c r="D57" s="46">
        <f t="shared" si="29"/>
        <v>10.186794163712802</v>
      </c>
      <c r="E57" s="46">
        <f t="shared" si="29"/>
        <v>2.1900915011128514</v>
      </c>
      <c r="F57" s="46">
        <f t="shared" si="29"/>
        <v>1.276069573819141</v>
      </c>
      <c r="G57" s="77">
        <f t="shared" si="26"/>
        <v>27.669606792515044</v>
      </c>
      <c r="H57" s="46">
        <f t="shared" si="27"/>
        <v>72.33039320748496</v>
      </c>
      <c r="I57" s="77">
        <f t="shared" si="28"/>
        <v>100</v>
      </c>
    </row>
    <row r="58" spans="1:9" x14ac:dyDescent="0.2">
      <c r="A58" s="27">
        <v>2003</v>
      </c>
      <c r="B58" s="46">
        <f t="shared" si="29"/>
        <v>13.743634237428799</v>
      </c>
      <c r="C58" s="46">
        <f t="shared" si="29"/>
        <v>1.3753819457542722</v>
      </c>
      <c r="D58" s="46">
        <f t="shared" si="29"/>
        <v>10.447017993888869</v>
      </c>
      <c r="E58" s="46">
        <f t="shared" si="29"/>
        <v>3.9620506243162699</v>
      </c>
      <c r="F58" s="46">
        <f t="shared" si="29"/>
        <v>1.3965068467312987</v>
      </c>
      <c r="G58" s="77">
        <f t="shared" si="26"/>
        <v>30.92459164811951</v>
      </c>
      <c r="H58" s="46">
        <f t="shared" si="27"/>
        <v>69.075408351880498</v>
      </c>
      <c r="I58" s="77">
        <f t="shared" si="28"/>
        <v>100</v>
      </c>
    </row>
    <row r="59" spans="1:9" x14ac:dyDescent="0.2">
      <c r="A59" s="27">
        <v>2004</v>
      </c>
      <c r="B59" s="46">
        <f t="shared" si="29"/>
        <v>24.649256371826013</v>
      </c>
      <c r="C59" s="46">
        <f t="shared" si="29"/>
        <v>2.1209603358551621</v>
      </c>
      <c r="D59" s="46">
        <f t="shared" si="29"/>
        <v>12.308725952841929</v>
      </c>
      <c r="E59" s="46">
        <f t="shared" si="29"/>
        <v>5.6087176041695654</v>
      </c>
      <c r="F59" s="46">
        <f t="shared" si="29"/>
        <v>3.8976373257214645</v>
      </c>
      <c r="G59" s="77">
        <f t="shared" si="26"/>
        <v>48.585297590414129</v>
      </c>
      <c r="H59" s="46">
        <f t="shared" si="27"/>
        <v>51.414702409585864</v>
      </c>
      <c r="I59" s="77">
        <f t="shared" si="28"/>
        <v>100</v>
      </c>
    </row>
    <row r="60" spans="1:9" x14ac:dyDescent="0.2">
      <c r="A60" s="27">
        <v>2005</v>
      </c>
      <c r="B60" s="46">
        <f t="shared" si="29"/>
        <v>20.861715628461369</v>
      </c>
      <c r="C60" s="46">
        <f t="shared" si="29"/>
        <v>1.9394879751745537</v>
      </c>
      <c r="D60" s="46">
        <f t="shared" si="29"/>
        <v>10.558886442418508</v>
      </c>
      <c r="E60" s="46">
        <f t="shared" si="29"/>
        <v>2.0870235922456355</v>
      </c>
      <c r="F60" s="46">
        <f t="shared" si="29"/>
        <v>3.7637277631537644</v>
      </c>
      <c r="G60" s="77">
        <f t="shared" si="26"/>
        <v>39.210841401453834</v>
      </c>
      <c r="H60" s="46">
        <f t="shared" si="27"/>
        <v>60.789158598546166</v>
      </c>
      <c r="I60" s="77">
        <f t="shared" si="28"/>
        <v>100</v>
      </c>
    </row>
    <row r="61" spans="1:9" x14ac:dyDescent="0.2">
      <c r="A61" s="27">
        <v>2006</v>
      </c>
      <c r="B61" s="46">
        <f t="shared" si="29"/>
        <v>21.788843110095545</v>
      </c>
      <c r="C61" s="46">
        <f t="shared" si="29"/>
        <v>0.27040856837851907</v>
      </c>
      <c r="D61" s="46">
        <f t="shared" si="29"/>
        <v>16.709308583376711</v>
      </c>
      <c r="E61" s="46">
        <f t="shared" si="29"/>
        <v>2.0384306598321968</v>
      </c>
      <c r="F61" s="46">
        <f t="shared" si="29"/>
        <v>5.2065780302963462</v>
      </c>
      <c r="G61" s="77">
        <f t="shared" si="26"/>
        <v>46.013568951979316</v>
      </c>
      <c r="H61" s="46">
        <f t="shared" si="27"/>
        <v>53.986431048020677</v>
      </c>
      <c r="I61" s="77">
        <f t="shared" si="28"/>
        <v>100</v>
      </c>
    </row>
    <row r="62" spans="1:9" x14ac:dyDescent="0.2">
      <c r="A62" s="27">
        <v>2007</v>
      </c>
      <c r="B62" s="46">
        <f t="shared" si="29"/>
        <v>17.643528555674752</v>
      </c>
      <c r="C62" s="46">
        <f t="shared" si="29"/>
        <v>4.8641795635441598</v>
      </c>
      <c r="D62" s="46">
        <f t="shared" si="29"/>
        <v>14.099669169773671</v>
      </c>
      <c r="E62" s="46">
        <f t="shared" si="29"/>
        <v>1.5933863962010786</v>
      </c>
      <c r="F62" s="46">
        <f t="shared" si="29"/>
        <v>6.1012295481654304</v>
      </c>
      <c r="G62" s="77">
        <f t="shared" si="26"/>
        <v>44.301993233359084</v>
      </c>
      <c r="H62" s="46">
        <f t="shared" si="27"/>
        <v>55.698006766640908</v>
      </c>
      <c r="I62" s="77">
        <f t="shared" si="28"/>
        <v>100</v>
      </c>
    </row>
    <row r="63" spans="1:9" x14ac:dyDescent="0.2">
      <c r="A63" s="27">
        <v>2008</v>
      </c>
      <c r="B63" s="46">
        <f t="shared" si="29"/>
        <v>27.573236870499169</v>
      </c>
      <c r="C63" s="46">
        <f t="shared" si="29"/>
        <v>0</v>
      </c>
      <c r="D63" s="46">
        <f t="shared" si="29"/>
        <v>14.507958562401654</v>
      </c>
      <c r="E63" s="46">
        <f t="shared" si="29"/>
        <v>0.87875954357407982</v>
      </c>
      <c r="F63" s="46">
        <f t="shared" si="29"/>
        <v>2.3346836839118339</v>
      </c>
      <c r="G63" s="77">
        <f t="shared" si="26"/>
        <v>45.294638660386738</v>
      </c>
      <c r="H63" s="46">
        <f t="shared" si="27"/>
        <v>54.705361339613269</v>
      </c>
      <c r="I63" s="77">
        <f t="shared" si="28"/>
        <v>100</v>
      </c>
    </row>
    <row r="64" spans="1:9" x14ac:dyDescent="0.2">
      <c r="A64" s="27">
        <v>2009</v>
      </c>
      <c r="B64" s="46">
        <f t="shared" si="29"/>
        <v>23.10071517912294</v>
      </c>
      <c r="C64" s="46">
        <f t="shared" si="29"/>
        <v>2.1199377164175299</v>
      </c>
      <c r="D64" s="46">
        <f t="shared" si="29"/>
        <v>20.908700008992735</v>
      </c>
      <c r="E64" s="46">
        <f t="shared" si="29"/>
        <v>2.9998632066712645</v>
      </c>
      <c r="F64" s="46">
        <f t="shared" si="29"/>
        <v>4.4667508827204188</v>
      </c>
      <c r="G64" s="77">
        <f t="shared" si="26"/>
        <v>53.59596699392489</v>
      </c>
      <c r="H64" s="46">
        <f t="shared" si="27"/>
        <v>46.40403300607511</v>
      </c>
      <c r="I64" s="77">
        <f t="shared" si="28"/>
        <v>100</v>
      </c>
    </row>
    <row r="65" spans="1:9" x14ac:dyDescent="0.2">
      <c r="A65" s="29">
        <v>2010</v>
      </c>
      <c r="B65" s="46">
        <f t="shared" si="29"/>
        <v>13.999385448202403</v>
      </c>
      <c r="C65" s="46">
        <f t="shared" si="29"/>
        <v>1.6156626519722987</v>
      </c>
      <c r="D65" s="46">
        <f t="shared" si="29"/>
        <v>21.269368596053305</v>
      </c>
      <c r="E65" s="46">
        <f t="shared" si="29"/>
        <v>5.7884409353822095</v>
      </c>
      <c r="F65" s="46">
        <f t="shared" si="29"/>
        <v>5.9419338354073945</v>
      </c>
      <c r="G65" s="78">
        <f t="shared" si="26"/>
        <v>48.614791467017618</v>
      </c>
      <c r="H65" s="46">
        <f t="shared" si="27"/>
        <v>51.385208532982396</v>
      </c>
      <c r="I65" s="78">
        <f t="shared" si="28"/>
        <v>100.00000000000001</v>
      </c>
    </row>
    <row r="66" spans="1:9" x14ac:dyDescent="0.2">
      <c r="A66" s="29">
        <v>2011</v>
      </c>
      <c r="B66" s="46">
        <f t="shared" si="29"/>
        <v>18.335803465015964</v>
      </c>
      <c r="C66" s="46">
        <f t="shared" si="29"/>
        <v>4.9121067307477926</v>
      </c>
      <c r="D66" s="46">
        <f t="shared" si="29"/>
        <v>8.7372752000124123</v>
      </c>
      <c r="E66" s="46">
        <f t="shared" si="29"/>
        <v>3.6974032780416786</v>
      </c>
      <c r="F66" s="46">
        <f t="shared" si="29"/>
        <v>9.7754030448250724</v>
      </c>
      <c r="G66" s="78">
        <f t="shared" si="26"/>
        <v>45.457991718642916</v>
      </c>
      <c r="H66" s="46">
        <f t="shared" si="27"/>
        <v>54.542008281357091</v>
      </c>
      <c r="I66" s="78">
        <f t="shared" si="28"/>
        <v>100</v>
      </c>
    </row>
    <row r="67" spans="1:9" x14ac:dyDescent="0.2">
      <c r="A67" s="29">
        <v>2012</v>
      </c>
      <c r="B67" s="46">
        <f t="shared" ref="B67:F73" si="30">B31/$I31*100</f>
        <v>12.968618990350913</v>
      </c>
      <c r="C67" s="46">
        <f t="shared" si="30"/>
        <v>0</v>
      </c>
      <c r="D67" s="46">
        <f t="shared" si="30"/>
        <v>10.719792194484585</v>
      </c>
      <c r="E67" s="46">
        <f t="shared" si="30"/>
        <v>1.0732366896312362</v>
      </c>
      <c r="F67" s="46">
        <f t="shared" si="30"/>
        <v>12.575878200391561</v>
      </c>
      <c r="G67" s="78">
        <f t="shared" si="26"/>
        <v>37.337526074858296</v>
      </c>
      <c r="H67" s="46">
        <f t="shared" si="27"/>
        <v>62.662473925141704</v>
      </c>
      <c r="I67" s="78">
        <f t="shared" si="28"/>
        <v>100</v>
      </c>
    </row>
    <row r="68" spans="1:9" x14ac:dyDescent="0.2">
      <c r="A68" s="29">
        <v>2013</v>
      </c>
      <c r="B68" s="46">
        <f t="shared" si="30"/>
        <v>24.300625697926918</v>
      </c>
      <c r="C68" s="46">
        <f t="shared" si="30"/>
        <v>1.6540054656916949</v>
      </c>
      <c r="D68" s="46">
        <f t="shared" si="30"/>
        <v>17.422769427348417</v>
      </c>
      <c r="E68" s="46">
        <f t="shared" si="30"/>
        <v>1.7239844406040938</v>
      </c>
      <c r="F68" s="46">
        <f t="shared" si="30"/>
        <v>7.400469969007184</v>
      </c>
      <c r="G68" s="78">
        <f>SUM(B68:F68)</f>
        <v>52.501855000578303</v>
      </c>
      <c r="H68" s="46">
        <f t="shared" si="27"/>
        <v>47.49814499942169</v>
      </c>
      <c r="I68" s="78">
        <f t="shared" si="28"/>
        <v>100</v>
      </c>
    </row>
    <row r="69" spans="1:9" x14ac:dyDescent="0.2">
      <c r="A69" s="29">
        <v>2014</v>
      </c>
      <c r="B69" s="46">
        <f t="shared" si="30"/>
        <v>6.3894862194854323</v>
      </c>
      <c r="C69" s="46">
        <f t="shared" si="30"/>
        <v>0.40768706236507896</v>
      </c>
      <c r="D69" s="46">
        <f t="shared" si="30"/>
        <v>16.949370168734781</v>
      </c>
      <c r="E69" s="46">
        <f t="shared" si="30"/>
        <v>1.9275656468462115</v>
      </c>
      <c r="F69" s="46">
        <f t="shared" si="30"/>
        <v>8.8539571379435049</v>
      </c>
      <c r="G69" s="78">
        <f>SUM(B69:F69)</f>
        <v>34.528066235375007</v>
      </c>
      <c r="H69" s="46">
        <f t="shared" si="27"/>
        <v>65.471933764625007</v>
      </c>
      <c r="I69" s="78">
        <f t="shared" si="28"/>
        <v>100.00000000000001</v>
      </c>
    </row>
    <row r="70" spans="1:9" x14ac:dyDescent="0.2">
      <c r="A70" s="29">
        <v>2015</v>
      </c>
      <c r="B70" s="46">
        <f t="shared" si="30"/>
        <v>15.665595689883805</v>
      </c>
      <c r="C70" s="46">
        <f t="shared" si="30"/>
        <v>5.3969021610007646</v>
      </c>
      <c r="D70" s="46">
        <f t="shared" si="30"/>
        <v>8.3683490161762037</v>
      </c>
      <c r="E70" s="46">
        <f t="shared" si="30"/>
        <v>2.9340112800760116</v>
      </c>
      <c r="F70" s="46">
        <f t="shared" si="30"/>
        <v>9.9941238046334142</v>
      </c>
      <c r="G70" s="78">
        <f>SUM(B70:F70)</f>
        <v>42.358981951770204</v>
      </c>
      <c r="H70" s="46">
        <f t="shared" si="27"/>
        <v>57.641018048229796</v>
      </c>
      <c r="I70" s="78">
        <f t="shared" si="28"/>
        <v>100</v>
      </c>
    </row>
    <row r="71" spans="1:9" ht="15" customHeight="1" x14ac:dyDescent="0.2">
      <c r="A71" s="29">
        <v>2016</v>
      </c>
      <c r="B71" s="46">
        <f t="shared" si="30"/>
        <v>7.8084891725552943</v>
      </c>
      <c r="C71" s="46">
        <f t="shared" si="30"/>
        <v>0.26004179852631665</v>
      </c>
      <c r="D71" s="46">
        <f t="shared" si="30"/>
        <v>11.757087456142431</v>
      </c>
      <c r="E71" s="46">
        <f t="shared" si="30"/>
        <v>0.96361019814205662</v>
      </c>
      <c r="F71" s="46">
        <f t="shared" si="30"/>
        <v>9.3372851676728885</v>
      </c>
      <c r="G71" s="78">
        <f t="shared" ref="G71:G72" si="31">SUM(B71:F71)</f>
        <v>30.126513793038988</v>
      </c>
      <c r="H71" s="46">
        <f t="shared" si="27"/>
        <v>69.873486206961005</v>
      </c>
      <c r="I71" s="78">
        <f t="shared" ref="I71:I72" si="32">G71+H71</f>
        <v>100</v>
      </c>
    </row>
    <row r="72" spans="1:9" x14ac:dyDescent="0.2">
      <c r="A72" s="29">
        <v>2017</v>
      </c>
      <c r="B72" s="46">
        <f t="shared" si="30"/>
        <v>18.390285655163332</v>
      </c>
      <c r="C72" s="46">
        <f t="shared" si="30"/>
        <v>5.6284507651645548</v>
      </c>
      <c r="D72" s="46">
        <f t="shared" si="30"/>
        <v>9.6221676683879345</v>
      </c>
      <c r="E72" s="46">
        <f t="shared" si="30"/>
        <v>4.4423751610748985</v>
      </c>
      <c r="F72" s="46">
        <f t="shared" si="30"/>
        <v>7.487043464356594</v>
      </c>
      <c r="G72" s="78">
        <f t="shared" si="31"/>
        <v>45.570322714147316</v>
      </c>
      <c r="H72" s="46">
        <f t="shared" si="27"/>
        <v>54.429677285852684</v>
      </c>
      <c r="I72" s="78">
        <f t="shared" si="32"/>
        <v>100</v>
      </c>
    </row>
    <row r="73" spans="1:9" x14ac:dyDescent="0.2">
      <c r="A73" s="29">
        <v>2018</v>
      </c>
      <c r="B73" s="46">
        <f t="shared" si="30"/>
        <v>5.1718856765863199</v>
      </c>
      <c r="C73" s="46">
        <f t="shared" si="30"/>
        <v>3.0960627694917648</v>
      </c>
      <c r="D73" s="46">
        <f t="shared" si="30"/>
        <v>18.60700737494404</v>
      </c>
      <c r="E73" s="46">
        <f t="shared" si="30"/>
        <v>1.6399236587262316</v>
      </c>
      <c r="F73" s="46">
        <f t="shared" si="30"/>
        <v>11.195542046605876</v>
      </c>
      <c r="G73" s="78">
        <f t="shared" ref="G73" si="33">SUM(B73:F73)</f>
        <v>39.710421526354239</v>
      </c>
      <c r="H73" s="46">
        <f t="shared" si="27"/>
        <v>60.289578473645768</v>
      </c>
      <c r="I73" s="78">
        <f t="shared" ref="I73" si="34">G73+H73</f>
        <v>100</v>
      </c>
    </row>
    <row r="74" spans="1:9" x14ac:dyDescent="0.2">
      <c r="A74" s="79" t="s">
        <v>32</v>
      </c>
      <c r="B74" s="80">
        <f t="shared" ref="B74:I74" si="35">AVERAGE(B47:B72)</f>
        <v>20.236195223930512</v>
      </c>
      <c r="C74" s="80">
        <f t="shared" si="35"/>
        <v>2.0210222021695818</v>
      </c>
      <c r="D74" s="80">
        <f t="shared" si="35"/>
        <v>14.844017545662892</v>
      </c>
      <c r="E74" s="80">
        <f t="shared" si="35"/>
        <v>3.1017077012617524</v>
      </c>
      <c r="F74" s="80">
        <f t="shared" si="35"/>
        <v>5.5050187394906862</v>
      </c>
      <c r="G74" s="80">
        <f t="shared" si="35"/>
        <v>45.707961412515438</v>
      </c>
      <c r="H74" s="80">
        <f t="shared" si="35"/>
        <v>54.292038587484576</v>
      </c>
      <c r="I74" s="80">
        <f t="shared" si="35"/>
        <v>100</v>
      </c>
    </row>
    <row r="76" spans="1:9" x14ac:dyDescent="0.2">
      <c r="B76">
        <f>AVERAGE(B47:B64)</f>
        <v>22.682376971311626</v>
      </c>
    </row>
    <row r="124" spans="58:58" x14ac:dyDescent="0.2">
      <c r="BF124" s="339"/>
    </row>
  </sheetData>
  <phoneticPr fontId="12" type="noConversion"/>
  <pageMargins left="1.46" right="0.75" top="0.5" bottom="0.5" header="0.5" footer="0.5"/>
  <pageSetup orientation="portrait"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14"/>
  <sheetViews>
    <sheetView topLeftCell="G2" workbookViewId="0">
      <selection activeCell="J13" sqref="J13:J37"/>
    </sheetView>
  </sheetViews>
  <sheetFormatPr defaultRowHeight="12.75" x14ac:dyDescent="0.2"/>
  <cols>
    <col min="1" max="1" width="5.42578125" customWidth="1"/>
    <col min="2" max="2" width="7.140625" customWidth="1"/>
    <col min="3" max="3" width="7.42578125" customWidth="1"/>
    <col min="4" max="4" width="7" customWidth="1"/>
    <col min="5" max="5" width="8.140625" customWidth="1"/>
    <col min="6" max="6" width="7.28515625" customWidth="1"/>
    <col min="8" max="8" width="9.7109375" customWidth="1"/>
    <col min="10" max="10" width="10.28515625" customWidth="1"/>
    <col min="11" max="12" width="8.5703125" customWidth="1"/>
    <col min="15" max="15" width="11" customWidth="1"/>
  </cols>
  <sheetData>
    <row r="1" spans="1:21" ht="15.75" x14ac:dyDescent="0.25">
      <c r="A1" s="76" t="s">
        <v>55</v>
      </c>
      <c r="B1" s="22"/>
      <c r="U1">
        <f>1/6.29884495</f>
        <v>0.15875926585555974</v>
      </c>
    </row>
    <row r="2" spans="1:21" x14ac:dyDescent="0.2">
      <c r="A2" s="23"/>
      <c r="B2" s="23"/>
      <c r="C2" s="23"/>
      <c r="D2" s="23"/>
      <c r="E2" s="23"/>
      <c r="F2" s="23"/>
      <c r="G2" s="23"/>
      <c r="H2" s="23"/>
      <c r="I2" s="23"/>
      <c r="J2" s="23"/>
      <c r="K2" s="23"/>
      <c r="L2" s="24"/>
    </row>
    <row r="3" spans="1:21" x14ac:dyDescent="0.2">
      <c r="A3" s="22"/>
      <c r="B3" s="37" t="s">
        <v>33</v>
      </c>
      <c r="C3" s="25"/>
      <c r="D3" s="25"/>
      <c r="E3" s="25"/>
      <c r="F3" s="25" t="s">
        <v>36</v>
      </c>
      <c r="G3" s="26"/>
      <c r="H3" s="26"/>
      <c r="I3" s="25"/>
      <c r="J3" s="25"/>
      <c r="K3" s="25"/>
      <c r="L3" s="28"/>
      <c r="R3" t="s">
        <v>18</v>
      </c>
    </row>
    <row r="4" spans="1:21" x14ac:dyDescent="0.2">
      <c r="A4" s="22"/>
      <c r="B4" s="37" t="s">
        <v>37</v>
      </c>
      <c r="C4" s="28"/>
      <c r="D4" s="28"/>
      <c r="E4" s="28" t="s">
        <v>38</v>
      </c>
      <c r="F4" s="28" t="s">
        <v>22</v>
      </c>
      <c r="G4" s="28"/>
      <c r="H4" s="28"/>
      <c r="I4" s="28" t="s">
        <v>29</v>
      </c>
      <c r="J4" s="28"/>
      <c r="K4" s="28" t="s">
        <v>27</v>
      </c>
      <c r="L4" s="28"/>
      <c r="R4" t="s">
        <v>58</v>
      </c>
    </row>
    <row r="5" spans="1:21" ht="15.75" x14ac:dyDescent="0.2">
      <c r="A5" s="30" t="s">
        <v>3</v>
      </c>
      <c r="B5" s="31" t="s">
        <v>39</v>
      </c>
      <c r="C5" s="31" t="s">
        <v>52</v>
      </c>
      <c r="D5" s="31" t="s">
        <v>15</v>
      </c>
      <c r="E5" s="31" t="s">
        <v>16</v>
      </c>
      <c r="F5" s="31" t="s">
        <v>17</v>
      </c>
      <c r="G5" s="31" t="s">
        <v>57</v>
      </c>
      <c r="H5" s="31" t="s">
        <v>51</v>
      </c>
      <c r="I5" s="31" t="s">
        <v>23</v>
      </c>
      <c r="J5" s="31" t="s">
        <v>40</v>
      </c>
      <c r="K5" s="31" t="s">
        <v>53</v>
      </c>
      <c r="L5" s="28"/>
      <c r="M5" s="13" t="s">
        <v>4</v>
      </c>
      <c r="N5" s="13" t="s">
        <v>269</v>
      </c>
      <c r="O5" t="s">
        <v>5</v>
      </c>
      <c r="P5" t="s">
        <v>7</v>
      </c>
      <c r="Q5" t="s">
        <v>6</v>
      </c>
      <c r="R5" t="s">
        <v>59</v>
      </c>
      <c r="S5" t="s">
        <v>19</v>
      </c>
    </row>
    <row r="6" spans="1:21" x14ac:dyDescent="0.2">
      <c r="A6" s="32">
        <v>1987</v>
      </c>
      <c r="B6" s="33"/>
      <c r="C6" s="34"/>
      <c r="D6" s="34"/>
      <c r="E6" s="34"/>
      <c r="F6" s="34"/>
      <c r="G6" s="34"/>
      <c r="H6" s="34"/>
      <c r="I6" s="34"/>
      <c r="J6" s="39">
        <f>'Master escapements'!F20</f>
        <v>37432.148331849698</v>
      </c>
      <c r="K6" s="34"/>
      <c r="L6" s="34"/>
      <c r="O6" s="18">
        <f t="shared" ref="O6:O36" si="0">J6</f>
        <v>37432.148331849698</v>
      </c>
      <c r="P6" s="18">
        <f>'Master goals'!$D$13</f>
        <v>30000</v>
      </c>
      <c r="Q6" s="18">
        <f>'Master goals'!$E$13</f>
        <v>70000</v>
      </c>
    </row>
    <row r="7" spans="1:21" x14ac:dyDescent="0.2">
      <c r="A7" s="32">
        <v>1988</v>
      </c>
      <c r="B7" s="33"/>
      <c r="C7" s="34"/>
      <c r="D7" s="34"/>
      <c r="E7" s="34"/>
      <c r="F7" s="34"/>
      <c r="G7" s="34"/>
      <c r="H7" s="34"/>
      <c r="I7" s="34"/>
      <c r="J7" s="39">
        <f>'Master escapements'!F21</f>
        <v>29495.053088079232</v>
      </c>
      <c r="K7" s="34"/>
      <c r="L7" s="34"/>
      <c r="O7" s="18">
        <f t="shared" si="0"/>
        <v>29495.053088079232</v>
      </c>
      <c r="P7" s="18">
        <f>'Master goals'!$D$13</f>
        <v>30000</v>
      </c>
      <c r="Q7" s="18">
        <f>'Master goals'!$E$13</f>
        <v>70000</v>
      </c>
    </row>
    <row r="8" spans="1:21" x14ac:dyDescent="0.2">
      <c r="A8" s="32">
        <v>1989</v>
      </c>
      <c r="B8" s="33"/>
      <c r="C8" s="34"/>
      <c r="D8" s="34"/>
      <c r="E8" s="34"/>
      <c r="F8" s="34"/>
      <c r="G8" s="34"/>
      <c r="H8" s="34"/>
      <c r="I8" s="34"/>
      <c r="J8" s="39">
        <f>'Master escapements'!F22</f>
        <v>48833.314804892871</v>
      </c>
      <c r="K8" s="34"/>
      <c r="L8" s="34"/>
      <c r="O8" s="18">
        <f t="shared" si="0"/>
        <v>48833.314804892871</v>
      </c>
      <c r="P8" s="18">
        <f>'Master goals'!$D$13</f>
        <v>30000</v>
      </c>
      <c r="Q8" s="18">
        <f>'Master goals'!$E$13</f>
        <v>70000</v>
      </c>
    </row>
    <row r="9" spans="1:21" x14ac:dyDescent="0.2">
      <c r="A9" s="282">
        <v>1990</v>
      </c>
      <c r="B9" s="33"/>
      <c r="C9" s="34"/>
      <c r="D9" s="34"/>
      <c r="E9" s="34"/>
      <c r="F9" s="34"/>
      <c r="G9" s="34"/>
      <c r="H9" s="34"/>
      <c r="I9" s="34"/>
      <c r="J9" s="39">
        <f>'Master escapements'!F23</f>
        <v>79807</v>
      </c>
      <c r="K9" s="34"/>
      <c r="L9" s="34"/>
      <c r="O9" s="18">
        <f t="shared" si="0"/>
        <v>79807</v>
      </c>
      <c r="P9" s="18">
        <f>'Master goals'!$D$13</f>
        <v>30000</v>
      </c>
      <c r="Q9" s="18">
        <f>'Master goals'!$E$13</f>
        <v>70000</v>
      </c>
    </row>
    <row r="10" spans="1:21" x14ac:dyDescent="0.2">
      <c r="A10" s="32">
        <v>1991</v>
      </c>
      <c r="B10" s="33"/>
      <c r="C10" s="34"/>
      <c r="D10" s="34"/>
      <c r="E10" s="34"/>
      <c r="F10" s="34"/>
      <c r="G10" s="34"/>
      <c r="H10" s="34"/>
      <c r="I10" s="34"/>
      <c r="J10" s="39">
        <f>'Master escapements'!F24</f>
        <v>84516.611642352465</v>
      </c>
      <c r="K10" s="34"/>
      <c r="L10" s="34"/>
      <c r="O10" s="18">
        <f t="shared" si="0"/>
        <v>84516.611642352465</v>
      </c>
      <c r="P10" s="18">
        <f>'Master goals'!$D$13</f>
        <v>30000</v>
      </c>
      <c r="Q10" s="18">
        <f>'Master goals'!$E$13</f>
        <v>70000</v>
      </c>
    </row>
    <row r="11" spans="1:21" x14ac:dyDescent="0.2">
      <c r="A11" s="32">
        <v>1992</v>
      </c>
      <c r="B11" s="33"/>
      <c r="C11" s="34"/>
      <c r="D11" s="34"/>
      <c r="E11" s="34"/>
      <c r="F11" s="34"/>
      <c r="G11" s="34"/>
      <c r="H11" s="34"/>
      <c r="I11" s="34"/>
      <c r="J11" s="39">
        <f>'Master escapements'!F25</f>
        <v>77588.469183807058</v>
      </c>
      <c r="K11" s="34"/>
      <c r="L11" s="34"/>
      <c r="O11" s="18">
        <f t="shared" si="0"/>
        <v>77588.469183807058</v>
      </c>
      <c r="P11" s="18">
        <f>'Master goals'!$D$13</f>
        <v>30000</v>
      </c>
      <c r="Q11" s="18">
        <f>'Master goals'!$E$13</f>
        <v>70000</v>
      </c>
    </row>
    <row r="12" spans="1:21" x14ac:dyDescent="0.2">
      <c r="A12" s="32">
        <v>1993</v>
      </c>
      <c r="B12" s="33"/>
      <c r="C12" s="34"/>
      <c r="D12" s="34"/>
      <c r="E12" s="34"/>
      <c r="F12" s="34"/>
      <c r="G12" s="34"/>
      <c r="H12" s="34"/>
      <c r="I12" s="34"/>
      <c r="J12" s="39">
        <f>'Master escapements'!F26</f>
        <v>58216.575707485921</v>
      </c>
      <c r="K12" s="34"/>
      <c r="L12" s="34"/>
      <c r="O12" s="18">
        <f t="shared" si="0"/>
        <v>58216.575707485921</v>
      </c>
      <c r="P12" s="18">
        <f>'Master goals'!$D$13</f>
        <v>30000</v>
      </c>
      <c r="Q12" s="18">
        <f>'Master goals'!$E$13</f>
        <v>70000</v>
      </c>
    </row>
    <row r="13" spans="1:21" x14ac:dyDescent="0.2">
      <c r="A13" s="32">
        <v>1994</v>
      </c>
      <c r="B13" s="33"/>
      <c r="C13" s="34"/>
      <c r="D13" s="34"/>
      <c r="E13" s="34"/>
      <c r="F13" s="34"/>
      <c r="G13" s="34"/>
      <c r="H13" s="34"/>
      <c r="I13" s="34"/>
      <c r="J13" s="39">
        <f>'Master escapements'!F27</f>
        <v>194425.20171286893</v>
      </c>
      <c r="K13" s="34"/>
      <c r="L13" s="34"/>
      <c r="O13" s="18">
        <f t="shared" si="0"/>
        <v>194425.20171286893</v>
      </c>
      <c r="P13" s="18">
        <f>'Master goals'!$D$13</f>
        <v>30000</v>
      </c>
      <c r="Q13" s="18">
        <f>'Master goals'!$E$13</f>
        <v>70000</v>
      </c>
    </row>
    <row r="14" spans="1:21" x14ac:dyDescent="0.2">
      <c r="A14" s="32">
        <v>1995</v>
      </c>
      <c r="B14" s="33"/>
      <c r="C14" s="34"/>
      <c r="D14" s="34"/>
      <c r="E14" s="34"/>
      <c r="F14" s="34"/>
      <c r="G14" s="34"/>
      <c r="H14" s="34"/>
      <c r="I14" s="34"/>
      <c r="J14" s="39">
        <f>'Master escapements'!F28</f>
        <v>56736.778289155831</v>
      </c>
      <c r="K14" s="34"/>
      <c r="L14" s="34"/>
      <c r="O14" s="18">
        <f t="shared" si="0"/>
        <v>56736.778289155831</v>
      </c>
      <c r="P14" s="18">
        <f>'Master goals'!$D$13</f>
        <v>30000</v>
      </c>
      <c r="Q14" s="18">
        <f>'Master goals'!$E$13</f>
        <v>70000</v>
      </c>
    </row>
    <row r="15" spans="1:21" x14ac:dyDescent="0.2">
      <c r="A15" s="32">
        <v>1996</v>
      </c>
      <c r="B15" s="33"/>
      <c r="C15" s="34"/>
      <c r="D15" s="34"/>
      <c r="E15" s="34"/>
      <c r="F15" s="34"/>
      <c r="G15" s="34"/>
      <c r="H15" s="34"/>
      <c r="I15" s="34"/>
      <c r="J15" s="39">
        <f>'Master escapements'!F29</f>
        <v>37331.253053327193</v>
      </c>
      <c r="K15" s="34"/>
      <c r="L15" s="34"/>
      <c r="O15" s="18">
        <f t="shared" si="0"/>
        <v>37331.253053327193</v>
      </c>
      <c r="P15" s="18">
        <f>'Master goals'!$D$13</f>
        <v>30000</v>
      </c>
      <c r="Q15" s="18">
        <f>'Master goals'!$E$13</f>
        <v>70000</v>
      </c>
    </row>
    <row r="16" spans="1:21" x14ac:dyDescent="0.2">
      <c r="A16" s="32">
        <v>1997</v>
      </c>
      <c r="B16" s="33"/>
      <c r="C16" s="34"/>
      <c r="D16" s="34"/>
      <c r="E16" s="34"/>
      <c r="F16" s="34"/>
      <c r="G16" s="34"/>
      <c r="H16" s="34"/>
      <c r="I16" s="34"/>
      <c r="J16" s="39">
        <f>'Master escapements'!F30</f>
        <v>43519.496802707559</v>
      </c>
      <c r="K16" s="34"/>
      <c r="L16" s="34"/>
      <c r="O16" s="18">
        <f t="shared" si="0"/>
        <v>43519.496802707559</v>
      </c>
      <c r="P16" s="18">
        <f>'Master goals'!$D$13</f>
        <v>30000</v>
      </c>
      <c r="Q16" s="18">
        <f>'Master goals'!$E$13</f>
        <v>70000</v>
      </c>
      <c r="U16" t="s">
        <v>205</v>
      </c>
    </row>
    <row r="17" spans="1:24" x14ac:dyDescent="0.2">
      <c r="A17" s="282">
        <v>1998</v>
      </c>
      <c r="B17" s="33"/>
      <c r="C17" s="34"/>
      <c r="D17" s="34"/>
      <c r="E17" s="34"/>
      <c r="F17" s="34"/>
      <c r="G17" s="34"/>
      <c r="H17" s="34"/>
      <c r="I17" s="34"/>
      <c r="J17" s="39">
        <f>'Master escapements'!F31</f>
        <v>50758</v>
      </c>
      <c r="K17" s="34"/>
      <c r="L17" s="34"/>
      <c r="O17" s="18">
        <f t="shared" si="0"/>
        <v>50758</v>
      </c>
      <c r="P17" s="18">
        <f>'Master goals'!$D$13</f>
        <v>30000</v>
      </c>
      <c r="Q17" s="18">
        <f>'Master goals'!$E$13</f>
        <v>70000</v>
      </c>
      <c r="U17" t="s">
        <v>199</v>
      </c>
      <c r="W17" t="s">
        <v>398</v>
      </c>
    </row>
    <row r="18" spans="1:24" x14ac:dyDescent="0.2">
      <c r="A18" s="32">
        <v>1999</v>
      </c>
      <c r="B18" s="33"/>
      <c r="C18" s="34"/>
      <c r="D18" s="34"/>
      <c r="E18" s="34"/>
      <c r="F18" s="34"/>
      <c r="G18" s="34"/>
      <c r="H18" s="34"/>
      <c r="I18" s="34"/>
      <c r="J18" s="39">
        <f>'Master escapements'!F32</f>
        <v>57140.359403245857</v>
      </c>
      <c r="K18" s="34"/>
      <c r="L18" s="34"/>
      <c r="O18" s="18">
        <f t="shared" si="0"/>
        <v>57140.359403245857</v>
      </c>
      <c r="P18" s="18">
        <f>'Master goals'!$D$13</f>
        <v>30000</v>
      </c>
      <c r="Q18" s="18">
        <f>'Master goals'!$E$13</f>
        <v>70000</v>
      </c>
      <c r="U18">
        <v>5.6444000000000001</v>
      </c>
    </row>
    <row r="19" spans="1:24" x14ac:dyDescent="0.2">
      <c r="A19" s="32">
        <v>2000</v>
      </c>
      <c r="B19" s="472">
        <v>265</v>
      </c>
      <c r="C19" s="471">
        <v>19988</v>
      </c>
      <c r="D19" s="471">
        <v>876</v>
      </c>
      <c r="E19" s="471">
        <v>17055</v>
      </c>
      <c r="F19" s="471">
        <v>1529</v>
      </c>
      <c r="G19" s="471">
        <v>688</v>
      </c>
      <c r="H19" s="471">
        <v>199</v>
      </c>
      <c r="I19" s="35">
        <f>SUM(C19:H19)</f>
        <v>40335</v>
      </c>
      <c r="J19" s="39">
        <f>'Master escapements'!F33</f>
        <v>84843</v>
      </c>
      <c r="K19" s="35">
        <f t="shared" ref="K19:K37" si="1">J19+I19</f>
        <v>125178</v>
      </c>
      <c r="L19" s="496"/>
      <c r="M19" s="18">
        <f t="shared" ref="M19:M34" si="2">C19</f>
        <v>19988</v>
      </c>
      <c r="N19" s="18">
        <f t="shared" ref="N19:N34" si="3">SUM(D19:H19)</f>
        <v>20347</v>
      </c>
      <c r="O19" s="18">
        <f t="shared" si="0"/>
        <v>84843</v>
      </c>
      <c r="P19" s="18">
        <f>'Master goals'!$D$13</f>
        <v>30000</v>
      </c>
      <c r="Q19" s="18">
        <f>'Master goals'!$E$13</f>
        <v>70000</v>
      </c>
      <c r="R19" s="476">
        <v>1237056</v>
      </c>
      <c r="S19" s="36">
        <f>K19/R19*100</f>
        <v>10.119024522737854</v>
      </c>
      <c r="T19" s="35">
        <f t="shared" ref="T19" si="4">K19</f>
        <v>125178</v>
      </c>
      <c r="U19" s="35">
        <f>T19/U$18</f>
        <v>22177.379349443698</v>
      </c>
      <c r="V19" s="35">
        <f>T19*U$1</f>
        <v>19873.167381267256</v>
      </c>
      <c r="W19" s="35">
        <f>'Berners River'!K29</f>
        <v>21464.712363482147</v>
      </c>
      <c r="X19" s="520">
        <f t="shared" ref="X19:X35" si="5">G19/J19</f>
        <v>8.109095623681388E-3</v>
      </c>
    </row>
    <row r="20" spans="1:24" x14ac:dyDescent="0.2">
      <c r="A20" s="32">
        <v>2001</v>
      </c>
      <c r="B20" s="472">
        <v>250</v>
      </c>
      <c r="C20" s="471">
        <v>30465</v>
      </c>
      <c r="D20" s="471">
        <v>601</v>
      </c>
      <c r="E20" s="471">
        <v>13436</v>
      </c>
      <c r="F20" s="471">
        <v>1544</v>
      </c>
      <c r="G20" s="471">
        <v>1996</v>
      </c>
      <c r="H20" s="471">
        <v>126</v>
      </c>
      <c r="I20" s="35">
        <f t="shared" ref="I20:I36" si="6">SUM(C20:H20)</f>
        <v>48168</v>
      </c>
      <c r="J20" s="39">
        <f>'Master escapements'!F34</f>
        <v>107697</v>
      </c>
      <c r="K20" s="35">
        <f t="shared" si="1"/>
        <v>155865</v>
      </c>
      <c r="L20" s="496"/>
      <c r="M20" s="18">
        <f t="shared" si="2"/>
        <v>30465</v>
      </c>
      <c r="N20" s="18">
        <f t="shared" si="3"/>
        <v>17703</v>
      </c>
      <c r="O20" s="18">
        <f t="shared" si="0"/>
        <v>107697</v>
      </c>
      <c r="P20" s="18">
        <f>'Master goals'!$D$13</f>
        <v>30000</v>
      </c>
      <c r="Q20" s="18">
        <f>'Master goals'!$E$13</f>
        <v>70000</v>
      </c>
      <c r="R20" s="476">
        <v>1185804</v>
      </c>
      <c r="S20" s="36">
        <f t="shared" ref="S20:S35" si="7">K20/R20*100</f>
        <v>13.144246435329954</v>
      </c>
      <c r="T20" s="35">
        <f t="shared" ref="T20" si="8">SUM(M20:O20)</f>
        <v>155865</v>
      </c>
      <c r="U20" s="35">
        <f t="shared" ref="U20:U35" si="9">T20/U$18</f>
        <v>27614.095386577847</v>
      </c>
      <c r="V20" s="35">
        <f t="shared" ref="V20:V36" si="10">T20*U$1</f>
        <v>24745.01297257682</v>
      </c>
      <c r="W20" s="35">
        <f>'Berners River'!K30</f>
        <v>32152.75112682458</v>
      </c>
      <c r="X20" s="520">
        <f t="shared" si="5"/>
        <v>1.8533478184164832E-2</v>
      </c>
    </row>
    <row r="21" spans="1:24" x14ac:dyDescent="0.2">
      <c r="A21" s="282">
        <v>2002</v>
      </c>
      <c r="B21" s="472">
        <v>325</v>
      </c>
      <c r="C21" s="471">
        <v>61724</v>
      </c>
      <c r="D21" s="471">
        <v>719</v>
      </c>
      <c r="E21" s="471">
        <v>66541</v>
      </c>
      <c r="F21" s="471">
        <v>2159</v>
      </c>
      <c r="G21" s="471">
        <v>3342</v>
      </c>
      <c r="H21" s="471">
        <v>574</v>
      </c>
      <c r="I21" s="35">
        <f t="shared" si="6"/>
        <v>135059</v>
      </c>
      <c r="J21" s="39">
        <f>'Master escapements'!F35</f>
        <v>204925</v>
      </c>
      <c r="K21" s="35">
        <f t="shared" si="1"/>
        <v>339984</v>
      </c>
      <c r="L21" s="496"/>
      <c r="M21" s="18">
        <f t="shared" si="2"/>
        <v>61724</v>
      </c>
      <c r="N21" s="18">
        <f t="shared" si="3"/>
        <v>73335</v>
      </c>
      <c r="O21" s="18">
        <f t="shared" si="0"/>
        <v>204925</v>
      </c>
      <c r="P21" s="18">
        <f>'Master goals'!$D$13</f>
        <v>30000</v>
      </c>
      <c r="Q21" s="18">
        <f>'Master goals'!$E$13</f>
        <v>70000</v>
      </c>
      <c r="R21" s="476">
        <v>2970458</v>
      </c>
      <c r="S21" s="36">
        <f t="shared" si="7"/>
        <v>11.445507729784431</v>
      </c>
      <c r="T21" s="35">
        <f t="shared" ref="T21" si="11">K21</f>
        <v>339984</v>
      </c>
      <c r="U21" s="35">
        <f t="shared" si="9"/>
        <v>60233.860109134715</v>
      </c>
      <c r="V21" s="35">
        <f t="shared" si="10"/>
        <v>53975.610242636627</v>
      </c>
      <c r="W21" s="35">
        <f>'Berners River'!K31</f>
        <v>49818.421037951979</v>
      </c>
      <c r="X21" s="520">
        <f t="shared" si="5"/>
        <v>1.6308405514212518E-2</v>
      </c>
    </row>
    <row r="22" spans="1:24" x14ac:dyDescent="0.2">
      <c r="A22" s="282">
        <v>2003</v>
      </c>
      <c r="B22" s="472">
        <v>426</v>
      </c>
      <c r="C22" s="471">
        <v>51629</v>
      </c>
      <c r="D22" s="471">
        <v>1045</v>
      </c>
      <c r="E22" s="471">
        <v>26520</v>
      </c>
      <c r="F22" s="471">
        <v>3880</v>
      </c>
      <c r="G22" s="471">
        <v>2433</v>
      </c>
      <c r="H22" s="471">
        <v>498</v>
      </c>
      <c r="I22" s="35">
        <f t="shared" si="6"/>
        <v>86005</v>
      </c>
      <c r="J22" s="39">
        <f>'Master escapements'!F36</f>
        <v>133109</v>
      </c>
      <c r="K22" s="35">
        <f t="shared" si="1"/>
        <v>219114</v>
      </c>
      <c r="L22" s="496"/>
      <c r="M22" s="18">
        <f t="shared" si="2"/>
        <v>51629</v>
      </c>
      <c r="N22" s="18">
        <f t="shared" si="3"/>
        <v>34376</v>
      </c>
      <c r="O22" s="18">
        <f t="shared" si="0"/>
        <v>133109</v>
      </c>
      <c r="P22" s="18">
        <f>'Master goals'!$D$13</f>
        <v>30000</v>
      </c>
      <c r="Q22" s="18">
        <f>'Master goals'!$E$13</f>
        <v>70000</v>
      </c>
      <c r="R22" s="476">
        <v>1696212</v>
      </c>
      <c r="S22" s="36">
        <f t="shared" si="7"/>
        <v>12.917842816817709</v>
      </c>
      <c r="T22" s="35">
        <f t="shared" ref="T22" si="12">SUM(M22:O22)</f>
        <v>219114</v>
      </c>
      <c r="U22" s="35">
        <f t="shared" si="9"/>
        <v>38819.715115867053</v>
      </c>
      <c r="V22" s="35">
        <f t="shared" si="10"/>
        <v>34786.377778675116</v>
      </c>
      <c r="W22" s="35">
        <f>'Berners River'!K32</f>
        <v>29111.021630484258</v>
      </c>
      <c r="X22" s="520">
        <f t="shared" si="5"/>
        <v>1.8278253160943288E-2</v>
      </c>
    </row>
    <row r="23" spans="1:24" x14ac:dyDescent="0.2">
      <c r="A23" s="32">
        <v>2004</v>
      </c>
      <c r="B23" s="472">
        <v>254</v>
      </c>
      <c r="C23" s="471">
        <v>82827</v>
      </c>
      <c r="D23" s="471">
        <v>1030</v>
      </c>
      <c r="E23" s="471">
        <v>35895</v>
      </c>
      <c r="F23" s="471">
        <v>5167</v>
      </c>
      <c r="G23" s="471">
        <v>2822</v>
      </c>
      <c r="H23" s="471">
        <v>455</v>
      </c>
      <c r="I23" s="35">
        <f t="shared" si="6"/>
        <v>128196</v>
      </c>
      <c r="J23" s="39">
        <f>'Master escapements'!F37</f>
        <v>67053</v>
      </c>
      <c r="K23" s="35">
        <f t="shared" si="1"/>
        <v>195249</v>
      </c>
      <c r="L23" s="496"/>
      <c r="M23" s="18">
        <f t="shared" si="2"/>
        <v>82827</v>
      </c>
      <c r="N23" s="18">
        <f t="shared" si="3"/>
        <v>45369</v>
      </c>
      <c r="O23" s="18">
        <f t="shared" si="0"/>
        <v>67053</v>
      </c>
      <c r="P23" s="18">
        <f>'Master goals'!$D$13</f>
        <v>30000</v>
      </c>
      <c r="Q23" s="18">
        <f>'Master goals'!$E$13</f>
        <v>70000</v>
      </c>
      <c r="R23" s="476">
        <v>1938322</v>
      </c>
      <c r="S23" s="36">
        <f t="shared" si="7"/>
        <v>10.073094150507501</v>
      </c>
      <c r="T23" s="35">
        <f t="shared" ref="T23" si="13">K23</f>
        <v>195249</v>
      </c>
      <c r="U23" s="35">
        <f t="shared" si="9"/>
        <v>34591.630642760967</v>
      </c>
      <c r="V23" s="35">
        <f t="shared" si="10"/>
        <v>30997.587899032183</v>
      </c>
      <c r="W23" s="35">
        <f>'Berners River'!K33</f>
        <v>33174.003930812047</v>
      </c>
      <c r="X23" s="520">
        <f t="shared" si="5"/>
        <v>4.2086110986831314E-2</v>
      </c>
    </row>
    <row r="24" spans="1:24" x14ac:dyDescent="0.2">
      <c r="A24" s="282">
        <v>2005</v>
      </c>
      <c r="B24" s="472">
        <v>141</v>
      </c>
      <c r="C24" s="471">
        <v>17409</v>
      </c>
      <c r="D24" s="471">
        <v>312</v>
      </c>
      <c r="E24" s="471">
        <v>10597</v>
      </c>
      <c r="F24" s="471">
        <v>769</v>
      </c>
      <c r="G24" s="471">
        <v>1203</v>
      </c>
      <c r="H24" s="471">
        <v>335</v>
      </c>
      <c r="I24" s="35">
        <f t="shared" si="6"/>
        <v>30625</v>
      </c>
      <c r="J24" s="39">
        <f>'Master escapements'!F38</f>
        <v>34575</v>
      </c>
      <c r="K24" s="35">
        <f t="shared" si="1"/>
        <v>65200</v>
      </c>
      <c r="L24" s="496"/>
      <c r="M24" s="18">
        <f t="shared" si="2"/>
        <v>17409</v>
      </c>
      <c r="N24" s="18">
        <f t="shared" si="3"/>
        <v>13216</v>
      </c>
      <c r="O24" s="18">
        <f t="shared" si="0"/>
        <v>34575</v>
      </c>
      <c r="P24" s="18">
        <f>'Master goals'!$D$13</f>
        <v>30000</v>
      </c>
      <c r="Q24" s="18">
        <f>'Master goals'!$E$13</f>
        <v>70000</v>
      </c>
      <c r="R24" s="476">
        <v>776934</v>
      </c>
      <c r="S24" s="36">
        <f t="shared" si="7"/>
        <v>8.3919612219313358</v>
      </c>
      <c r="T24" s="35">
        <f t="shared" ref="T24" si="14">SUM(M24:O24)</f>
        <v>65200</v>
      </c>
      <c r="U24" s="35">
        <f t="shared" si="9"/>
        <v>11551.272057260294</v>
      </c>
      <c r="V24" s="35">
        <f t="shared" si="10"/>
        <v>10351.104133782495</v>
      </c>
      <c r="W24" s="35">
        <f>'Berners River'!K34</f>
        <v>12757.874942477865</v>
      </c>
      <c r="X24" s="520">
        <f t="shared" si="5"/>
        <v>3.4793926247288505E-2</v>
      </c>
    </row>
    <row r="25" spans="1:24" x14ac:dyDescent="0.2">
      <c r="A25" s="32">
        <v>2006</v>
      </c>
      <c r="B25" s="472">
        <v>200</v>
      </c>
      <c r="C25" s="471">
        <v>37077</v>
      </c>
      <c r="D25" s="471">
        <v>83</v>
      </c>
      <c r="E25" s="471">
        <v>24416</v>
      </c>
      <c r="F25" s="471">
        <v>2523</v>
      </c>
      <c r="G25" s="471">
        <v>1782</v>
      </c>
      <c r="H25" s="471">
        <v>353</v>
      </c>
      <c r="I25" s="35">
        <f t="shared" si="6"/>
        <v>66234</v>
      </c>
      <c r="J25" s="39">
        <f>'Master escapements'!F39</f>
        <v>79050</v>
      </c>
      <c r="K25" s="35">
        <f t="shared" si="1"/>
        <v>145284</v>
      </c>
      <c r="L25" s="496"/>
      <c r="M25" s="18">
        <f t="shared" si="2"/>
        <v>37077</v>
      </c>
      <c r="N25" s="18">
        <f t="shared" si="3"/>
        <v>29157</v>
      </c>
      <c r="O25" s="18">
        <f t="shared" si="0"/>
        <v>79050</v>
      </c>
      <c r="P25" s="18">
        <f>'Master goals'!$D$13</f>
        <v>30000</v>
      </c>
      <c r="Q25" s="18">
        <f>'Master goals'!$E$13</f>
        <v>70000</v>
      </c>
      <c r="R25" s="476">
        <v>1807837</v>
      </c>
      <c r="S25" s="36">
        <f t="shared" si="7"/>
        <v>8.0363439845517046</v>
      </c>
      <c r="T25" s="35">
        <f t="shared" ref="T25" si="15">K25</f>
        <v>145284</v>
      </c>
      <c r="U25" s="35">
        <f t="shared" si="9"/>
        <v>25739.494011763873</v>
      </c>
      <c r="V25" s="35">
        <f t="shared" si="10"/>
        <v>23065.181180559142</v>
      </c>
      <c r="W25" s="35">
        <f>'Berners River'!K35</f>
        <v>15822.204102688618</v>
      </c>
      <c r="X25" s="520">
        <f t="shared" si="5"/>
        <v>2.2542694497153699E-2</v>
      </c>
    </row>
    <row r="26" spans="1:24" x14ac:dyDescent="0.2">
      <c r="A26" s="32">
        <v>2007</v>
      </c>
      <c r="B26" s="472">
        <v>73</v>
      </c>
      <c r="C26" s="471">
        <v>9307</v>
      </c>
      <c r="D26" s="471">
        <v>0</v>
      </c>
      <c r="E26" s="471">
        <v>3546</v>
      </c>
      <c r="F26" s="471">
        <v>0</v>
      </c>
      <c r="G26" s="471">
        <v>540</v>
      </c>
      <c r="H26" s="471">
        <v>107</v>
      </c>
      <c r="I26" s="35">
        <f t="shared" si="6"/>
        <v>13500</v>
      </c>
      <c r="J26" s="39">
        <f>'Master escapements'!F40</f>
        <v>24770</v>
      </c>
      <c r="K26" s="35">
        <f t="shared" si="1"/>
        <v>38270</v>
      </c>
      <c r="L26" s="496"/>
      <c r="M26" s="18">
        <f t="shared" si="2"/>
        <v>9307</v>
      </c>
      <c r="N26" s="18">
        <f t="shared" si="3"/>
        <v>4193</v>
      </c>
      <c r="O26" s="18">
        <f t="shared" si="0"/>
        <v>24770</v>
      </c>
      <c r="P26" s="18">
        <f>'Master goals'!$D$13</f>
        <v>30000</v>
      </c>
      <c r="Q26" s="18">
        <f>'Master goals'!$E$13</f>
        <v>70000</v>
      </c>
      <c r="R26" s="476">
        <v>875478</v>
      </c>
      <c r="S26" s="36">
        <f t="shared" si="7"/>
        <v>4.3713262926081526</v>
      </c>
      <c r="T26" s="35">
        <f t="shared" ref="T26" si="16">SUM(M26:O26)</f>
        <v>38270</v>
      </c>
      <c r="U26" s="35">
        <f t="shared" si="9"/>
        <v>6780.1714974133656</v>
      </c>
      <c r="V26" s="35">
        <f t="shared" si="10"/>
        <v>6075.7171042922719</v>
      </c>
      <c r="W26" s="35">
        <f>'Berners River'!K36</f>
        <v>8721.5504169317664</v>
      </c>
      <c r="X26" s="520">
        <f t="shared" si="5"/>
        <v>2.1800565199838515E-2</v>
      </c>
    </row>
    <row r="27" spans="1:24" x14ac:dyDescent="0.2">
      <c r="A27" s="32">
        <v>2008</v>
      </c>
      <c r="B27" s="473">
        <v>358</v>
      </c>
      <c r="C27" s="471">
        <v>20999</v>
      </c>
      <c r="D27" s="471">
        <v>0</v>
      </c>
      <c r="E27" s="471">
        <v>28908</v>
      </c>
      <c r="F27" s="471">
        <v>737</v>
      </c>
      <c r="G27" s="471">
        <v>738</v>
      </c>
      <c r="H27" s="471">
        <v>390</v>
      </c>
      <c r="I27" s="35">
        <f t="shared" si="6"/>
        <v>51772</v>
      </c>
      <c r="J27" s="39">
        <f>'Master escapements'!F41</f>
        <v>56369</v>
      </c>
      <c r="K27" s="35">
        <f t="shared" si="1"/>
        <v>108141</v>
      </c>
      <c r="L27" s="496"/>
      <c r="M27" s="18">
        <f t="shared" si="2"/>
        <v>20999</v>
      </c>
      <c r="N27" s="18">
        <f t="shared" si="3"/>
        <v>30773</v>
      </c>
      <c r="O27" s="18">
        <f t="shared" si="0"/>
        <v>56369</v>
      </c>
      <c r="P27" s="18">
        <f>'Master goals'!$D$13</f>
        <v>30000</v>
      </c>
      <c r="Q27" s="18">
        <f>'Master goals'!$E$13</f>
        <v>70000</v>
      </c>
      <c r="R27" s="476">
        <v>893032</v>
      </c>
      <c r="S27" s="36">
        <f t="shared" si="7"/>
        <v>12.109420491091024</v>
      </c>
      <c r="T27" s="35">
        <f t="shared" ref="T27" si="17">K27</f>
        <v>108141</v>
      </c>
      <c r="U27" s="35">
        <f t="shared" si="9"/>
        <v>19158.98944086174</v>
      </c>
      <c r="V27" s="35">
        <f t="shared" si="10"/>
        <v>17168.385768886088</v>
      </c>
      <c r="W27" s="35">
        <f>'Berners River'!K37</f>
        <v>14366.759212206873</v>
      </c>
      <c r="X27" s="520">
        <f t="shared" si="5"/>
        <v>1.3092302506696943E-2</v>
      </c>
    </row>
    <row r="28" spans="1:24" x14ac:dyDescent="0.2">
      <c r="A28" s="32">
        <v>2009</v>
      </c>
      <c r="B28" s="473">
        <v>326</v>
      </c>
      <c r="C28" s="471">
        <v>11931</v>
      </c>
      <c r="D28" s="471">
        <v>346</v>
      </c>
      <c r="E28" s="471">
        <v>15352</v>
      </c>
      <c r="F28" s="471">
        <v>37</v>
      </c>
      <c r="G28" s="471">
        <v>2059</v>
      </c>
      <c r="H28" s="471">
        <v>460</v>
      </c>
      <c r="I28" s="35">
        <f t="shared" si="6"/>
        <v>30185</v>
      </c>
      <c r="J28" s="39">
        <f>'Master escapements'!F42</f>
        <v>47911</v>
      </c>
      <c r="K28" s="35">
        <f t="shared" si="1"/>
        <v>78096</v>
      </c>
      <c r="L28" s="496"/>
      <c r="M28" s="18">
        <f t="shared" si="2"/>
        <v>11931</v>
      </c>
      <c r="N28" s="18">
        <f t="shared" si="3"/>
        <v>18254</v>
      </c>
      <c r="O28" s="18">
        <f t="shared" si="0"/>
        <v>47911</v>
      </c>
      <c r="P28" s="18">
        <f>'Master goals'!$D$13</f>
        <v>30000</v>
      </c>
      <c r="Q28" s="18">
        <f>'Master goals'!$E$13</f>
        <v>70000</v>
      </c>
      <c r="R28" s="476">
        <v>716689</v>
      </c>
      <c r="S28" s="36">
        <f t="shared" si="7"/>
        <v>10.896776705098027</v>
      </c>
      <c r="T28" s="35">
        <f t="shared" ref="T28" si="18">SUM(M28:O28)</f>
        <v>78096</v>
      </c>
      <c r="U28" s="35">
        <f t="shared" si="9"/>
        <v>13836.014456806746</v>
      </c>
      <c r="V28" s="35">
        <f t="shared" si="10"/>
        <v>12398.463626255794</v>
      </c>
      <c r="W28" s="35">
        <f>'Berners River'!K38</f>
        <v>9317.4461149367089</v>
      </c>
      <c r="X28" s="520">
        <f t="shared" si="5"/>
        <v>4.2975517104631503E-2</v>
      </c>
    </row>
    <row r="29" spans="1:24" x14ac:dyDescent="0.2">
      <c r="A29" s="58">
        <v>2010</v>
      </c>
      <c r="B29" s="474">
        <v>427</v>
      </c>
      <c r="C29" s="471">
        <v>29028</v>
      </c>
      <c r="D29" s="471">
        <v>379</v>
      </c>
      <c r="E29" s="471">
        <v>37732</v>
      </c>
      <c r="F29" s="471">
        <v>1501</v>
      </c>
      <c r="G29" s="471">
        <v>449</v>
      </c>
      <c r="H29" s="471">
        <v>344</v>
      </c>
      <c r="I29" s="35">
        <f t="shared" si="6"/>
        <v>69433</v>
      </c>
      <c r="J29" s="39">
        <f>'Master escapements'!F43</f>
        <v>84909</v>
      </c>
      <c r="K29" s="35">
        <f t="shared" si="1"/>
        <v>154342</v>
      </c>
      <c r="L29" s="496"/>
      <c r="M29" s="18">
        <f t="shared" si="2"/>
        <v>29028</v>
      </c>
      <c r="N29" s="18">
        <f t="shared" si="3"/>
        <v>40405</v>
      </c>
      <c r="O29" s="18">
        <f t="shared" si="0"/>
        <v>84909</v>
      </c>
      <c r="P29" s="18">
        <f>'Master goals'!$D$13</f>
        <v>30000</v>
      </c>
      <c r="Q29" s="18">
        <f>'Master goals'!$E$13</f>
        <v>70000</v>
      </c>
      <c r="R29" s="476">
        <v>872829</v>
      </c>
      <c r="S29" s="36">
        <f t="shared" si="7"/>
        <v>17.682959663347575</v>
      </c>
      <c r="T29" s="35">
        <f t="shared" ref="T29" si="19">K29</f>
        <v>154342</v>
      </c>
      <c r="U29" s="35">
        <f t="shared" si="9"/>
        <v>27344.270427326199</v>
      </c>
      <c r="V29" s="35">
        <f t="shared" si="10"/>
        <v>24503.222610678804</v>
      </c>
      <c r="W29" s="35">
        <f>'Berners River'!K39</f>
        <v>21816.53139184419</v>
      </c>
      <c r="X29" s="520">
        <f t="shared" si="5"/>
        <v>5.28801422699596E-3</v>
      </c>
    </row>
    <row r="30" spans="1:24" x14ac:dyDescent="0.2">
      <c r="A30" s="58">
        <v>2011</v>
      </c>
      <c r="B30" s="474">
        <v>219</v>
      </c>
      <c r="C30" s="471">
        <v>19329</v>
      </c>
      <c r="D30" s="471">
        <v>1201</v>
      </c>
      <c r="E30" s="471">
        <v>13861</v>
      </c>
      <c r="F30" s="471">
        <v>747</v>
      </c>
      <c r="G30" s="471">
        <v>1184</v>
      </c>
      <c r="H30" s="471">
        <v>299</v>
      </c>
      <c r="I30" s="35">
        <f t="shared" si="6"/>
        <v>36621</v>
      </c>
      <c r="J30" s="39">
        <f>'Master escapements'!F44</f>
        <v>61099</v>
      </c>
      <c r="K30" s="35">
        <f t="shared" si="1"/>
        <v>97720</v>
      </c>
      <c r="L30" s="496"/>
      <c r="M30" s="18">
        <f t="shared" si="2"/>
        <v>19329</v>
      </c>
      <c r="N30" s="18">
        <f t="shared" si="3"/>
        <v>17292</v>
      </c>
      <c r="O30" s="18">
        <f t="shared" si="0"/>
        <v>61099</v>
      </c>
      <c r="P30" s="18">
        <f>'Master goals'!$D$13</f>
        <v>30000</v>
      </c>
      <c r="Q30" s="18">
        <f>'Master goals'!$E$13</f>
        <v>70000</v>
      </c>
      <c r="R30" s="476">
        <v>1026314</v>
      </c>
      <c r="S30" s="36">
        <f t="shared" si="7"/>
        <v>9.5214524989428195</v>
      </c>
      <c r="T30" s="35">
        <f>SUM(M30:O30)</f>
        <v>97720</v>
      </c>
      <c r="U30" s="35">
        <f t="shared" si="9"/>
        <v>17312.734745942882</v>
      </c>
      <c r="V30" s="35">
        <f t="shared" si="10"/>
        <v>15513.955459405299</v>
      </c>
      <c r="W30" s="35">
        <f>'Berners River'!K40</f>
        <v>12029.060059090903</v>
      </c>
      <c r="X30" s="520">
        <f t="shared" si="5"/>
        <v>1.9378385898296206E-2</v>
      </c>
    </row>
    <row r="31" spans="1:24" x14ac:dyDescent="0.2">
      <c r="A31" s="58">
        <v>2012</v>
      </c>
      <c r="B31" s="474">
        <v>164</v>
      </c>
      <c r="C31" s="471">
        <v>11421</v>
      </c>
      <c r="D31" s="471">
        <v>0</v>
      </c>
      <c r="E31" s="471">
        <v>15426</v>
      </c>
      <c r="F31" s="471">
        <v>682</v>
      </c>
      <c r="G31" s="471">
        <v>397</v>
      </c>
      <c r="H31" s="471">
        <v>210</v>
      </c>
      <c r="I31" s="35">
        <f t="shared" si="6"/>
        <v>28136</v>
      </c>
      <c r="J31" s="39">
        <f>'Master escapements'!F45</f>
        <v>36961</v>
      </c>
      <c r="K31" s="35">
        <f t="shared" si="1"/>
        <v>65097</v>
      </c>
      <c r="L31" s="496"/>
      <c r="M31" s="18">
        <f t="shared" si="2"/>
        <v>11421</v>
      </c>
      <c r="N31" s="18">
        <f t="shared" si="3"/>
        <v>16715</v>
      </c>
      <c r="O31" s="18">
        <f t="shared" si="0"/>
        <v>36961</v>
      </c>
      <c r="P31" s="18">
        <f>'Master goals'!$D$13</f>
        <v>30000</v>
      </c>
      <c r="Q31" s="18">
        <f>'Master goals'!$E$13</f>
        <v>70000</v>
      </c>
      <c r="R31" s="476">
        <v>1229468</v>
      </c>
      <c r="S31" s="36">
        <f t="shared" si="7"/>
        <v>5.2947291023434522</v>
      </c>
      <c r="T31" s="35">
        <f>K31</f>
        <v>65097</v>
      </c>
      <c r="U31" s="35">
        <f t="shared" si="9"/>
        <v>11533.023882077812</v>
      </c>
      <c r="V31" s="35">
        <f t="shared" si="10"/>
        <v>10334.751929399372</v>
      </c>
      <c r="W31" s="35">
        <f>'Berners River'!K41</f>
        <v>8530.5066227316747</v>
      </c>
      <c r="X31" s="520">
        <f t="shared" si="5"/>
        <v>1.074105137848002E-2</v>
      </c>
    </row>
    <row r="32" spans="1:24" x14ac:dyDescent="0.2">
      <c r="A32" s="58">
        <v>2013</v>
      </c>
      <c r="B32" s="474">
        <v>355</v>
      </c>
      <c r="C32" s="471">
        <v>25419</v>
      </c>
      <c r="D32" s="471">
        <v>873</v>
      </c>
      <c r="E32" s="471">
        <v>41766</v>
      </c>
      <c r="F32" s="471">
        <v>696</v>
      </c>
      <c r="G32" s="471">
        <v>1014</v>
      </c>
      <c r="H32" s="471">
        <v>445</v>
      </c>
      <c r="I32" s="35">
        <f t="shared" si="6"/>
        <v>70213</v>
      </c>
      <c r="J32" s="39">
        <f>'Master escapements'!F46</f>
        <v>51324</v>
      </c>
      <c r="K32" s="35">
        <f t="shared" si="1"/>
        <v>121537</v>
      </c>
      <c r="L32" s="496"/>
      <c r="M32" s="18">
        <f t="shared" si="2"/>
        <v>25419</v>
      </c>
      <c r="N32" s="18">
        <f t="shared" si="3"/>
        <v>44794</v>
      </c>
      <c r="O32" s="18">
        <f t="shared" si="0"/>
        <v>51324</v>
      </c>
      <c r="P32" s="18">
        <f>'Master goals'!$D$13</f>
        <v>30000</v>
      </c>
      <c r="Q32" s="18">
        <f>'Master goals'!$E$13</f>
        <v>70000</v>
      </c>
      <c r="R32" s="476">
        <v>788387</v>
      </c>
      <c r="S32" s="36">
        <f t="shared" si="7"/>
        <v>15.415906147615321</v>
      </c>
      <c r="T32" s="35">
        <f t="shared" ref="T32" si="20">SUM(M32:O32)</f>
        <v>121537</v>
      </c>
      <c r="U32" s="35">
        <f t="shared" si="9"/>
        <v>21532.315215080434</v>
      </c>
      <c r="V32" s="35">
        <f t="shared" si="10"/>
        <v>19295.124894287164</v>
      </c>
      <c r="W32" s="35">
        <f>'Berners River'!K42</f>
        <v>21067.581021634618</v>
      </c>
      <c r="X32" s="520">
        <f t="shared" si="5"/>
        <v>1.9756838905775075E-2</v>
      </c>
    </row>
    <row r="33" spans="1:28" x14ac:dyDescent="0.2">
      <c r="A33" s="58">
        <v>2014</v>
      </c>
      <c r="B33" s="474">
        <v>88</v>
      </c>
      <c r="C33" s="471">
        <v>10792</v>
      </c>
      <c r="D33" s="471">
        <v>0</v>
      </c>
      <c r="E33" s="471">
        <v>13737</v>
      </c>
      <c r="F33" s="471">
        <v>245</v>
      </c>
      <c r="G33" s="471">
        <v>958</v>
      </c>
      <c r="H33" s="471">
        <v>513</v>
      </c>
      <c r="I33" s="35">
        <f t="shared" si="6"/>
        <v>26245</v>
      </c>
      <c r="J33" s="39">
        <f>'Master escapements'!F47</f>
        <v>130200</v>
      </c>
      <c r="K33" s="35">
        <f t="shared" si="1"/>
        <v>156445</v>
      </c>
      <c r="L33" s="496"/>
      <c r="M33" s="18">
        <f t="shared" si="2"/>
        <v>10792</v>
      </c>
      <c r="N33" s="18">
        <f t="shared" si="3"/>
        <v>15453</v>
      </c>
      <c r="O33" s="18">
        <f t="shared" si="0"/>
        <v>130200</v>
      </c>
      <c r="P33" s="18">
        <f>'Master goals'!$D$13</f>
        <v>30000</v>
      </c>
      <c r="Q33" s="18">
        <f>'Master goals'!$E$13</f>
        <v>70000</v>
      </c>
      <c r="R33" s="476">
        <v>875312</v>
      </c>
      <c r="S33" s="36">
        <f t="shared" si="7"/>
        <v>17.873055550478</v>
      </c>
      <c r="T33" s="35">
        <f t="shared" ref="T33" si="21">K33</f>
        <v>156445</v>
      </c>
      <c r="U33" s="35">
        <f t="shared" si="9"/>
        <v>27716.852101197648</v>
      </c>
      <c r="V33" s="35">
        <f t="shared" si="10"/>
        <v>24837.093346773043</v>
      </c>
      <c r="W33" s="35">
        <f>'Berners River'!K43</f>
        <v>26648.29454920346</v>
      </c>
      <c r="X33" s="520">
        <f t="shared" si="5"/>
        <v>7.3579109062980033E-3</v>
      </c>
    </row>
    <row r="34" spans="1:28" x14ac:dyDescent="0.2">
      <c r="A34" s="58">
        <v>2015</v>
      </c>
      <c r="B34" s="474">
        <v>90</v>
      </c>
      <c r="C34" s="471">
        <v>10558</v>
      </c>
      <c r="D34" s="471">
        <v>576</v>
      </c>
      <c r="E34" s="471">
        <v>11552</v>
      </c>
      <c r="F34" s="471">
        <v>409</v>
      </c>
      <c r="G34" s="471">
        <v>988</v>
      </c>
      <c r="H34" s="471">
        <v>361</v>
      </c>
      <c r="I34" s="35">
        <f t="shared" si="6"/>
        <v>24444</v>
      </c>
      <c r="J34" s="39">
        <f>'Master escapements'!F48</f>
        <v>47372</v>
      </c>
      <c r="K34" s="35">
        <f t="shared" si="1"/>
        <v>71816</v>
      </c>
      <c r="L34" s="496"/>
      <c r="M34" s="18">
        <f t="shared" si="2"/>
        <v>10558</v>
      </c>
      <c r="N34" s="18">
        <f t="shared" si="3"/>
        <v>13886</v>
      </c>
      <c r="O34" s="18">
        <f t="shared" si="0"/>
        <v>47372</v>
      </c>
      <c r="P34" s="18">
        <f>'Master goals'!$D$13</f>
        <v>30000</v>
      </c>
      <c r="Q34" s="18">
        <f>'Master goals'!$E$13</f>
        <v>70000</v>
      </c>
      <c r="R34" s="476">
        <v>639750</v>
      </c>
      <c r="S34" s="36">
        <f t="shared" si="7"/>
        <v>11.225635013677218</v>
      </c>
      <c r="T34" s="35">
        <f t="shared" ref="T34" si="22">SUM(M34:O34)</f>
        <v>71816</v>
      </c>
      <c r="U34" s="35">
        <f t="shared" si="9"/>
        <v>12723.407270923393</v>
      </c>
      <c r="V34" s="35">
        <f t="shared" si="10"/>
        <v>11401.455436682878</v>
      </c>
      <c r="W34" s="35">
        <f>'Berners River'!K44</f>
        <v>15649</v>
      </c>
      <c r="X34" s="520">
        <f t="shared" si="5"/>
        <v>2.0856201975850714E-2</v>
      </c>
    </row>
    <row r="35" spans="1:28" x14ac:dyDescent="0.2">
      <c r="A35" s="58">
        <v>2016</v>
      </c>
      <c r="B35" s="474">
        <v>56</v>
      </c>
      <c r="C35" s="471">
        <v>2412</v>
      </c>
      <c r="D35" s="471">
        <v>0</v>
      </c>
      <c r="E35" s="471">
        <v>10771</v>
      </c>
      <c r="F35" s="471">
        <v>237</v>
      </c>
      <c r="G35" s="471">
        <v>512</v>
      </c>
      <c r="H35" s="471">
        <v>310</v>
      </c>
      <c r="I35" s="35">
        <f t="shared" ref="I35" si="23">SUM(C35:H35)</f>
        <v>14242</v>
      </c>
      <c r="J35" s="39">
        <f>'Master escapements'!F49</f>
        <v>26280</v>
      </c>
      <c r="K35" s="35">
        <f t="shared" ref="K35" si="24">J35+I35</f>
        <v>40522</v>
      </c>
      <c r="L35" s="496"/>
      <c r="M35" s="18">
        <f>C35</f>
        <v>2412</v>
      </c>
      <c r="N35" s="18">
        <f>SUM(D35:H35)</f>
        <v>11830</v>
      </c>
      <c r="O35" s="18">
        <f t="shared" ref="O35" si="25">J35</f>
        <v>26280</v>
      </c>
      <c r="P35" s="18">
        <f>'Master goals'!$D$13</f>
        <v>30000</v>
      </c>
      <c r="Q35" s="18">
        <f>'Master goals'!$E$13</f>
        <v>70000</v>
      </c>
      <c r="R35" s="476">
        <v>688274</v>
      </c>
      <c r="S35" s="36">
        <f t="shared" si="7"/>
        <v>5.8874808579141442</v>
      </c>
      <c r="T35" s="35">
        <f>K35</f>
        <v>40522</v>
      </c>
      <c r="U35" s="35">
        <f t="shared" si="9"/>
        <v>7179.1510169371413</v>
      </c>
      <c r="V35" s="35">
        <f t="shared" si="10"/>
        <v>6433.242970998992</v>
      </c>
      <c r="W35" s="35">
        <f>'Berners River'!K45</f>
        <v>9948.2170047798718</v>
      </c>
      <c r="X35" s="520">
        <f t="shared" si="5"/>
        <v>1.9482496194824964E-2</v>
      </c>
    </row>
    <row r="36" spans="1:28" x14ac:dyDescent="0.2">
      <c r="A36" s="58">
        <v>2017</v>
      </c>
      <c r="B36" s="474">
        <v>49</v>
      </c>
      <c r="C36" s="471">
        <v>5868</v>
      </c>
      <c r="D36" s="471">
        <v>0</v>
      </c>
      <c r="E36" s="471">
        <v>9122</v>
      </c>
      <c r="F36" s="471">
        <v>1579</v>
      </c>
      <c r="G36" s="471">
        <v>1239</v>
      </c>
      <c r="H36" s="471">
        <v>257</v>
      </c>
      <c r="I36" s="35">
        <f t="shared" si="6"/>
        <v>18065</v>
      </c>
      <c r="J36" s="39">
        <f>'Master escapements'!F50</f>
        <v>34482</v>
      </c>
      <c r="K36" s="35">
        <f t="shared" si="1"/>
        <v>52547</v>
      </c>
      <c r="L36" s="496"/>
      <c r="M36" s="18">
        <f>C36</f>
        <v>5868</v>
      </c>
      <c r="N36" s="18">
        <f>SUM(D36:H36)</f>
        <v>12197</v>
      </c>
      <c r="O36" s="18">
        <f t="shared" si="0"/>
        <v>34482</v>
      </c>
      <c r="P36" s="18">
        <f>'Master goals'!$D$13</f>
        <v>30000</v>
      </c>
      <c r="Q36" s="18">
        <f>'Master goals'!$E$13</f>
        <v>70000</v>
      </c>
      <c r="R36" s="476">
        <v>666396.33333333337</v>
      </c>
      <c r="S36" s="36">
        <f>K36/R36*100</f>
        <v>7.8852474678482123</v>
      </c>
      <c r="T36" s="35">
        <f>SUM(M36:O36)</f>
        <v>52547</v>
      </c>
      <c r="U36" s="35">
        <f>T36/U$18</f>
        <v>9309.58117780455</v>
      </c>
      <c r="V36" s="35">
        <f t="shared" si="10"/>
        <v>8342.3231429120988</v>
      </c>
      <c r="W36" s="35">
        <f>'Berners River'!K46</f>
        <v>14298</v>
      </c>
      <c r="X36" s="520">
        <f>G36/J36</f>
        <v>3.5931790499390985E-2</v>
      </c>
    </row>
    <row r="37" spans="1:28" ht="15" x14ac:dyDescent="0.25">
      <c r="A37" s="58">
        <v>2018</v>
      </c>
      <c r="B37" s="474">
        <v>20</v>
      </c>
      <c r="C37" s="471">
        <v>8813</v>
      </c>
      <c r="D37" s="471">
        <v>0</v>
      </c>
      <c r="E37" s="471">
        <v>9274</v>
      </c>
      <c r="F37" s="471">
        <v>885</v>
      </c>
      <c r="G37" s="475">
        <f>J37*X37</f>
        <v>1385.2628990591863</v>
      </c>
      <c r="H37" s="471">
        <v>249</v>
      </c>
      <c r="I37" s="35">
        <f t="shared" ref="I37" si="26">SUM(C37:H37)</f>
        <v>20606.262899059187</v>
      </c>
      <c r="J37" s="39">
        <f>'Master escapements'!F51</f>
        <v>66085</v>
      </c>
      <c r="K37" s="35">
        <f t="shared" si="1"/>
        <v>86691.262899059191</v>
      </c>
      <c r="L37" s="496"/>
      <c r="M37" s="18">
        <f>C37</f>
        <v>8813</v>
      </c>
      <c r="N37" s="18">
        <f>SUM(D37:H37)</f>
        <v>11793.262899059186</v>
      </c>
      <c r="O37" s="18">
        <f t="shared" ref="O37" si="27">J37</f>
        <v>66085</v>
      </c>
      <c r="P37" s="18">
        <f>'Master goals'!$D$13</f>
        <v>30000</v>
      </c>
      <c r="Q37" s="18">
        <f>'Master goals'!$E$13</f>
        <v>70000</v>
      </c>
      <c r="R37" s="518">
        <f>'Master smolts'!D45</f>
        <v>1224774.75</v>
      </c>
      <c r="S37" s="36">
        <f>K37/R37*100</f>
        <v>7.0781392985983089</v>
      </c>
      <c r="T37" s="35">
        <f>SUM(M37:O37)</f>
        <v>86691.262899059191</v>
      </c>
      <c r="U37" s="35">
        <f>T37/U$18</f>
        <v>15358.809244394301</v>
      </c>
      <c r="V37" s="35">
        <f>T37*U$1</f>
        <v>13763.041253945961</v>
      </c>
      <c r="W37" s="35">
        <f>'Berners River'!K47</f>
        <v>7780</v>
      </c>
      <c r="X37" s="526">
        <f>AVERAGE(X19:X36)</f>
        <v>2.0961835500630799E-2</v>
      </c>
    </row>
    <row r="38" spans="1:28" ht="15" customHeight="1" x14ac:dyDescent="0.2">
      <c r="A38" s="70" t="s">
        <v>357</v>
      </c>
      <c r="B38" s="71"/>
      <c r="C38" s="71">
        <f>AVERAGE(C19:C36)</f>
        <v>25454.611111111109</v>
      </c>
      <c r="D38" s="71">
        <f t="shared" ref="D38:I38" si="28">AVERAGE(D19:D36)</f>
        <v>446.72222222222223</v>
      </c>
      <c r="E38" s="71">
        <f t="shared" si="28"/>
        <v>22012.944444444445</v>
      </c>
      <c r="F38" s="71">
        <f t="shared" si="28"/>
        <v>1357.8333333333333</v>
      </c>
      <c r="G38" s="71">
        <f t="shared" si="28"/>
        <v>1352.4444444444443</v>
      </c>
      <c r="H38" s="71">
        <f t="shared" si="28"/>
        <v>346.44444444444446</v>
      </c>
      <c r="I38" s="71">
        <f t="shared" si="28"/>
        <v>50971</v>
      </c>
      <c r="J38" s="71">
        <f>AVERAGE(J19:J36)</f>
        <v>72940.5</v>
      </c>
      <c r="K38" s="71">
        <f>AVERAGE(K19:K36)</f>
        <v>123911.5</v>
      </c>
      <c r="L38" s="496"/>
      <c r="M38" s="40"/>
      <c r="N38" s="52"/>
      <c r="O38" s="53"/>
      <c r="P38" s="52"/>
      <c r="Q38" s="52"/>
      <c r="S38" s="36">
        <f>AVERAGE(S19:S36)</f>
        <v>10.682889480701355</v>
      </c>
    </row>
    <row r="39" spans="1:28" ht="15.75" x14ac:dyDescent="0.2">
      <c r="A39" s="22" t="s">
        <v>397</v>
      </c>
    </row>
    <row r="40" spans="1:28" x14ac:dyDescent="0.2">
      <c r="A40" s="57"/>
      <c r="B40" s="57"/>
      <c r="C40" s="57"/>
      <c r="D40" s="57"/>
      <c r="E40" s="57"/>
      <c r="F40" s="57"/>
      <c r="G40" s="57"/>
      <c r="H40" s="57"/>
      <c r="I40" s="57"/>
      <c r="J40" s="57">
        <f>AVERAGE(J6:J36)</f>
        <v>69959.008452250724</v>
      </c>
      <c r="K40" s="57"/>
      <c r="L40" s="57"/>
      <c r="M40" s="57"/>
      <c r="N40" s="57"/>
    </row>
    <row r="41" spans="1:28" ht="15.75" x14ac:dyDescent="0.25">
      <c r="A41" s="76" t="s">
        <v>54</v>
      </c>
      <c r="B41" s="57"/>
      <c r="C41" s="57"/>
      <c r="D41" s="57"/>
      <c r="E41" s="57"/>
      <c r="F41" s="57"/>
      <c r="G41" s="57"/>
      <c r="H41" s="57"/>
      <c r="I41" s="57"/>
      <c r="J41" s="57"/>
      <c r="K41" s="57"/>
      <c r="L41" s="57"/>
      <c r="M41" s="57"/>
      <c r="N41" s="57"/>
    </row>
    <row r="42" spans="1:28" x14ac:dyDescent="0.2">
      <c r="L42" s="57"/>
      <c r="M42" s="57"/>
      <c r="N42" s="57"/>
      <c r="Y42">
        <f>1/5.6733702</f>
        <v>0.17626207434868255</v>
      </c>
    </row>
    <row r="43" spans="1:28" x14ac:dyDescent="0.2">
      <c r="A43" s="49"/>
      <c r="B43" s="73" t="s">
        <v>33</v>
      </c>
      <c r="C43" s="74"/>
      <c r="D43" s="74"/>
      <c r="E43" s="74"/>
      <c r="F43" s="74" t="s">
        <v>36</v>
      </c>
      <c r="G43" s="75"/>
      <c r="H43" s="75"/>
      <c r="I43" s="74"/>
      <c r="J43" s="74"/>
      <c r="K43" s="74"/>
      <c r="L43" s="57"/>
      <c r="M43" s="57"/>
      <c r="N43" s="57"/>
      <c r="Y43">
        <f>1/5.6189582</f>
        <v>0.17796893381410098</v>
      </c>
    </row>
    <row r="44" spans="1:28" x14ac:dyDescent="0.2">
      <c r="A44" s="22"/>
      <c r="B44" s="37" t="s">
        <v>37</v>
      </c>
      <c r="C44" s="28"/>
      <c r="D44" s="28"/>
      <c r="E44" s="28" t="s">
        <v>38</v>
      </c>
      <c r="F44" s="28" t="s">
        <v>22</v>
      </c>
      <c r="G44" s="28"/>
      <c r="H44" s="28"/>
      <c r="I44" s="28" t="s">
        <v>29</v>
      </c>
      <c r="J44" s="28"/>
      <c r="K44" s="28" t="s">
        <v>27</v>
      </c>
      <c r="L44" s="57"/>
      <c r="M44" s="521"/>
      <c r="N44" s="57"/>
      <c r="AB44">
        <f>1/6.29884495</f>
        <v>0.15875926585555974</v>
      </c>
    </row>
    <row r="45" spans="1:28" x14ac:dyDescent="0.2">
      <c r="A45" s="30" t="s">
        <v>3</v>
      </c>
      <c r="B45" s="31" t="s">
        <v>39</v>
      </c>
      <c r="C45" s="31" t="s">
        <v>52</v>
      </c>
      <c r="D45" s="31" t="s">
        <v>15</v>
      </c>
      <c r="E45" s="31" t="s">
        <v>16</v>
      </c>
      <c r="F45" s="31" t="s">
        <v>17</v>
      </c>
      <c r="G45" s="31" t="s">
        <v>0</v>
      </c>
      <c r="H45" s="31" t="s">
        <v>51</v>
      </c>
      <c r="I45" s="31" t="s">
        <v>23</v>
      </c>
      <c r="J45" s="31" t="s">
        <v>40</v>
      </c>
      <c r="K45" s="31" t="s">
        <v>53</v>
      </c>
      <c r="L45" s="57"/>
      <c r="M45" s="521"/>
      <c r="N45" s="57"/>
    </row>
    <row r="46" spans="1:28" x14ac:dyDescent="0.2">
      <c r="A46" s="32">
        <v>2000</v>
      </c>
      <c r="B46" s="57">
        <f t="shared" ref="B46:B64" si="29">B19</f>
        <v>265</v>
      </c>
      <c r="C46" s="36">
        <f>C19/$K19*100</f>
        <v>15.967662049241879</v>
      </c>
      <c r="D46" s="36">
        <f t="shared" ref="D46:K46" si="30">D19/$K19*100</f>
        <v>0.69980347984470115</v>
      </c>
      <c r="E46" s="36">
        <f t="shared" si="30"/>
        <v>13.624598571633994</v>
      </c>
      <c r="F46" s="36">
        <f t="shared" si="30"/>
        <v>1.2214606400485708</v>
      </c>
      <c r="G46" s="36">
        <f t="shared" si="30"/>
        <v>0.54961734490086112</v>
      </c>
      <c r="H46" s="36">
        <f t="shared" si="30"/>
        <v>0.15897362156289443</v>
      </c>
      <c r="I46" s="36">
        <f t="shared" si="30"/>
        <v>32.222115707232902</v>
      </c>
      <c r="J46" s="36">
        <f t="shared" si="30"/>
        <v>67.777884292767098</v>
      </c>
      <c r="K46" s="36">
        <f t="shared" si="30"/>
        <v>100</v>
      </c>
    </row>
    <row r="47" spans="1:28" x14ac:dyDescent="0.2">
      <c r="A47" s="32">
        <v>2001</v>
      </c>
      <c r="B47" s="57">
        <f t="shared" si="29"/>
        <v>250</v>
      </c>
      <c r="C47" s="36">
        <f t="shared" ref="C47:K47" si="31">C20/$K20*100</f>
        <v>19.545760754499085</v>
      </c>
      <c r="D47" s="36">
        <f t="shared" si="31"/>
        <v>0.38559009399159527</v>
      </c>
      <c r="E47" s="36">
        <f t="shared" si="31"/>
        <v>8.6202803708337346</v>
      </c>
      <c r="F47" s="36">
        <f t="shared" si="31"/>
        <v>0.99060084047092023</v>
      </c>
      <c r="G47" s="36">
        <f t="shared" si="31"/>
        <v>1.2805953870336511</v>
      </c>
      <c r="H47" s="36">
        <f t="shared" si="31"/>
        <v>8.0839187758637285E-2</v>
      </c>
      <c r="I47" s="36">
        <f t="shared" si="31"/>
        <v>30.903666634587623</v>
      </c>
      <c r="J47" s="36">
        <f t="shared" si="31"/>
        <v>69.096333365412377</v>
      </c>
      <c r="K47" s="36">
        <f t="shared" si="31"/>
        <v>100</v>
      </c>
    </row>
    <row r="48" spans="1:28" ht="15" x14ac:dyDescent="0.25">
      <c r="A48" s="32">
        <v>2002</v>
      </c>
      <c r="B48" s="57">
        <f t="shared" si="29"/>
        <v>325</v>
      </c>
      <c r="C48" s="36">
        <f t="shared" ref="C48:K48" si="32">C21/$K21*100</f>
        <v>18.154971998682289</v>
      </c>
      <c r="D48" s="36">
        <f t="shared" si="32"/>
        <v>0.21148054026071816</v>
      </c>
      <c r="E48" s="36">
        <f t="shared" si="32"/>
        <v>19.571803378982541</v>
      </c>
      <c r="F48" s="36">
        <f t="shared" si="32"/>
        <v>0.63502988375923575</v>
      </c>
      <c r="G48" s="36">
        <f t="shared" si="32"/>
        <v>0.98298743470280958</v>
      </c>
      <c r="H48" s="36">
        <f t="shared" si="32"/>
        <v>0.16883147442232574</v>
      </c>
      <c r="I48" s="36">
        <f t="shared" si="32"/>
        <v>39.725104710809923</v>
      </c>
      <c r="J48" s="36">
        <f t="shared" si="32"/>
        <v>60.274895289190077</v>
      </c>
      <c r="K48" s="36">
        <f t="shared" si="32"/>
        <v>100</v>
      </c>
      <c r="M48" s="527"/>
      <c r="N48" s="527"/>
    </row>
    <row r="49" spans="1:14" ht="15" x14ac:dyDescent="0.25">
      <c r="A49" s="32">
        <v>2003</v>
      </c>
      <c r="B49" s="57">
        <f t="shared" si="29"/>
        <v>426</v>
      </c>
      <c r="C49" s="36">
        <f t="shared" ref="C49:K49" si="33">C22/$K22*100</f>
        <v>23.562620371131011</v>
      </c>
      <c r="D49" s="36">
        <f t="shared" si="33"/>
        <v>0.47692068968664714</v>
      </c>
      <c r="E49" s="36">
        <f t="shared" si="33"/>
        <v>12.10328869903338</v>
      </c>
      <c r="F49" s="36">
        <f t="shared" si="33"/>
        <v>1.7707677282145369</v>
      </c>
      <c r="G49" s="36">
        <f t="shared" si="33"/>
        <v>1.1103808976149403</v>
      </c>
      <c r="H49" s="36">
        <f t="shared" si="33"/>
        <v>0.22727895068320603</v>
      </c>
      <c r="I49" s="36">
        <f t="shared" si="33"/>
        <v>39.251257336363722</v>
      </c>
      <c r="J49" s="36">
        <f t="shared" si="33"/>
        <v>60.748742663636278</v>
      </c>
      <c r="K49" s="36">
        <f t="shared" si="33"/>
        <v>100</v>
      </c>
      <c r="M49" s="527"/>
      <c r="N49" s="528"/>
    </row>
    <row r="50" spans="1:14" ht="15" x14ac:dyDescent="0.25">
      <c r="A50" s="32">
        <v>2004</v>
      </c>
      <c r="B50" s="57">
        <f t="shared" si="29"/>
        <v>254</v>
      </c>
      <c r="C50" s="36">
        <f t="shared" ref="C50:K50" si="34">C23/$K23*100</f>
        <v>42.421215985741284</v>
      </c>
      <c r="D50" s="36">
        <f t="shared" si="34"/>
        <v>0.52753151104487095</v>
      </c>
      <c r="E50" s="36">
        <f t="shared" si="34"/>
        <v>18.384217076655961</v>
      </c>
      <c r="F50" s="36">
        <f t="shared" si="34"/>
        <v>2.6463643859891728</v>
      </c>
      <c r="G50" s="36">
        <f t="shared" si="34"/>
        <v>1.4453339069598308</v>
      </c>
      <c r="H50" s="36">
        <f t="shared" si="34"/>
        <v>0.23303576458778277</v>
      </c>
      <c r="I50" s="36">
        <f t="shared" si="34"/>
        <v>65.657698630978899</v>
      </c>
      <c r="J50" s="36">
        <f t="shared" si="34"/>
        <v>34.342301369021094</v>
      </c>
      <c r="K50" s="36">
        <f t="shared" si="34"/>
        <v>100</v>
      </c>
      <c r="M50" s="527"/>
      <c r="N50" s="528"/>
    </row>
    <row r="51" spans="1:14" ht="15" x14ac:dyDescent="0.25">
      <c r="A51" s="32">
        <v>2005</v>
      </c>
      <c r="B51" s="57">
        <f t="shared" si="29"/>
        <v>141</v>
      </c>
      <c r="C51" s="36">
        <f t="shared" ref="C51:K51" si="35">C24/$K24*100</f>
        <v>26.700920245398773</v>
      </c>
      <c r="D51" s="36">
        <f t="shared" si="35"/>
        <v>0.4785276073619632</v>
      </c>
      <c r="E51" s="36">
        <f t="shared" si="35"/>
        <v>16.253067484662576</v>
      </c>
      <c r="F51" s="36">
        <f t="shared" si="35"/>
        <v>1.1794478527607362</v>
      </c>
      <c r="G51" s="36">
        <f t="shared" si="35"/>
        <v>1.8450920245398774</v>
      </c>
      <c r="H51" s="36">
        <f t="shared" si="35"/>
        <v>0.51380368098159512</v>
      </c>
      <c r="I51" s="36">
        <f t="shared" si="35"/>
        <v>46.970858895705518</v>
      </c>
      <c r="J51" s="36">
        <f t="shared" si="35"/>
        <v>53.029141104294474</v>
      </c>
      <c r="K51" s="36">
        <f t="shared" si="35"/>
        <v>100</v>
      </c>
      <c r="M51" s="527"/>
      <c r="N51" s="528"/>
    </row>
    <row r="52" spans="1:14" ht="15" x14ac:dyDescent="0.25">
      <c r="A52" s="32">
        <v>2006</v>
      </c>
      <c r="B52" s="57">
        <f t="shared" si="29"/>
        <v>200</v>
      </c>
      <c r="C52" s="36">
        <f t="shared" ref="C52:K52" si="36">C25/$K25*100</f>
        <v>25.520360122243329</v>
      </c>
      <c r="D52" s="36">
        <f t="shared" si="36"/>
        <v>5.7129484320365631E-2</v>
      </c>
      <c r="E52" s="36">
        <f t="shared" si="36"/>
        <v>16.805704688747554</v>
      </c>
      <c r="F52" s="36">
        <f t="shared" si="36"/>
        <v>1.7365986619311145</v>
      </c>
      <c r="G52" s="36">
        <f t="shared" si="36"/>
        <v>1.22656314528785</v>
      </c>
      <c r="H52" s="36">
        <f t="shared" si="36"/>
        <v>0.24297238512155503</v>
      </c>
      <c r="I52" s="36">
        <f t="shared" si="36"/>
        <v>45.58932848765177</v>
      </c>
      <c r="J52" s="36">
        <f t="shared" si="36"/>
        <v>54.41067151234823</v>
      </c>
      <c r="K52" s="36">
        <f t="shared" si="36"/>
        <v>100</v>
      </c>
      <c r="M52" s="527"/>
      <c r="N52" s="528"/>
    </row>
    <row r="53" spans="1:14" ht="15" x14ac:dyDescent="0.25">
      <c r="A53" s="32">
        <v>2007</v>
      </c>
      <c r="B53" s="57">
        <f t="shared" si="29"/>
        <v>73</v>
      </c>
      <c r="C53" s="36">
        <f t="shared" ref="C53:K53" si="37">C26/$K26*100</f>
        <v>24.319310164619807</v>
      </c>
      <c r="D53" s="36">
        <f t="shared" si="37"/>
        <v>0</v>
      </c>
      <c r="E53" s="36">
        <f t="shared" si="37"/>
        <v>9.2657434021426699</v>
      </c>
      <c r="F53" s="36">
        <f t="shared" si="37"/>
        <v>0</v>
      </c>
      <c r="G53" s="36">
        <f t="shared" si="37"/>
        <v>1.4110269140318787</v>
      </c>
      <c r="H53" s="36">
        <f t="shared" si="37"/>
        <v>0.279592370002613</v>
      </c>
      <c r="I53" s="36">
        <f t="shared" si="37"/>
        <v>35.275672850796965</v>
      </c>
      <c r="J53" s="36">
        <f t="shared" si="37"/>
        <v>64.724327149203035</v>
      </c>
      <c r="K53" s="36">
        <f t="shared" si="37"/>
        <v>100</v>
      </c>
      <c r="M53" s="527"/>
      <c r="N53" s="528"/>
    </row>
    <row r="54" spans="1:14" ht="15" x14ac:dyDescent="0.25">
      <c r="A54" s="32">
        <v>2008</v>
      </c>
      <c r="B54" s="57">
        <f t="shared" si="29"/>
        <v>358</v>
      </c>
      <c r="C54" s="36">
        <f t="shared" ref="C54:K54" si="38">C27/$K27*100</f>
        <v>19.418167022683349</v>
      </c>
      <c r="D54" s="36">
        <f t="shared" si="38"/>
        <v>0</v>
      </c>
      <c r="E54" s="36">
        <f t="shared" si="38"/>
        <v>26.731766859932865</v>
      </c>
      <c r="F54" s="36">
        <f t="shared" si="38"/>
        <v>0.6815176482555183</v>
      </c>
      <c r="G54" s="36">
        <f t="shared" si="38"/>
        <v>0.6824423669098677</v>
      </c>
      <c r="H54" s="36">
        <f t="shared" si="38"/>
        <v>0.36064027519627156</v>
      </c>
      <c r="I54" s="36">
        <f t="shared" si="38"/>
        <v>47.874534172977874</v>
      </c>
      <c r="J54" s="36">
        <f t="shared" si="38"/>
        <v>52.125465827022133</v>
      </c>
      <c r="K54" s="36">
        <f t="shared" si="38"/>
        <v>100</v>
      </c>
      <c r="N54" s="528"/>
    </row>
    <row r="55" spans="1:14" x14ac:dyDescent="0.2">
      <c r="A55" s="32">
        <v>2009</v>
      </c>
      <c r="B55" s="57">
        <f t="shared" si="29"/>
        <v>326</v>
      </c>
      <c r="C55" s="36">
        <f t="shared" ref="C55:K55" si="39">C28/$K28*100</f>
        <v>15.277350952673633</v>
      </c>
      <c r="D55" s="36">
        <f t="shared" si="39"/>
        <v>0.44304445810284776</v>
      </c>
      <c r="E55" s="36">
        <f t="shared" si="39"/>
        <v>19.657856996517108</v>
      </c>
      <c r="F55" s="36">
        <f t="shared" si="39"/>
        <v>4.7377586560131121E-2</v>
      </c>
      <c r="G55" s="36">
        <f t="shared" si="39"/>
        <v>2.6364986683056748</v>
      </c>
      <c r="H55" s="36">
        <f t="shared" si="39"/>
        <v>0.58901864372054913</v>
      </c>
      <c r="I55" s="36">
        <f t="shared" si="39"/>
        <v>38.651147305879938</v>
      </c>
      <c r="J55" s="36">
        <f t="shared" si="39"/>
        <v>61.348852694120062</v>
      </c>
      <c r="K55" s="36">
        <f t="shared" si="39"/>
        <v>100</v>
      </c>
    </row>
    <row r="56" spans="1:14" x14ac:dyDescent="0.2">
      <c r="A56" s="58">
        <v>2010</v>
      </c>
      <c r="B56" s="57">
        <f t="shared" si="29"/>
        <v>427</v>
      </c>
      <c r="C56" s="36">
        <f t="shared" ref="C56:K56" si="40">C29/$K29*100</f>
        <v>18.807583159477005</v>
      </c>
      <c r="D56" s="36">
        <f t="shared" si="40"/>
        <v>0.24555856474582421</v>
      </c>
      <c r="E56" s="36">
        <f t="shared" si="40"/>
        <v>24.447007295486646</v>
      </c>
      <c r="F56" s="36">
        <f t="shared" si="40"/>
        <v>0.97251558227831703</v>
      </c>
      <c r="G56" s="36">
        <f t="shared" si="40"/>
        <v>0.2909123893690635</v>
      </c>
      <c r="H56" s="36">
        <f t="shared" si="40"/>
        <v>0.22288165243420457</v>
      </c>
      <c r="I56" s="36">
        <f t="shared" si="40"/>
        <v>44.98645864379106</v>
      </c>
      <c r="J56" s="36">
        <f t="shared" si="40"/>
        <v>55.01354135620894</v>
      </c>
      <c r="K56" s="36">
        <f t="shared" si="40"/>
        <v>100</v>
      </c>
    </row>
    <row r="57" spans="1:14" x14ac:dyDescent="0.2">
      <c r="A57" s="58">
        <v>2011</v>
      </c>
      <c r="B57" s="57">
        <f t="shared" si="29"/>
        <v>219</v>
      </c>
      <c r="C57" s="36">
        <f t="shared" ref="C57:K57" si="41">C30/$K30*100</f>
        <v>19.779983626688498</v>
      </c>
      <c r="D57" s="36">
        <f t="shared" si="41"/>
        <v>1.2290216946377406</v>
      </c>
      <c r="E57" s="36">
        <f t="shared" si="41"/>
        <v>14.184404420794106</v>
      </c>
      <c r="F57" s="36">
        <f t="shared" si="41"/>
        <v>0.76442898076135901</v>
      </c>
      <c r="G57" s="36">
        <f t="shared" si="41"/>
        <v>1.2116250511665985</v>
      </c>
      <c r="H57" s="36">
        <f t="shared" si="41"/>
        <v>0.30597625869832173</v>
      </c>
      <c r="I57" s="36">
        <f t="shared" si="41"/>
        <v>37.475440032746619</v>
      </c>
      <c r="J57" s="36">
        <f t="shared" si="41"/>
        <v>62.524559967253381</v>
      </c>
      <c r="K57" s="36">
        <f t="shared" si="41"/>
        <v>100</v>
      </c>
    </row>
    <row r="58" spans="1:14" x14ac:dyDescent="0.2">
      <c r="A58" s="58">
        <v>2012</v>
      </c>
      <c r="B58" s="57">
        <f t="shared" si="29"/>
        <v>164</v>
      </c>
      <c r="C58" s="36">
        <f t="shared" ref="C58:K58" si="42">C31/$K31*100</f>
        <v>17.544587308170883</v>
      </c>
      <c r="D58" s="36">
        <f t="shared" si="42"/>
        <v>0</v>
      </c>
      <c r="E58" s="36">
        <f t="shared" si="42"/>
        <v>23.696944559657126</v>
      </c>
      <c r="F58" s="36">
        <f t="shared" si="42"/>
        <v>1.0476673272193804</v>
      </c>
      <c r="G58" s="36">
        <f t="shared" si="42"/>
        <v>0.60985913329339292</v>
      </c>
      <c r="H58" s="36">
        <f t="shared" si="42"/>
        <v>0.32259551131388542</v>
      </c>
      <c r="I58" s="36">
        <f t="shared" si="42"/>
        <v>43.221653839654664</v>
      </c>
      <c r="J58" s="36">
        <f t="shared" si="42"/>
        <v>56.778346160345329</v>
      </c>
      <c r="K58" s="36">
        <f t="shared" si="42"/>
        <v>100</v>
      </c>
    </row>
    <row r="59" spans="1:14" x14ac:dyDescent="0.2">
      <c r="A59" s="58">
        <v>2013</v>
      </c>
      <c r="B59" s="57">
        <f t="shared" si="29"/>
        <v>355</v>
      </c>
      <c r="C59" s="36">
        <f t="shared" ref="C59:K59" si="43">C32/$K32*100</f>
        <v>20.914618593514732</v>
      </c>
      <c r="D59" s="36">
        <f t="shared" si="43"/>
        <v>0.71829977702263503</v>
      </c>
      <c r="E59" s="36">
        <f t="shared" si="43"/>
        <v>34.364843627866406</v>
      </c>
      <c r="F59" s="36">
        <f t="shared" si="43"/>
        <v>0.57266511432732414</v>
      </c>
      <c r="G59" s="36">
        <f t="shared" si="43"/>
        <v>0.83431383035618789</v>
      </c>
      <c r="H59" s="36">
        <f t="shared" si="43"/>
        <v>0.36614364349951045</v>
      </c>
      <c r="I59" s="36">
        <f t="shared" si="43"/>
        <v>57.770884586586803</v>
      </c>
      <c r="J59" s="36">
        <f t="shared" si="43"/>
        <v>42.229115413413197</v>
      </c>
      <c r="K59" s="36">
        <f t="shared" si="43"/>
        <v>100</v>
      </c>
    </row>
    <row r="60" spans="1:14" x14ac:dyDescent="0.2">
      <c r="A60" s="58">
        <v>2014</v>
      </c>
      <c r="B60" s="57">
        <f t="shared" si="29"/>
        <v>88</v>
      </c>
      <c r="C60" s="36">
        <f t="shared" ref="C60:K60" si="44">C33/$K33*100</f>
        <v>6.89827095784461</v>
      </c>
      <c r="D60" s="36">
        <f t="shared" si="44"/>
        <v>0</v>
      </c>
      <c r="E60" s="36">
        <f t="shared" si="44"/>
        <v>8.7807216593691084</v>
      </c>
      <c r="F60" s="36">
        <f t="shared" si="44"/>
        <v>0.15660455751222474</v>
      </c>
      <c r="G60" s="36">
        <f t="shared" si="44"/>
        <v>0.61235577998657675</v>
      </c>
      <c r="H60" s="36">
        <f t="shared" si="44"/>
        <v>0.32791076736233182</v>
      </c>
      <c r="I60" s="36">
        <f t="shared" si="44"/>
        <v>16.775863722074853</v>
      </c>
      <c r="J60" s="36">
        <f t="shared" si="44"/>
        <v>83.224136277925155</v>
      </c>
      <c r="K60" s="36">
        <f t="shared" si="44"/>
        <v>100</v>
      </c>
    </row>
    <row r="61" spans="1:14" x14ac:dyDescent="0.2">
      <c r="A61" s="58">
        <v>2015</v>
      </c>
      <c r="B61" s="57">
        <f t="shared" si="29"/>
        <v>90</v>
      </c>
      <c r="C61" s="36">
        <f t="shared" ref="C61:K61" si="45">C34/$K34*100</f>
        <v>14.701459284839032</v>
      </c>
      <c r="D61" s="36">
        <f t="shared" si="45"/>
        <v>0.80204968252200071</v>
      </c>
      <c r="E61" s="36">
        <f t="shared" si="45"/>
        <v>16.085551966135682</v>
      </c>
      <c r="F61" s="36">
        <f t="shared" si="45"/>
        <v>0.56951097248524007</v>
      </c>
      <c r="G61" s="36">
        <f t="shared" si="45"/>
        <v>1.3757379971037094</v>
      </c>
      <c r="H61" s="36">
        <f t="shared" si="45"/>
        <v>0.50267349894174007</v>
      </c>
      <c r="I61" s="36">
        <f t="shared" si="45"/>
        <v>34.036983402027403</v>
      </c>
      <c r="J61" s="36">
        <f t="shared" si="45"/>
        <v>65.963016597972597</v>
      </c>
      <c r="K61" s="36">
        <f t="shared" si="45"/>
        <v>100</v>
      </c>
    </row>
    <row r="62" spans="1:14" x14ac:dyDescent="0.2">
      <c r="A62" s="58">
        <v>2016</v>
      </c>
      <c r="B62" s="57">
        <f t="shared" si="29"/>
        <v>56</v>
      </c>
      <c r="C62" s="36">
        <f t="shared" ref="C62:K62" si="46">C35/$K35*100</f>
        <v>5.952322195350674</v>
      </c>
      <c r="D62" s="36">
        <f t="shared" si="46"/>
        <v>0</v>
      </c>
      <c r="E62" s="36">
        <f t="shared" si="46"/>
        <v>26.580622871526575</v>
      </c>
      <c r="F62" s="36">
        <f t="shared" si="46"/>
        <v>0.58486747939390948</v>
      </c>
      <c r="G62" s="36">
        <f t="shared" si="46"/>
        <v>1.2635111791125808</v>
      </c>
      <c r="H62" s="36">
        <f t="shared" si="46"/>
        <v>0.76501653422832039</v>
      </c>
      <c r="I62" s="36">
        <f t="shared" si="46"/>
        <v>35.14634025961206</v>
      </c>
      <c r="J62" s="36">
        <f t="shared" si="46"/>
        <v>64.85365974038794</v>
      </c>
      <c r="K62" s="36">
        <f t="shared" si="46"/>
        <v>100</v>
      </c>
      <c r="L62" s="36"/>
    </row>
    <row r="63" spans="1:14" x14ac:dyDescent="0.2">
      <c r="A63" s="58">
        <v>2017</v>
      </c>
      <c r="B63" s="57">
        <f t="shared" si="29"/>
        <v>49</v>
      </c>
      <c r="C63" s="36">
        <f t="shared" ref="C63:K64" si="47">C36/$K36*100</f>
        <v>11.167145602983995</v>
      </c>
      <c r="D63" s="36">
        <f t="shared" si="47"/>
        <v>0</v>
      </c>
      <c r="E63" s="36">
        <f t="shared" si="47"/>
        <v>17.359697033132242</v>
      </c>
      <c r="F63" s="36">
        <f t="shared" si="47"/>
        <v>3.0049289207756864</v>
      </c>
      <c r="G63" s="36">
        <f t="shared" si="47"/>
        <v>2.3578891278284204</v>
      </c>
      <c r="H63" s="36">
        <f t="shared" si="47"/>
        <v>0.48908596113955122</v>
      </c>
      <c r="I63" s="36">
        <f t="shared" si="47"/>
        <v>34.378746645859898</v>
      </c>
      <c r="J63" s="36">
        <f t="shared" si="47"/>
        <v>65.621253354140109</v>
      </c>
      <c r="K63" s="36">
        <f t="shared" si="47"/>
        <v>100</v>
      </c>
    </row>
    <row r="64" spans="1:14" x14ac:dyDescent="0.2">
      <c r="A64" s="58">
        <v>2018</v>
      </c>
      <c r="B64" s="472">
        <f t="shared" si="29"/>
        <v>20</v>
      </c>
      <c r="C64" s="36">
        <f t="shared" si="47"/>
        <v>10.165961026847196</v>
      </c>
      <c r="D64" s="36">
        <f t="shared" si="47"/>
        <v>0</v>
      </c>
      <c r="E64" s="36">
        <f t="shared" si="47"/>
        <v>10.697733185405752</v>
      </c>
      <c r="F64" s="36">
        <f t="shared" si="47"/>
        <v>1.0208641221785735</v>
      </c>
      <c r="G64" s="36">
        <f t="shared" si="47"/>
        <v>1.5979267722424881</v>
      </c>
      <c r="H64" s="36">
        <f t="shared" si="47"/>
        <v>0.28722617674854778</v>
      </c>
      <c r="I64" s="36">
        <f t="shared" si="47"/>
        <v>23.769711283422559</v>
      </c>
      <c r="J64" s="36">
        <f t="shared" si="47"/>
        <v>76.230288716577434</v>
      </c>
      <c r="K64" s="36">
        <f t="shared" si="47"/>
        <v>100</v>
      </c>
    </row>
    <row r="65" spans="1:33" x14ac:dyDescent="0.2">
      <c r="A65" s="70" t="s">
        <v>357</v>
      </c>
      <c r="B65" s="71"/>
      <c r="C65" s="72">
        <f t="shared" ref="C65:K65" si="48">AVERAGE(C46:C63)</f>
        <v>19.258572799765766</v>
      </c>
      <c r="D65" s="72">
        <f t="shared" si="48"/>
        <v>0.34860875464121721</v>
      </c>
      <c r="E65" s="72">
        <f t="shared" si="48"/>
        <v>18.139895609061689</v>
      </c>
      <c r="F65" s="72">
        <f t="shared" si="48"/>
        <v>1.0323530090412989</v>
      </c>
      <c r="G65" s="72">
        <f t="shared" si="48"/>
        <v>1.2070412543613207</v>
      </c>
      <c r="H65" s="72">
        <f t="shared" si="48"/>
        <v>0.34207056564751648</v>
      </c>
      <c r="I65" s="72">
        <f t="shared" si="48"/>
        <v>40.328541992518815</v>
      </c>
      <c r="J65" s="72">
        <f t="shared" si="48"/>
        <v>59.671458007481192</v>
      </c>
      <c r="K65" s="72">
        <f t="shared" si="48"/>
        <v>100</v>
      </c>
    </row>
    <row r="68" spans="1:33" ht="14.25" x14ac:dyDescent="0.2">
      <c r="A68" s="545" t="s">
        <v>383</v>
      </c>
      <c r="B68" s="545"/>
      <c r="C68" s="545"/>
      <c r="D68" s="545"/>
      <c r="E68" s="545"/>
      <c r="F68" s="545"/>
    </row>
    <row r="69" spans="1:33" ht="13.5" thickBot="1" x14ac:dyDescent="0.25">
      <c r="A69" s="22"/>
      <c r="B69" s="22"/>
      <c r="C69" s="22"/>
      <c r="D69" s="22"/>
      <c r="E69" s="22"/>
      <c r="F69" s="22"/>
      <c r="AG69">
        <f>1/AG70</f>
        <v>0.15879569346079336</v>
      </c>
    </row>
    <row r="70" spans="1:33" ht="15.75" thickBot="1" x14ac:dyDescent="0.25">
      <c r="A70" s="486"/>
      <c r="B70" s="308"/>
      <c r="C70" s="487"/>
      <c r="D70" s="546" t="s">
        <v>384</v>
      </c>
      <c r="E70" s="546"/>
      <c r="F70" s="308"/>
      <c r="AG70">
        <f>6.2974</f>
        <v>6.2973999999999997</v>
      </c>
    </row>
    <row r="71" spans="1:33" ht="17.25" thickBot="1" x14ac:dyDescent="0.25">
      <c r="A71" s="488"/>
      <c r="B71" s="489" t="s">
        <v>385</v>
      </c>
      <c r="C71" s="489" t="s">
        <v>386</v>
      </c>
      <c r="D71" s="489" t="s">
        <v>387</v>
      </c>
      <c r="E71" s="489" t="s">
        <v>388</v>
      </c>
      <c r="F71" s="489" t="s">
        <v>389</v>
      </c>
    </row>
    <row r="72" spans="1:33" ht="15" x14ac:dyDescent="0.2">
      <c r="A72" s="490">
        <v>1987</v>
      </c>
      <c r="B72" s="490">
        <v>99</v>
      </c>
      <c r="C72" s="490">
        <v>197</v>
      </c>
      <c r="D72" s="490">
        <v>792</v>
      </c>
      <c r="E72" s="490">
        <v>25</v>
      </c>
      <c r="F72" s="490">
        <f>SUM(B72:E72)</f>
        <v>1113</v>
      </c>
      <c r="G72" s="493">
        <f t="shared" ref="G72:G100" si="49">C72/(B72+D72+E72)</f>
        <v>0.21506550218340612</v>
      </c>
    </row>
    <row r="73" spans="1:33" ht="15" x14ac:dyDescent="0.2">
      <c r="A73" s="490">
        <v>1988</v>
      </c>
      <c r="B73" s="490">
        <v>87</v>
      </c>
      <c r="C73" s="490">
        <v>160</v>
      </c>
      <c r="D73" s="490">
        <v>590</v>
      </c>
      <c r="E73" s="490">
        <v>40</v>
      </c>
      <c r="F73" s="490">
        <f t="shared" ref="F73:F102" si="50">SUM(B73:E73)</f>
        <v>877</v>
      </c>
      <c r="G73" s="493">
        <f t="shared" si="49"/>
        <v>0.22315202231520223</v>
      </c>
    </row>
    <row r="74" spans="1:33" ht="15" x14ac:dyDescent="0.2">
      <c r="A74" s="490">
        <v>1989</v>
      </c>
      <c r="B74" s="490">
        <v>57</v>
      </c>
      <c r="C74" s="490">
        <v>190</v>
      </c>
      <c r="D74" s="490">
        <v>1064</v>
      </c>
      <c r="E74" s="490">
        <v>141</v>
      </c>
      <c r="F74" s="490">
        <f t="shared" si="50"/>
        <v>1452</v>
      </c>
      <c r="G74" s="493">
        <f t="shared" si="49"/>
        <v>0.15055467511885895</v>
      </c>
    </row>
    <row r="75" spans="1:33" ht="15" x14ac:dyDescent="0.2">
      <c r="A75" s="490">
        <v>1990</v>
      </c>
      <c r="B75" s="490">
        <v>88</v>
      </c>
      <c r="C75" s="490">
        <v>379</v>
      </c>
      <c r="D75" s="490">
        <v>2766</v>
      </c>
      <c r="E75" s="490">
        <v>150</v>
      </c>
      <c r="F75" s="490">
        <f t="shared" si="50"/>
        <v>3383</v>
      </c>
      <c r="G75" s="493">
        <f t="shared" si="49"/>
        <v>0.12616511318242343</v>
      </c>
    </row>
    <row r="76" spans="1:33" ht="15" x14ac:dyDescent="0.2">
      <c r="A76" s="490">
        <v>1991</v>
      </c>
      <c r="B76" s="490">
        <v>176</v>
      </c>
      <c r="C76" s="490">
        <v>417</v>
      </c>
      <c r="D76" s="490">
        <v>1785</v>
      </c>
      <c r="E76" s="490">
        <v>135</v>
      </c>
      <c r="F76" s="490">
        <f t="shared" si="50"/>
        <v>2513</v>
      </c>
      <c r="G76" s="493">
        <f t="shared" si="49"/>
        <v>0.1989503816793893</v>
      </c>
    </row>
    <row r="77" spans="1:33" ht="15" x14ac:dyDescent="0.2">
      <c r="A77" s="490">
        <v>1992</v>
      </c>
      <c r="B77" s="490">
        <v>183</v>
      </c>
      <c r="C77" s="490">
        <v>281</v>
      </c>
      <c r="D77" s="490">
        <v>1143</v>
      </c>
      <c r="E77" s="490">
        <v>700</v>
      </c>
      <c r="F77" s="490">
        <f t="shared" si="50"/>
        <v>2307</v>
      </c>
      <c r="G77" s="493">
        <f t="shared" si="49"/>
        <v>0.1386969397828233</v>
      </c>
    </row>
    <row r="78" spans="1:33" ht="15" x14ac:dyDescent="0.2">
      <c r="A78" s="490">
        <v>1993</v>
      </c>
      <c r="B78" s="490">
        <v>101</v>
      </c>
      <c r="C78" s="490">
        <v>129</v>
      </c>
      <c r="D78" s="490">
        <v>1041</v>
      </c>
      <c r="E78" s="490">
        <v>460</v>
      </c>
      <c r="F78" s="490">
        <f t="shared" si="50"/>
        <v>1731</v>
      </c>
      <c r="G78" s="493">
        <f t="shared" si="49"/>
        <v>8.0524344569288392E-2</v>
      </c>
    </row>
    <row r="79" spans="1:33" ht="15" x14ac:dyDescent="0.2">
      <c r="A79" s="490">
        <v>1994</v>
      </c>
      <c r="B79" s="490">
        <v>451</v>
      </c>
      <c r="C79" s="490">
        <v>440</v>
      </c>
      <c r="D79" s="490">
        <v>4482</v>
      </c>
      <c r="E79" s="490">
        <v>408</v>
      </c>
      <c r="F79" s="490">
        <f t="shared" si="50"/>
        <v>5781</v>
      </c>
      <c r="G79" s="493">
        <f t="shared" si="49"/>
        <v>8.2381576483804536E-2</v>
      </c>
    </row>
    <row r="80" spans="1:33" ht="15" x14ac:dyDescent="0.2">
      <c r="A80" s="490">
        <v>1995</v>
      </c>
      <c r="B80" s="490">
        <v>268</v>
      </c>
      <c r="C80" s="490">
        <v>197</v>
      </c>
      <c r="D80" s="490">
        <v>1033</v>
      </c>
      <c r="E80" s="490">
        <v>189</v>
      </c>
      <c r="F80" s="490">
        <f t="shared" si="50"/>
        <v>1687</v>
      </c>
      <c r="G80" s="493">
        <f t="shared" si="49"/>
        <v>0.13221476510067115</v>
      </c>
    </row>
    <row r="81" spans="1:7" ht="15" x14ac:dyDescent="0.2">
      <c r="A81" s="490">
        <v>1996</v>
      </c>
      <c r="B81" s="490">
        <v>204</v>
      </c>
      <c r="C81" s="490">
        <v>179</v>
      </c>
      <c r="D81" s="490">
        <v>412</v>
      </c>
      <c r="E81" s="490">
        <v>315</v>
      </c>
      <c r="F81" s="490">
        <f t="shared" si="50"/>
        <v>1110</v>
      </c>
      <c r="G81" s="493">
        <f t="shared" si="49"/>
        <v>0.19226638023630505</v>
      </c>
    </row>
    <row r="82" spans="1:7" ht="15" x14ac:dyDescent="0.2">
      <c r="A82" s="490">
        <v>1997</v>
      </c>
      <c r="B82" s="490">
        <v>227</v>
      </c>
      <c r="C82" s="490">
        <v>133</v>
      </c>
      <c r="D82" s="490">
        <v>684</v>
      </c>
      <c r="E82" s="490">
        <v>250</v>
      </c>
      <c r="F82" s="490">
        <f t="shared" si="50"/>
        <v>1294</v>
      </c>
      <c r="G82" s="493">
        <f t="shared" si="49"/>
        <v>0.11455641688199827</v>
      </c>
    </row>
    <row r="83" spans="1:7" ht="15" x14ac:dyDescent="0.2">
      <c r="A83" s="490">
        <v>1998</v>
      </c>
      <c r="B83" s="490">
        <v>271</v>
      </c>
      <c r="C83" s="490">
        <v>265</v>
      </c>
      <c r="D83" s="490">
        <v>649</v>
      </c>
      <c r="E83" s="490">
        <v>275</v>
      </c>
      <c r="F83" s="490">
        <f t="shared" si="50"/>
        <v>1460</v>
      </c>
      <c r="G83" s="493">
        <f t="shared" si="49"/>
        <v>0.22175732217573221</v>
      </c>
    </row>
    <row r="84" spans="1:7" ht="15" x14ac:dyDescent="0.2">
      <c r="A84" s="490">
        <v>1999</v>
      </c>
      <c r="B84" s="490">
        <v>335</v>
      </c>
      <c r="C84" s="490">
        <v>207</v>
      </c>
      <c r="D84" s="490">
        <v>962</v>
      </c>
      <c r="E84" s="490">
        <v>195</v>
      </c>
      <c r="F84" s="490">
        <f t="shared" si="50"/>
        <v>1699</v>
      </c>
      <c r="G84" s="493">
        <f t="shared" si="49"/>
        <v>0.13873994638069706</v>
      </c>
    </row>
    <row r="85" spans="1:7" ht="15" x14ac:dyDescent="0.2">
      <c r="A85" s="490">
        <v>2000</v>
      </c>
      <c r="B85" s="490">
        <v>305</v>
      </c>
      <c r="C85" s="490">
        <v>571</v>
      </c>
      <c r="D85" s="490">
        <v>1324</v>
      </c>
      <c r="E85" s="490">
        <v>435</v>
      </c>
      <c r="F85" s="490">
        <f t="shared" si="50"/>
        <v>2635</v>
      </c>
      <c r="G85" s="493">
        <f t="shared" si="49"/>
        <v>0.27664728682170542</v>
      </c>
    </row>
    <row r="86" spans="1:7" ht="15" x14ac:dyDescent="0.2">
      <c r="A86" s="490">
        <v>2001</v>
      </c>
      <c r="B86" s="490">
        <v>450</v>
      </c>
      <c r="C86" s="490">
        <v>225</v>
      </c>
      <c r="D86" s="490">
        <v>1272</v>
      </c>
      <c r="E86" s="490">
        <v>1285</v>
      </c>
      <c r="F86" s="490">
        <f t="shared" si="50"/>
        <v>3232</v>
      </c>
      <c r="G86" s="493">
        <f t="shared" si="49"/>
        <v>7.4825407382773532E-2</v>
      </c>
    </row>
    <row r="87" spans="1:7" ht="15" x14ac:dyDescent="0.2">
      <c r="A87" s="490">
        <v>2002</v>
      </c>
      <c r="B87" s="490">
        <v>1328</v>
      </c>
      <c r="C87" s="490">
        <v>440</v>
      </c>
      <c r="D87" s="490">
        <v>2582</v>
      </c>
      <c r="E87" s="490">
        <v>1310</v>
      </c>
      <c r="F87" s="490">
        <f t="shared" si="50"/>
        <v>5660</v>
      </c>
      <c r="G87" s="493">
        <f t="shared" si="49"/>
        <v>8.4291187739463605E-2</v>
      </c>
    </row>
    <row r="88" spans="1:7" ht="15" x14ac:dyDescent="0.2">
      <c r="A88" s="490">
        <v>2003</v>
      </c>
      <c r="B88" s="490">
        <v>500</v>
      </c>
      <c r="C88" s="490">
        <v>356</v>
      </c>
      <c r="D88" s="490">
        <v>1419</v>
      </c>
      <c r="E88" s="490">
        <v>1675</v>
      </c>
      <c r="F88" s="490">
        <f t="shared" si="50"/>
        <v>3950</v>
      </c>
      <c r="G88" s="493">
        <f t="shared" si="49"/>
        <v>9.9053978853644961E-2</v>
      </c>
    </row>
    <row r="89" spans="1:7" ht="15" x14ac:dyDescent="0.2">
      <c r="A89" s="490">
        <v>2004</v>
      </c>
      <c r="B89" s="490">
        <v>564</v>
      </c>
      <c r="C89" s="490">
        <v>170</v>
      </c>
      <c r="D89" s="490">
        <v>827</v>
      </c>
      <c r="E89" s="490">
        <v>445</v>
      </c>
      <c r="F89" s="490">
        <f t="shared" si="50"/>
        <v>2006</v>
      </c>
      <c r="G89" s="493">
        <f t="shared" si="49"/>
        <v>9.2592592592592587E-2</v>
      </c>
    </row>
    <row r="90" spans="1:7" ht="15" x14ac:dyDescent="0.2">
      <c r="A90" s="490">
        <v>2005</v>
      </c>
      <c r="B90" s="490">
        <v>221</v>
      </c>
      <c r="C90" s="490">
        <v>42</v>
      </c>
      <c r="D90" s="490">
        <v>219</v>
      </c>
      <c r="E90" s="490">
        <v>495</v>
      </c>
      <c r="F90" s="490">
        <f t="shared" si="50"/>
        <v>977</v>
      </c>
      <c r="G90" s="493">
        <f t="shared" si="49"/>
        <v>4.4919786096256686E-2</v>
      </c>
    </row>
    <row r="91" spans="1:7" ht="15" x14ac:dyDescent="0.2">
      <c r="A91" s="490">
        <v>2006</v>
      </c>
      <c r="B91" s="490">
        <v>503</v>
      </c>
      <c r="C91" s="490">
        <v>220</v>
      </c>
      <c r="D91" s="490">
        <v>761</v>
      </c>
      <c r="E91" s="490">
        <v>915</v>
      </c>
      <c r="F91" s="490">
        <f t="shared" si="50"/>
        <v>2399</v>
      </c>
      <c r="G91" s="493">
        <f t="shared" si="49"/>
        <v>0.10096374483708123</v>
      </c>
    </row>
    <row r="92" spans="1:7" ht="15" x14ac:dyDescent="0.2">
      <c r="A92" s="490">
        <v>2007</v>
      </c>
      <c r="B92" s="490">
        <v>55</v>
      </c>
      <c r="C92" s="490">
        <v>51</v>
      </c>
      <c r="D92" s="490">
        <v>415</v>
      </c>
      <c r="E92" s="490">
        <v>237</v>
      </c>
      <c r="F92" s="490">
        <f t="shared" si="50"/>
        <v>758</v>
      </c>
      <c r="G92" s="493">
        <f t="shared" si="49"/>
        <v>7.2135785007072142E-2</v>
      </c>
    </row>
    <row r="93" spans="1:7" ht="15" x14ac:dyDescent="0.2">
      <c r="A93" s="490">
        <v>2008</v>
      </c>
      <c r="B93" s="490">
        <v>337</v>
      </c>
      <c r="C93" s="490">
        <v>64</v>
      </c>
      <c r="D93" s="490">
        <v>779</v>
      </c>
      <c r="E93" s="490">
        <v>526</v>
      </c>
      <c r="F93" s="490">
        <f t="shared" si="50"/>
        <v>1706</v>
      </c>
      <c r="G93" s="493">
        <f t="shared" si="49"/>
        <v>3.8976857490864797E-2</v>
      </c>
    </row>
    <row r="94" spans="1:7" ht="15" x14ac:dyDescent="0.2">
      <c r="A94" s="490">
        <v>2009</v>
      </c>
      <c r="B94" s="490">
        <v>183</v>
      </c>
      <c r="C94" s="490">
        <v>159</v>
      </c>
      <c r="D94" s="490">
        <v>429</v>
      </c>
      <c r="E94" s="490">
        <v>682</v>
      </c>
      <c r="F94" s="490">
        <f t="shared" si="50"/>
        <v>1453</v>
      </c>
      <c r="G94" s="493">
        <f t="shared" si="49"/>
        <v>0.12287480680061824</v>
      </c>
    </row>
    <row r="95" spans="1:7" ht="15" x14ac:dyDescent="0.2">
      <c r="A95" s="490">
        <v>2010</v>
      </c>
      <c r="B95" s="490">
        <v>439</v>
      </c>
      <c r="C95" s="490">
        <v>58</v>
      </c>
      <c r="D95" s="490">
        <v>1122</v>
      </c>
      <c r="E95" s="490">
        <v>1031</v>
      </c>
      <c r="F95" s="490">
        <f t="shared" si="50"/>
        <v>2650</v>
      </c>
      <c r="G95" s="493">
        <f t="shared" si="49"/>
        <v>2.2376543209876542E-2</v>
      </c>
    </row>
    <row r="96" spans="1:7" ht="15" x14ac:dyDescent="0.2">
      <c r="A96" s="490">
        <v>2011</v>
      </c>
      <c r="B96" s="490">
        <v>221</v>
      </c>
      <c r="C96" s="490">
        <v>66</v>
      </c>
      <c r="D96" s="490">
        <v>882</v>
      </c>
      <c r="E96" s="490">
        <v>810</v>
      </c>
      <c r="F96" s="490">
        <f t="shared" si="50"/>
        <v>1979</v>
      </c>
      <c r="G96" s="493">
        <f t="shared" si="49"/>
        <v>3.4500784108729747E-2</v>
      </c>
    </row>
    <row r="97" spans="1:9" ht="15" x14ac:dyDescent="0.2">
      <c r="A97" s="490">
        <v>2012</v>
      </c>
      <c r="B97" s="490">
        <v>164</v>
      </c>
      <c r="C97" s="490">
        <v>50</v>
      </c>
      <c r="D97" s="490">
        <v>589</v>
      </c>
      <c r="E97" s="490">
        <v>347</v>
      </c>
      <c r="F97" s="490">
        <f t="shared" si="50"/>
        <v>1150</v>
      </c>
      <c r="G97" s="493">
        <f t="shared" si="49"/>
        <v>4.5454545454545456E-2</v>
      </c>
    </row>
    <row r="98" spans="1:9" ht="15" x14ac:dyDescent="0.2">
      <c r="A98" s="490">
        <v>2013</v>
      </c>
      <c r="B98" s="490">
        <v>151</v>
      </c>
      <c r="C98" s="490">
        <v>13</v>
      </c>
      <c r="D98" s="490">
        <v>522</v>
      </c>
      <c r="E98" s="490">
        <v>860</v>
      </c>
      <c r="F98" s="490">
        <f t="shared" si="50"/>
        <v>1546</v>
      </c>
      <c r="G98" s="493">
        <f t="shared" si="49"/>
        <v>8.4801043705153289E-3</v>
      </c>
    </row>
    <row r="99" spans="1:9" ht="15" x14ac:dyDescent="0.2">
      <c r="A99" s="490">
        <v>2014</v>
      </c>
      <c r="B99" s="490">
        <v>720</v>
      </c>
      <c r="C99" s="490">
        <v>45</v>
      </c>
      <c r="D99" s="490">
        <v>1503</v>
      </c>
      <c r="E99" s="490">
        <v>1658</v>
      </c>
      <c r="F99" s="490">
        <f t="shared" si="50"/>
        <v>3926</v>
      </c>
      <c r="G99" s="493">
        <f t="shared" si="49"/>
        <v>1.1594949755217727E-2</v>
      </c>
    </row>
    <row r="100" spans="1:9" ht="15" x14ac:dyDescent="0.2">
      <c r="A100" s="490">
        <v>2015</v>
      </c>
      <c r="B100" s="490">
        <v>234</v>
      </c>
      <c r="C100" s="490">
        <v>18</v>
      </c>
      <c r="D100" s="490">
        <v>482</v>
      </c>
      <c r="E100" s="490">
        <v>727</v>
      </c>
      <c r="F100" s="490">
        <f t="shared" si="50"/>
        <v>1461</v>
      </c>
      <c r="G100" s="493">
        <f t="shared" si="49"/>
        <v>1.2474012474012475E-2</v>
      </c>
    </row>
    <row r="101" spans="1:9" ht="15" x14ac:dyDescent="0.2">
      <c r="A101" s="490">
        <v>2016</v>
      </c>
      <c r="B101" s="490">
        <v>156</v>
      </c>
      <c r="C101" s="490">
        <v>20</v>
      </c>
      <c r="D101" s="490">
        <v>132</v>
      </c>
      <c r="E101" s="490">
        <v>515</v>
      </c>
      <c r="F101" s="490">
        <f t="shared" si="50"/>
        <v>823</v>
      </c>
      <c r="G101" s="493">
        <f>C101/(B101+D101+E101)</f>
        <v>2.4906600249066001E-2</v>
      </c>
      <c r="I101">
        <f>AVERAGE(G72:G85)</f>
        <v>0.16369090520802182</v>
      </c>
    </row>
    <row r="102" spans="1:9" ht="15.75" thickBot="1" x14ac:dyDescent="0.25">
      <c r="A102" s="489">
        <v>2017</v>
      </c>
      <c r="B102" s="489">
        <v>151</v>
      </c>
      <c r="C102" s="495">
        <v>17</v>
      </c>
      <c r="D102" s="489">
        <v>363</v>
      </c>
      <c r="E102" s="489">
        <v>490</v>
      </c>
      <c r="F102" s="489">
        <f t="shared" si="50"/>
        <v>1021</v>
      </c>
      <c r="H102" s="489">
        <f>B102+D102+E102</f>
        <v>1004</v>
      </c>
      <c r="I102">
        <f>AVERAGE(G86:G94)</f>
        <v>8.1181571866707547E-2</v>
      </c>
    </row>
    <row r="103" spans="1:9" x14ac:dyDescent="0.2">
      <c r="I103">
        <f>AVERAGE(G95:G101)</f>
        <v>2.2826791374566179E-2</v>
      </c>
    </row>
    <row r="104" spans="1:9" ht="15" x14ac:dyDescent="0.2">
      <c r="B104" s="494">
        <f>AVERAGE(B72:B85)</f>
        <v>203.71428571428572</v>
      </c>
      <c r="C104" s="494">
        <f t="shared" ref="C104:E104" si="51">AVERAGE(C72:C85)</f>
        <v>267.5</v>
      </c>
      <c r="D104" s="494">
        <f t="shared" si="51"/>
        <v>1337.6428571428571</v>
      </c>
      <c r="E104" s="494">
        <f t="shared" si="51"/>
        <v>265.57142857142856</v>
      </c>
      <c r="F104" s="494">
        <f>AVERAGE(F72:F85)</f>
        <v>2074.4285714285716</v>
      </c>
      <c r="I104">
        <f>AVERAGE(G72:G101)</f>
        <v>0.10606981197782121</v>
      </c>
    </row>
    <row r="105" spans="1:9" ht="15" x14ac:dyDescent="0.2">
      <c r="B105" s="494">
        <f t="shared" ref="B105:E105" si="52">AVERAGE(B86:B94)</f>
        <v>460.11111111111109</v>
      </c>
      <c r="C105" s="494">
        <f t="shared" si="52"/>
        <v>191.88888888888889</v>
      </c>
      <c r="D105" s="494">
        <f t="shared" si="52"/>
        <v>967</v>
      </c>
      <c r="E105" s="494">
        <f t="shared" si="52"/>
        <v>841.11111111111109</v>
      </c>
      <c r="F105" s="494">
        <f>AVERAGE(F86:F94)</f>
        <v>2460.1111111111113</v>
      </c>
    </row>
    <row r="106" spans="1:9" ht="15" x14ac:dyDescent="0.2">
      <c r="B106" s="494">
        <f>AVERAGE(B95:B101)</f>
        <v>297.85714285714283</v>
      </c>
      <c r="C106" s="494">
        <f t="shared" ref="C106:F106" si="53">AVERAGE(C95:C101)</f>
        <v>38.571428571428569</v>
      </c>
      <c r="D106" s="494">
        <f t="shared" si="53"/>
        <v>747.42857142857144</v>
      </c>
      <c r="E106" s="494">
        <f t="shared" si="53"/>
        <v>849.71428571428567</v>
      </c>
      <c r="F106" s="494">
        <f t="shared" si="53"/>
        <v>1933.5714285714287</v>
      </c>
    </row>
    <row r="107" spans="1:9" x14ac:dyDescent="0.2">
      <c r="A107" s="491" t="s">
        <v>390</v>
      </c>
    </row>
    <row r="108" spans="1:9" x14ac:dyDescent="0.2">
      <c r="A108" s="491" t="s">
        <v>391</v>
      </c>
    </row>
    <row r="109" spans="1:9" x14ac:dyDescent="0.2">
      <c r="A109" s="491" t="s">
        <v>392</v>
      </c>
    </row>
    <row r="110" spans="1:9" x14ac:dyDescent="0.2">
      <c r="A110" s="491" t="s">
        <v>393</v>
      </c>
    </row>
    <row r="111" spans="1:9" ht="15" x14ac:dyDescent="0.2">
      <c r="A111" s="492"/>
      <c r="B111" s="494">
        <f t="shared" ref="B111" si="54">AVERAGE(B72:B102)</f>
        <v>297.70967741935482</v>
      </c>
      <c r="C111" s="494">
        <f>AVERAGE(C72:C102)</f>
        <v>185.7741935483871</v>
      </c>
      <c r="D111" s="494">
        <f t="shared" ref="D111:F111" si="55">AVERAGE(D72:D102)</f>
        <v>1065.3225806451612</v>
      </c>
      <c r="E111" s="494">
        <f t="shared" si="55"/>
        <v>571.80645161290317</v>
      </c>
      <c r="F111" s="494">
        <f t="shared" si="55"/>
        <v>2120.6129032258063</v>
      </c>
    </row>
    <row r="112" spans="1:9" ht="15" x14ac:dyDescent="0.2">
      <c r="A112" s="492" t="s">
        <v>394</v>
      </c>
    </row>
    <row r="113" spans="1:1" ht="15" x14ac:dyDescent="0.2">
      <c r="A113" s="492" t="s">
        <v>395</v>
      </c>
    </row>
    <row r="114" spans="1:1" ht="15" x14ac:dyDescent="0.2">
      <c r="A114" s="492" t="s">
        <v>396</v>
      </c>
    </row>
  </sheetData>
  <mergeCells count="2">
    <mergeCell ref="A68:F68"/>
    <mergeCell ref="D70:E70"/>
  </mergeCells>
  <phoneticPr fontId="12" type="noConversion"/>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19</vt:i4>
      </vt:variant>
    </vt:vector>
  </HeadingPairs>
  <TitlesOfParts>
    <vt:vector size="39" baseType="lpstr">
      <vt:lpstr>ERfigures</vt:lpstr>
      <vt:lpstr>Master escapements</vt:lpstr>
      <vt:lpstr>Survival</vt:lpstr>
      <vt:lpstr>Master smolts</vt:lpstr>
      <vt:lpstr>Master goals</vt:lpstr>
      <vt:lpstr>Table 1 GoalSheet</vt:lpstr>
      <vt:lpstr>Table 2 SEAKCohoEsc</vt:lpstr>
      <vt:lpstr>Fig 4 Table 3 NSEinside</vt:lpstr>
      <vt:lpstr>Fig 5 Fig 6 Table 4 Sitka</vt:lpstr>
      <vt:lpstr>Fig 7 table 6 YakutatFig</vt:lpstr>
      <vt:lpstr>table 5 Ketchikan</vt:lpstr>
      <vt:lpstr>Berners River</vt:lpstr>
      <vt:lpstr>FordArm</vt:lpstr>
      <vt:lpstr>HughSmith</vt:lpstr>
      <vt:lpstr>AukeCr</vt:lpstr>
      <vt:lpstr>MainlandRiverFig</vt:lpstr>
      <vt:lpstr>ReportGraphs</vt:lpstr>
      <vt:lpstr>Catch_Escapement Data</vt:lpstr>
      <vt:lpstr>Taku Table</vt:lpstr>
      <vt:lpstr>ChilkatTable</vt:lpstr>
      <vt:lpstr>AukeCr!_Toc115830991</vt:lpstr>
      <vt:lpstr>FordArm!_Toc115830993</vt:lpstr>
      <vt:lpstr>'Taku Table'!_Toc115830995</vt:lpstr>
      <vt:lpstr>AukeCr!_Toc115831000</vt:lpstr>
      <vt:lpstr>'Fig 5 Fig 6 Table 4 Sitka'!_Toc212195049</vt:lpstr>
      <vt:lpstr>'Fig 7 table 6 YakutatFig'!_Toc212195051</vt:lpstr>
      <vt:lpstr>'table 5 Ketchikan'!_Toc219528648</vt:lpstr>
      <vt:lpstr>FordArm!_Toc219528661</vt:lpstr>
      <vt:lpstr>'Taku Table'!_Toc219528663</vt:lpstr>
      <vt:lpstr>ChilkatTable!_Toc219528664</vt:lpstr>
      <vt:lpstr>'Table 1 GoalSheet'!_Toc314230014</vt:lpstr>
      <vt:lpstr>'Berners River'!_Toc314230023</vt:lpstr>
      <vt:lpstr>HughSmith!_Toc314230025</vt:lpstr>
      <vt:lpstr>ChilkatTable!_Toc314230027</vt:lpstr>
      <vt:lpstr>'Berners River'!_Toc314230031</vt:lpstr>
      <vt:lpstr>HughSmith!_Toc314230033</vt:lpstr>
      <vt:lpstr>ReportGraphs!_Toc315428358</vt:lpstr>
      <vt:lpstr>ERfigures!_Toc315428363</vt:lpstr>
      <vt:lpstr>'Table 1 GoalSheet'!OLE_LINK4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leons</dc:creator>
  <cp:lastModifiedBy>Shaul, Leon D (DFG)</cp:lastModifiedBy>
  <cp:lastPrinted>2018-05-01T18:12:40Z</cp:lastPrinted>
  <dcterms:created xsi:type="dcterms:W3CDTF">2001-11-07T17:28:55Z</dcterms:created>
  <dcterms:modified xsi:type="dcterms:W3CDTF">2019-02-28T21:06:51Z</dcterms:modified>
</cp:coreProperties>
</file>